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Override PartName="/xl/worksheets/sheet14.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worksheets/sheet5.xml" ContentType="application/vnd.openxmlformats-officedocument.spreadsheetml.worksheet+xml"/>
  <Override PartName="/xl/externalLinks/externalLink4.xml" ContentType="application/vnd.openxmlformats-officedocument.spreadsheetml.externalLink+xml"/>
  <Override PartName="/xl/externalLinks/externalLink2.xml" ContentType="application/vnd.openxmlformats-officedocument.spreadsheetml.externalLink+xml"/>
  <Override PartName="/docProps/app.xml" ContentType="application/vnd.openxmlformats-officedocument.extended-properties+xml"/>
  <Override PartName="/xl/externalLinks/externalLink3.xml" ContentType="application/vnd.openxmlformats-officedocument.spreadsheetml.externalLink+xml"/>
  <Override PartName="/docProps/core.xml" ContentType="application/vnd.openxmlformats-package.core-properties+xml"/>
  <Override PartName="/xl/calcChain.xml" ContentType="application/vnd.openxmlformats-officedocument.spreadsheetml.calcChain+xml"/>
  <Override PartName="/xl/externalLinks/externalLink1.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My Documents\Quan 2020\Cong khai NS\QT 2017\"/>
    </mc:Choice>
  </mc:AlternateContent>
  <bookViews>
    <workbookView xWindow="0" yWindow="0" windowWidth="20490" windowHeight="7665" tabRatio="980" firstSheet="8" activeTab="8"/>
  </bookViews>
  <sheets>
    <sheet name="BIEU 64-NĐ31_HCSN" sheetId="34" state="hidden" r:id="rId1"/>
    <sheet name="63-NDD31_TCDN" sheetId="33" state="hidden" r:id="rId2"/>
    <sheet name=" 62_NĐ31_" sheetId="32" state="hidden" r:id="rId3"/>
    <sheet name="60_NĐ31 Thu(Huyen, xa)" sheetId="36" state="hidden" r:id="rId4"/>
    <sheet name="57_NĐ31" sheetId="21" state="hidden" r:id="rId5"/>
    <sheet name="56_NĐ31" sheetId="20" state="hidden" r:id="rId6"/>
    <sheet name="Bieu mau 55-NĐ31" sheetId="31" state="hidden" r:id="rId7"/>
    <sheet name="49_NĐ31" sheetId="13" state="hidden" r:id="rId8"/>
    <sheet name="62" sheetId="12" r:id="rId9"/>
    <sheet name="Quan he giua cac bieu" sheetId="47" state="hidden" r:id="rId10"/>
    <sheet name="Muc tieu" sheetId="39" state="hidden" r:id="rId11"/>
    <sheet name="Cơ cấu DT" sheetId="41" state="hidden" r:id="rId12"/>
    <sheet name="Chi tư nguon CCTL_tinh" sheetId="44" state="hidden" r:id="rId13"/>
    <sheet name="So lieu dieu chinh" sheetId="45" state="hidden" r:id="rId14"/>
  </sheets>
  <externalReferences>
    <externalReference r:id="rId15"/>
    <externalReference r:id="rId16"/>
    <externalReference r:id="rId17"/>
    <externalReference r:id="rId18"/>
  </externalReferences>
  <definedNames>
    <definedName name="chuong_phuluc_48" localSheetId="8">'62'!$D$1</definedName>
    <definedName name="chuong_phuluc_48_name" localSheetId="8">'62'!$A$3</definedName>
    <definedName name="chuong_phuluc_49" localSheetId="7">'49_NĐ31'!$C$1</definedName>
    <definedName name="chuong_phuluc_49_name" localSheetId="7">'49_NĐ31'!$A$4</definedName>
    <definedName name="chuong_phuluc_55" localSheetId="6">'Bieu mau 55-NĐ31'!$A$1</definedName>
    <definedName name="chuong_phuluc_55_name" localSheetId="6">'Bieu mau 55-NĐ31'!$A$4</definedName>
    <definedName name="chuong_phuluc_56" localSheetId="5">'56_NĐ31'!$N$1</definedName>
    <definedName name="chuong_phuluc_56_name" localSheetId="5">'56_NĐ31'!$A$4</definedName>
    <definedName name="chuong_phuluc_57" localSheetId="4">'57_NĐ31'!$H$1</definedName>
    <definedName name="chuong_phuluc_57_name" localSheetId="4">'57_NĐ31'!$A$4</definedName>
    <definedName name="chuong_phuluc_60" localSheetId="3">'60_NĐ31 Thu(Huyen, xa)'!$I$1</definedName>
    <definedName name="chuong_phuluc_60_name" localSheetId="3">'60_NĐ31 Thu(Huyen, xa)'!$A$4</definedName>
    <definedName name="chuong_phuluc_62" localSheetId="2">' 62_NĐ31_'!$A$1</definedName>
    <definedName name="chuong_phuluc_62_name" localSheetId="2">' 62_NĐ31_'!$A$4</definedName>
    <definedName name="chuong_phuluc_63" localSheetId="1">'63-NDD31_TCDN'!$I$1</definedName>
    <definedName name="chuong_phuluc_63_name" localSheetId="1">'63-NDD31_TCDN'!$A$4</definedName>
    <definedName name="_xlnm.Print_Area" localSheetId="11">'Cơ cấu DT'!$A$33:$C$47</definedName>
    <definedName name="_xlnm.Print_Titles" localSheetId="2">' 62_NĐ31_'!$7:$11</definedName>
    <definedName name="_xlnm.Print_Titles" localSheetId="7">'49_NĐ31'!$6:$7</definedName>
    <definedName name="_xlnm.Print_Titles" localSheetId="5">'56_NĐ31'!$9:$11</definedName>
    <definedName name="_xlnm.Print_Titles" localSheetId="4">'57_NĐ31'!$7:$10</definedName>
    <definedName name="_xlnm.Print_Titles" localSheetId="1">'63-NDD31_TCDN'!$6:$9</definedName>
    <definedName name="_xlnm.Print_Titles" localSheetId="0">'BIEU 64-NĐ31_HCSN'!$7:$8</definedName>
    <definedName name="_xlnm.Print_Titles" localSheetId="6">'Bieu mau 55-NĐ31'!$7:$9</definedName>
  </definedNames>
  <calcPr calcId="152511"/>
</workbook>
</file>

<file path=xl/calcChain.xml><?xml version="1.0" encoding="utf-8"?>
<calcChain xmlns="http://schemas.openxmlformats.org/spreadsheetml/2006/main">
  <c r="Q12" i="20" l="1"/>
  <c r="M12" i="20"/>
  <c r="G12" i="20"/>
  <c r="F12" i="20"/>
  <c r="D11" i="21"/>
  <c r="E48" i="47"/>
  <c r="E39" i="47"/>
  <c r="D32" i="13"/>
  <c r="G15" i="21" l="1"/>
  <c r="E15" i="21"/>
  <c r="P16" i="20"/>
  <c r="P34" i="20"/>
  <c r="P12" i="20" l="1"/>
  <c r="C32" i="13"/>
  <c r="D27" i="13"/>
  <c r="C10" i="13"/>
  <c r="D10" i="13"/>
  <c r="F9" i="13"/>
  <c r="AC317" i="32" l="1"/>
  <c r="AA317" i="32"/>
  <c r="V317" i="32"/>
  <c r="R317" i="32" s="1"/>
  <c r="S317" i="32" s="1"/>
  <c r="X317" i="32" l="1"/>
  <c r="AI317" i="32"/>
  <c r="C33" i="47"/>
  <c r="C2" i="45" l="1"/>
  <c r="C54" i="47" l="1"/>
  <c r="T93" i="31"/>
  <c r="C44" i="47" l="1"/>
  <c r="C20" i="47"/>
  <c r="F40" i="13"/>
  <c r="F31" i="13"/>
  <c r="F21" i="13"/>
  <c r="D45" i="13"/>
  <c r="D41" i="13"/>
  <c r="D39" i="13"/>
  <c r="D36" i="13"/>
  <c r="C36" i="47" l="1"/>
  <c r="C21" i="47"/>
  <c r="C15" i="47"/>
  <c r="C30" i="47"/>
  <c r="D26" i="20"/>
  <c r="R26" i="20" s="1"/>
  <c r="J20" i="33" l="1"/>
  <c r="H20" i="33"/>
  <c r="L20" i="33" l="1"/>
  <c r="L30" i="33" l="1"/>
  <c r="K30" i="33"/>
  <c r="L29" i="33"/>
  <c r="K29" i="33"/>
  <c r="L28" i="33"/>
  <c r="K28" i="33"/>
  <c r="L27" i="33"/>
  <c r="K27" i="33"/>
  <c r="L26" i="33"/>
  <c r="K26" i="33"/>
  <c r="L25" i="33"/>
  <c r="K25" i="33"/>
  <c r="L24" i="33"/>
  <c r="K24" i="33"/>
  <c r="L23" i="33"/>
  <c r="K23" i="33"/>
  <c r="L22" i="33"/>
  <c r="K22" i="33"/>
  <c r="K21" i="33"/>
  <c r="L21" i="33" s="1"/>
  <c r="G21" i="33"/>
  <c r="K20" i="33"/>
  <c r="D20" i="33"/>
  <c r="G20" i="33" s="1"/>
  <c r="L19" i="33"/>
  <c r="K19" i="33"/>
  <c r="J18" i="33"/>
  <c r="L18" i="33" s="1"/>
  <c r="K17" i="33"/>
  <c r="C17" i="33"/>
  <c r="L17" i="33" s="1"/>
  <c r="L16" i="33"/>
  <c r="K16" i="33"/>
  <c r="G16" i="33"/>
  <c r="L15" i="33"/>
  <c r="K15" i="33"/>
  <c r="H14" i="33"/>
  <c r="K14" i="33" s="1"/>
  <c r="D14" i="33"/>
  <c r="G14" i="33" s="1"/>
  <c r="J13" i="33"/>
  <c r="H13" i="33"/>
  <c r="C13" i="33"/>
  <c r="L12" i="33"/>
  <c r="K12" i="33"/>
  <c r="F12" i="33"/>
  <c r="D12" i="33"/>
  <c r="G12" i="33" s="1"/>
  <c r="J11" i="33"/>
  <c r="L11" i="33" s="1"/>
  <c r="G11" i="33"/>
  <c r="I10" i="33"/>
  <c r="F10" i="33"/>
  <c r="E10" i="33"/>
  <c r="J10" i="33" l="1"/>
  <c r="L13" i="33"/>
  <c r="K11" i="33"/>
  <c r="K10" i="33" s="1"/>
  <c r="K13" i="33"/>
  <c r="K18" i="33"/>
  <c r="G10" i="33"/>
  <c r="D10" i="33"/>
  <c r="H10" i="33"/>
  <c r="M9" i="33" s="1"/>
  <c r="C10" i="33"/>
  <c r="L14" i="33"/>
  <c r="L10" i="33" s="1"/>
  <c r="D34" i="13" l="1"/>
  <c r="F34" i="13"/>
  <c r="J10" i="36" l="1"/>
  <c r="S10" i="31" l="1"/>
  <c r="R10" i="31"/>
  <c r="L10" i="31"/>
  <c r="K10" i="31"/>
  <c r="J10" i="31"/>
  <c r="H10" i="31"/>
  <c r="F10" i="31"/>
  <c r="F28" i="36"/>
  <c r="C28" i="36" s="1"/>
  <c r="F27" i="36"/>
  <c r="C27" i="36" s="1"/>
  <c r="F25" i="36"/>
  <c r="C25" i="36" s="1"/>
  <c r="F24" i="36"/>
  <c r="C24" i="36" s="1"/>
  <c r="F23" i="36"/>
  <c r="C23" i="36" s="1"/>
  <c r="F22" i="36"/>
  <c r="C22" i="36" s="1"/>
  <c r="F21" i="36"/>
  <c r="F18" i="36"/>
  <c r="C18" i="36" s="1"/>
  <c r="F17" i="36"/>
  <c r="C17" i="36" s="1"/>
  <c r="F16" i="36"/>
  <c r="C16" i="36" s="1"/>
  <c r="F15" i="36"/>
  <c r="C15" i="36" s="1"/>
  <c r="F14" i="36"/>
  <c r="C14" i="36" s="1"/>
  <c r="F13" i="36"/>
  <c r="C13" i="36" s="1"/>
  <c r="F12" i="36"/>
  <c r="C12" i="36" s="1"/>
  <c r="F11" i="36"/>
  <c r="C11" i="36" s="1"/>
  <c r="G41" i="21"/>
  <c r="C34" i="20"/>
  <c r="O41" i="20"/>
  <c r="C41" i="20"/>
  <c r="G33" i="21" l="1"/>
  <c r="E33" i="21"/>
  <c r="E41" i="21"/>
  <c r="G69" i="21"/>
  <c r="C53" i="21"/>
  <c r="S54" i="20" s="1"/>
  <c r="E11" i="21" l="1"/>
  <c r="D82" i="20"/>
  <c r="R82" i="20" s="1"/>
  <c r="T41" i="31"/>
  <c r="F20" i="36"/>
  <c r="C20" i="36" s="1"/>
  <c r="F19" i="36"/>
  <c r="F26" i="36"/>
  <c r="C26" i="36" s="1"/>
  <c r="C19" i="36" l="1"/>
  <c r="F10" i="36"/>
  <c r="C47" i="41" l="1"/>
  <c r="C37" i="41"/>
  <c r="C29" i="41" l="1"/>
  <c r="C5" i="41"/>
  <c r="C15" i="41" s="1"/>
  <c r="E20" i="39" l="1"/>
  <c r="E27" i="39"/>
  <c r="E10" i="39"/>
  <c r="D37" i="13" l="1"/>
  <c r="D38" i="13"/>
  <c r="D43" i="13"/>
  <c r="D44" i="13"/>
  <c r="D35" i="13" s="1"/>
  <c r="D46" i="13"/>
  <c r="E26" i="39" l="1"/>
  <c r="Z26" i="39" s="1"/>
  <c r="AC26" i="39" s="1"/>
  <c r="AD26" i="39" s="1"/>
  <c r="E15" i="39"/>
  <c r="U12" i="39"/>
  <c r="AC12" i="39" s="1"/>
  <c r="AF13" i="39"/>
  <c r="AH13" i="39" s="1"/>
  <c r="AB19" i="39"/>
  <c r="AC19" i="39" s="1"/>
  <c r="AC32" i="39"/>
  <c r="AD32" i="39" s="1"/>
  <c r="AF48" i="39"/>
  <c r="AH48" i="39" s="1"/>
  <c r="Z48" i="39"/>
  <c r="AC48" i="39" s="1"/>
  <c r="AD48" i="39" s="1"/>
  <c r="G48" i="39"/>
  <c r="AE47" i="39"/>
  <c r="AH47" i="39" s="1"/>
  <c r="X47" i="39"/>
  <c r="AC47" i="39" s="1"/>
  <c r="AD47" i="39" s="1"/>
  <c r="AF46" i="39"/>
  <c r="AH46" i="39" s="1"/>
  <c r="X46" i="39"/>
  <c r="AC46" i="39" s="1"/>
  <c r="AD46" i="39" s="1"/>
  <c r="G46" i="39"/>
  <c r="AE45" i="39"/>
  <c r="AH45" i="39" s="1"/>
  <c r="Y45" i="39"/>
  <c r="AC45" i="39" s="1"/>
  <c r="AD45" i="39" s="1"/>
  <c r="G45" i="39"/>
  <c r="AF44" i="39"/>
  <c r="AH44" i="39" s="1"/>
  <c r="Z44" i="39"/>
  <c r="AC44" i="39" s="1"/>
  <c r="AD44" i="39" s="1"/>
  <c r="G44" i="39"/>
  <c r="AE43" i="39"/>
  <c r="AH43" i="39" s="1"/>
  <c r="AB43" i="39"/>
  <c r="AC43" i="39" s="1"/>
  <c r="AD43" i="39" s="1"/>
  <c r="G43" i="39"/>
  <c r="AE42" i="39"/>
  <c r="AH42" i="39" s="1"/>
  <c r="Z42" i="39"/>
  <c r="AC42" i="39" s="1"/>
  <c r="AD42" i="39" s="1"/>
  <c r="G42" i="39"/>
  <c r="AF41" i="39"/>
  <c r="AH41" i="39" s="1"/>
  <c r="Z41" i="39"/>
  <c r="AC41" i="39" s="1"/>
  <c r="AD41" i="39" s="1"/>
  <c r="G41" i="39"/>
  <c r="AE40" i="39"/>
  <c r="AH40" i="39" s="1"/>
  <c r="Y40" i="39"/>
  <c r="AC40" i="39" s="1"/>
  <c r="AD40" i="39" s="1"/>
  <c r="G40" i="39"/>
  <c r="AE39" i="39"/>
  <c r="AH39" i="39" s="1"/>
  <c r="Z39" i="39"/>
  <c r="AC39" i="39" s="1"/>
  <c r="AD39" i="39" s="1"/>
  <c r="N39" i="39"/>
  <c r="G39" i="39"/>
  <c r="AE38" i="39"/>
  <c r="AH38" i="39" s="1"/>
  <c r="Y38" i="39"/>
  <c r="AC38" i="39" s="1"/>
  <c r="AD38" i="39" s="1"/>
  <c r="G38" i="39"/>
  <c r="AF37" i="39"/>
  <c r="AH37" i="39" s="1"/>
  <c r="Z37" i="39"/>
  <c r="AC37" i="39" s="1"/>
  <c r="AD37" i="39" s="1"/>
  <c r="G37" i="39"/>
  <c r="AF36" i="39"/>
  <c r="AH36" i="39" s="1"/>
  <c r="AA36" i="39"/>
  <c r="AC36" i="39" s="1"/>
  <c r="AD36" i="39" s="1"/>
  <c r="G36" i="39"/>
  <c r="AE35" i="39"/>
  <c r="AH35" i="39" s="1"/>
  <c r="AB35" i="39"/>
  <c r="AC35" i="39" s="1"/>
  <c r="AD35" i="39" s="1"/>
  <c r="G35" i="39"/>
  <c r="AF34" i="39"/>
  <c r="AH34" i="39" s="1"/>
  <c r="AA34" i="39"/>
  <c r="AC34" i="39" s="1"/>
  <c r="AD34" i="39" s="1"/>
  <c r="G34" i="39"/>
  <c r="AE33" i="39"/>
  <c r="AH33" i="39" s="1"/>
  <c r="AA33" i="39"/>
  <c r="AC33" i="39" s="1"/>
  <c r="AD33" i="39" s="1"/>
  <c r="G33" i="39"/>
  <c r="F33" i="39"/>
  <c r="AH32" i="39"/>
  <c r="K32" i="39"/>
  <c r="G32" i="39"/>
  <c r="AE31" i="39"/>
  <c r="AH31" i="39" s="1"/>
  <c r="X31" i="39"/>
  <c r="AC31" i="39" s="1"/>
  <c r="AD31" i="39" s="1"/>
  <c r="G31" i="39"/>
  <c r="AF30" i="39"/>
  <c r="AH30" i="39" s="1"/>
  <c r="AA30" i="39"/>
  <c r="AC30" i="39" s="1"/>
  <c r="AD30" i="39" s="1"/>
  <c r="G30" i="39"/>
  <c r="AF29" i="39"/>
  <c r="AH29" i="39" s="1"/>
  <c r="Z29" i="39"/>
  <c r="AC29" i="39" s="1"/>
  <c r="AD29" i="39" s="1"/>
  <c r="G29" i="39"/>
  <c r="AE28" i="39"/>
  <c r="AH28" i="39" s="1"/>
  <c r="Z28" i="39"/>
  <c r="AC28" i="39" s="1"/>
  <c r="AD28" i="39" s="1"/>
  <c r="G28" i="39"/>
  <c r="G27" i="39"/>
  <c r="G26" i="39"/>
  <c r="M26" i="39"/>
  <c r="AF25" i="39"/>
  <c r="AH25" i="39" s="1"/>
  <c r="Z25" i="39"/>
  <c r="AC25" i="39" s="1"/>
  <c r="AD25" i="39" s="1"/>
  <c r="M25" i="39"/>
  <c r="G25" i="39"/>
  <c r="AF24" i="39"/>
  <c r="AH24" i="39" s="1"/>
  <c r="Z24" i="39"/>
  <c r="AC24" i="39" s="1"/>
  <c r="AD24" i="39" s="1"/>
  <c r="G24" i="39"/>
  <c r="AE23" i="39"/>
  <c r="AH23" i="39" s="1"/>
  <c r="V23" i="39"/>
  <c r="V8" i="39" s="1"/>
  <c r="K23" i="39"/>
  <c r="G23" i="39"/>
  <c r="AE22" i="39"/>
  <c r="AH22" i="39" s="1"/>
  <c r="AA22" i="39"/>
  <c r="AC22" i="39" s="1"/>
  <c r="AD22" i="39" s="1"/>
  <c r="G22" i="39"/>
  <c r="AF21" i="39"/>
  <c r="AH21" i="39" s="1"/>
  <c r="AB21" i="39"/>
  <c r="AC21" i="39" s="1"/>
  <c r="AD21" i="39" s="1"/>
  <c r="G21" i="39"/>
  <c r="AE20" i="39"/>
  <c r="AH20" i="39" s="1"/>
  <c r="AB20" i="39"/>
  <c r="AC20" i="39" s="1"/>
  <c r="AD20" i="39" s="1"/>
  <c r="G20" i="39"/>
  <c r="AF19" i="39"/>
  <c r="AH19" i="39" s="1"/>
  <c r="G19" i="39"/>
  <c r="AF18" i="39"/>
  <c r="AH18" i="39" s="1"/>
  <c r="Y18" i="39"/>
  <c r="AC18" i="39" s="1"/>
  <c r="AD18" i="39" s="1"/>
  <c r="K18" i="39"/>
  <c r="G18" i="39"/>
  <c r="AE17" i="39"/>
  <c r="AH17" i="39" s="1"/>
  <c r="U17" i="39"/>
  <c r="AC17" i="39" s="1"/>
  <c r="AD17" i="39" s="1"/>
  <c r="K17" i="39"/>
  <c r="G17" i="39"/>
  <c r="AF16" i="39"/>
  <c r="AH16" i="39" s="1"/>
  <c r="U16" i="39"/>
  <c r="AC16" i="39" s="1"/>
  <c r="AD16" i="39" s="1"/>
  <c r="G16" i="39"/>
  <c r="K15" i="39"/>
  <c r="G15" i="39"/>
  <c r="F15" i="39"/>
  <c r="AF14" i="39"/>
  <c r="AH14" i="39" s="1"/>
  <c r="U14" i="39"/>
  <c r="AC14" i="39" s="1"/>
  <c r="AD14" i="39" s="1"/>
  <c r="K14" i="39"/>
  <c r="G14" i="39"/>
  <c r="G13" i="39"/>
  <c r="Q12" i="39"/>
  <c r="K12" i="39"/>
  <c r="H12" i="39"/>
  <c r="G12" i="39" s="1"/>
  <c r="AE11" i="39"/>
  <c r="AH11" i="39" s="1"/>
  <c r="U11" i="39"/>
  <c r="AC11" i="39" s="1"/>
  <c r="AD11" i="39" s="1"/>
  <c r="G11" i="39"/>
  <c r="AE10" i="39"/>
  <c r="AH10" i="39" s="1"/>
  <c r="Z10" i="39"/>
  <c r="AC10" i="39" s="1"/>
  <c r="AD10" i="39" s="1"/>
  <c r="H10" i="39"/>
  <c r="G10" i="39" s="1"/>
  <c r="Z9" i="39"/>
  <c r="AC9" i="39" s="1"/>
  <c r="AD9" i="39" s="1"/>
  <c r="H9" i="39"/>
  <c r="G9" i="39" s="1"/>
  <c r="AE9" i="39"/>
  <c r="E8" i="39" l="1"/>
  <c r="U15" i="39"/>
  <c r="AC15" i="39" s="1"/>
  <c r="AD15" i="39" s="1"/>
  <c r="AE15" i="39"/>
  <c r="AH15" i="39" s="1"/>
  <c r="AF26" i="39"/>
  <c r="AH26" i="39" s="1"/>
  <c r="U13" i="39"/>
  <c r="AC13" i="39" s="1"/>
  <c r="AD13" i="39" s="1"/>
  <c r="AA8" i="39"/>
  <c r="W8" i="39"/>
  <c r="AB8" i="39"/>
  <c r="Y8" i="39"/>
  <c r="Z8" i="39"/>
  <c r="AD19" i="39"/>
  <c r="AF12" i="39"/>
  <c r="AH12" i="39" s="1"/>
  <c r="AD12" i="39"/>
  <c r="AC23" i="39"/>
  <c r="AD23" i="39" s="1"/>
  <c r="X27" i="39"/>
  <c r="AE27" i="39"/>
  <c r="AH27" i="39" s="1"/>
  <c r="P8" i="39"/>
  <c r="Q8" i="39"/>
  <c r="R8" i="39"/>
  <c r="M47" i="39"/>
  <c r="N47" i="39" s="1"/>
  <c r="F43" i="39"/>
  <c r="F46" i="39"/>
  <c r="F45" i="39"/>
  <c r="F44" i="39"/>
  <c r="F48" i="39"/>
  <c r="J48" i="39" s="1"/>
  <c r="K48" i="39" s="1"/>
  <c r="F41" i="39"/>
  <c r="J41" i="39" s="1"/>
  <c r="K41" i="39" s="1"/>
  <c r="F42" i="39"/>
  <c r="AH9" i="39"/>
  <c r="U8" i="39" l="1"/>
  <c r="AC27" i="39"/>
  <c r="AD27" i="39" s="1"/>
  <c r="X8" i="39"/>
  <c r="AF8" i="39"/>
  <c r="AE8" i="39"/>
  <c r="N8" i="39"/>
  <c r="O8" i="39"/>
  <c r="O4" i="39" s="1"/>
  <c r="M8" i="39"/>
  <c r="F47" i="39"/>
  <c r="J47" i="39" s="1"/>
  <c r="AC8" i="39" l="1"/>
  <c r="AD8" i="39" s="1"/>
  <c r="AG8" i="39"/>
  <c r="AH8" i="39" s="1"/>
  <c r="J8" i="39"/>
  <c r="I8" i="39"/>
  <c r="F8" i="39"/>
  <c r="L8" i="39"/>
  <c r="L4" i="39" s="1"/>
  <c r="H47" i="39"/>
  <c r="K47" i="39"/>
  <c r="K8" i="39" s="1"/>
  <c r="G47" i="39" l="1"/>
  <c r="H8" i="39" l="1"/>
  <c r="G8" i="39"/>
  <c r="D21" i="36" l="1"/>
  <c r="C21" i="36" s="1"/>
  <c r="C91" i="21" l="1"/>
  <c r="C40" i="21"/>
  <c r="C50" i="21"/>
  <c r="C82" i="21"/>
  <c r="C81" i="21"/>
  <c r="C56" i="21"/>
  <c r="C58" i="21"/>
  <c r="C89" i="21"/>
  <c r="C85" i="21"/>
  <c r="C57" i="21"/>
  <c r="C88" i="21"/>
  <c r="C87" i="21"/>
  <c r="C84" i="21"/>
  <c r="C55" i="21"/>
  <c r="C54" i="21"/>
  <c r="C52" i="21"/>
  <c r="C86" i="21"/>
  <c r="C83" i="21"/>
  <c r="C80" i="21"/>
  <c r="C79" i="21"/>
  <c r="S82" i="20" s="1"/>
  <c r="C78" i="21"/>
  <c r="C77" i="21"/>
  <c r="C76" i="21"/>
  <c r="C75" i="21"/>
  <c r="C74" i="21"/>
  <c r="C73" i="21"/>
  <c r="C72" i="21"/>
  <c r="C71" i="21"/>
  <c r="C70" i="21"/>
  <c r="C69" i="21"/>
  <c r="C68" i="21"/>
  <c r="C67" i="21"/>
  <c r="C66" i="21"/>
  <c r="C65" i="21"/>
  <c r="C64" i="21"/>
  <c r="C63" i="21"/>
  <c r="C62" i="21"/>
  <c r="C61" i="21"/>
  <c r="C60" i="21"/>
  <c r="C59" i="21"/>
  <c r="C51" i="21"/>
  <c r="C49" i="21"/>
  <c r="C48" i="21"/>
  <c r="C47" i="21"/>
  <c r="C45" i="21"/>
  <c r="C44" i="21"/>
  <c r="C43" i="21"/>
  <c r="C42" i="21"/>
  <c r="C41" i="21"/>
  <c r="C39" i="21"/>
  <c r="C38" i="21"/>
  <c r="C37" i="21"/>
  <c r="C36" i="21"/>
  <c r="C35" i="21"/>
  <c r="C34" i="21"/>
  <c r="C33" i="21"/>
  <c r="C31" i="21"/>
  <c r="C30" i="21"/>
  <c r="C29" i="21"/>
  <c r="C28" i="21"/>
  <c r="C27" i="21"/>
  <c r="C26" i="21"/>
  <c r="C25" i="21"/>
  <c r="S26" i="20" s="1"/>
  <c r="C24" i="21"/>
  <c r="C23" i="21"/>
  <c r="C22" i="21"/>
  <c r="C21" i="21"/>
  <c r="C20" i="21"/>
  <c r="C19" i="21"/>
  <c r="C18" i="21"/>
  <c r="C17" i="21"/>
  <c r="C16" i="21"/>
  <c r="C15" i="21"/>
  <c r="C14" i="21"/>
  <c r="C13" i="21"/>
  <c r="C12" i="21"/>
  <c r="C44" i="13"/>
  <c r="C43" i="13"/>
  <c r="C42" i="13" l="1"/>
  <c r="C40" i="13" s="1"/>
  <c r="C53" i="47" l="1"/>
  <c r="C10" i="36" l="1"/>
  <c r="K10" i="36" l="1"/>
  <c r="C55" i="47"/>
  <c r="I10" i="36" l="1"/>
  <c r="H10" i="36"/>
  <c r="G10" i="36"/>
  <c r="E10" i="36"/>
  <c r="D10" i="36" l="1"/>
  <c r="F29" i="13" l="1"/>
  <c r="C31" i="13"/>
  <c r="C50" i="47" l="1"/>
  <c r="C52" i="47"/>
  <c r="E24" i="20"/>
  <c r="E18" i="34" l="1"/>
  <c r="E17" i="34"/>
  <c r="E16" i="34"/>
  <c r="E15" i="34"/>
  <c r="E14" i="34"/>
  <c r="E13" i="34"/>
  <c r="E12" i="34"/>
  <c r="E11" i="34"/>
  <c r="E10" i="34"/>
  <c r="D9" i="34"/>
  <c r="C9" i="34"/>
  <c r="E9" i="34" l="1"/>
  <c r="C25" i="13" l="1"/>
  <c r="C24" i="13"/>
  <c r="C23" i="13" l="1"/>
  <c r="D87" i="31" l="1"/>
  <c r="T87" i="31" s="1"/>
  <c r="D86" i="31"/>
  <c r="T86" i="31" s="1"/>
  <c r="D85" i="31"/>
  <c r="T85" i="31" s="1"/>
  <c r="D84" i="31"/>
  <c r="T84" i="31" s="1"/>
  <c r="D83" i="31"/>
  <c r="T83" i="31" s="1"/>
  <c r="D52" i="20" l="1"/>
  <c r="D71" i="20"/>
  <c r="D60" i="20"/>
  <c r="C74" i="20"/>
  <c r="C58" i="20"/>
  <c r="O15" i="20"/>
  <c r="D92" i="20"/>
  <c r="R92" i="20" s="1"/>
  <c r="D42" i="20"/>
  <c r="D51" i="20"/>
  <c r="D86" i="20"/>
  <c r="D84" i="20"/>
  <c r="D57" i="20"/>
  <c r="D90" i="20"/>
  <c r="D81" i="20"/>
  <c r="D89" i="20"/>
  <c r="D88" i="20"/>
  <c r="D80" i="20"/>
  <c r="D55" i="20"/>
  <c r="D54" i="20"/>
  <c r="D53" i="20"/>
  <c r="D87" i="20"/>
  <c r="R87" i="20" s="1"/>
  <c r="D85" i="20"/>
  <c r="R85" i="20" s="1"/>
  <c r="D83" i="20"/>
  <c r="R83" i="20" s="1"/>
  <c r="D79" i="20"/>
  <c r="R79" i="20" s="1"/>
  <c r="D78" i="20"/>
  <c r="R78" i="20" s="1"/>
  <c r="D77" i="20"/>
  <c r="R77" i="20" s="1"/>
  <c r="D76" i="20"/>
  <c r="R76" i="20" s="1"/>
  <c r="D75" i="20"/>
  <c r="D74" i="20"/>
  <c r="D73" i="20"/>
  <c r="R73" i="20" s="1"/>
  <c r="D72" i="20"/>
  <c r="R72" i="20" s="1"/>
  <c r="D70" i="20"/>
  <c r="R70" i="20" s="1"/>
  <c r="D69" i="20"/>
  <c r="D68" i="20"/>
  <c r="R68" i="20" s="1"/>
  <c r="D67" i="20"/>
  <c r="R67" i="20" s="1"/>
  <c r="D66" i="20"/>
  <c r="R66" i="20" s="1"/>
  <c r="D65" i="20"/>
  <c r="R65" i="20" s="1"/>
  <c r="D64" i="20"/>
  <c r="R64" i="20" s="1"/>
  <c r="D63" i="20"/>
  <c r="R63" i="20" s="1"/>
  <c r="D62" i="20"/>
  <c r="R62" i="20" s="1"/>
  <c r="D61" i="20"/>
  <c r="R61" i="20" s="1"/>
  <c r="D49" i="20"/>
  <c r="R49" i="20" s="1"/>
  <c r="D48" i="20"/>
  <c r="R48" i="20" s="1"/>
  <c r="D47" i="20"/>
  <c r="R47" i="20" s="1"/>
  <c r="D46" i="20"/>
  <c r="R46" i="20" s="1"/>
  <c r="D45" i="20"/>
  <c r="R45" i="20" s="1"/>
  <c r="D44" i="20"/>
  <c r="R44" i="20" s="1"/>
  <c r="D43" i="20"/>
  <c r="R43" i="20" s="1"/>
  <c r="D41" i="20"/>
  <c r="R41" i="20" s="1"/>
  <c r="D40" i="20"/>
  <c r="R40" i="20" s="1"/>
  <c r="D39" i="20"/>
  <c r="R39" i="20" s="1"/>
  <c r="D38" i="20"/>
  <c r="R38" i="20" s="1"/>
  <c r="D37" i="20"/>
  <c r="R37" i="20" s="1"/>
  <c r="D36" i="20"/>
  <c r="R36" i="20" s="1"/>
  <c r="D35" i="20"/>
  <c r="R35" i="20" s="1"/>
  <c r="D34" i="20"/>
  <c r="R34" i="20" s="1"/>
  <c r="D33" i="20"/>
  <c r="D32" i="20"/>
  <c r="R32" i="20" s="1"/>
  <c r="D31" i="20"/>
  <c r="R31" i="20" s="1"/>
  <c r="D30" i="20"/>
  <c r="R30" i="20" s="1"/>
  <c r="D29" i="20"/>
  <c r="R29" i="20" s="1"/>
  <c r="D27" i="20"/>
  <c r="R27" i="20" s="1"/>
  <c r="D25" i="20"/>
  <c r="R25" i="20" s="1"/>
  <c r="D24" i="20"/>
  <c r="D22" i="20"/>
  <c r="R22" i="20" s="1"/>
  <c r="D21" i="20"/>
  <c r="R21" i="20" s="1"/>
  <c r="D20" i="20"/>
  <c r="D19" i="20"/>
  <c r="R19" i="20" s="1"/>
  <c r="D18" i="20"/>
  <c r="R18" i="20" s="1"/>
  <c r="D17" i="20"/>
  <c r="R17" i="20" s="1"/>
  <c r="D14" i="20"/>
  <c r="R14" i="20" s="1"/>
  <c r="D13" i="20"/>
  <c r="O16" i="20"/>
  <c r="N15" i="20"/>
  <c r="H7" i="20"/>
  <c r="L28" i="20"/>
  <c r="L12" i="20" s="1"/>
  <c r="J28" i="20"/>
  <c r="J12" i="20" s="1"/>
  <c r="K50" i="20"/>
  <c r="K12" i="20" s="1"/>
  <c r="I58" i="20"/>
  <c r="I12" i="20" s="1"/>
  <c r="O23" i="20"/>
  <c r="E23" i="20"/>
  <c r="E12" i="20" s="1"/>
  <c r="C56" i="20"/>
  <c r="S56" i="20" s="1"/>
  <c r="K8" i="21"/>
  <c r="L8" i="21" s="1"/>
  <c r="F32" i="21"/>
  <c r="J46" i="21"/>
  <c r="K46" i="21" s="1"/>
  <c r="F46" i="21"/>
  <c r="C46" i="21" s="1"/>
  <c r="K12" i="21"/>
  <c r="L12" i="21"/>
  <c r="F11" i="21" l="1"/>
  <c r="R13" i="20"/>
  <c r="O12" i="20"/>
  <c r="C32" i="21"/>
  <c r="C11" i="21" s="1"/>
  <c r="D58" i="20"/>
  <c r="R24" i="20"/>
  <c r="G23" i="21"/>
  <c r="R74" i="20"/>
  <c r="D15" i="20"/>
  <c r="R60" i="20"/>
  <c r="D50" i="20"/>
  <c r="R50" i="20" s="1"/>
  <c r="D23" i="20"/>
  <c r="R23" i="20" s="1"/>
  <c r="D16" i="20"/>
  <c r="D28" i="20"/>
  <c r="R28" i="20" s="1"/>
  <c r="J19" i="21" l="1"/>
  <c r="I19" i="21"/>
  <c r="G52" i="21" l="1"/>
  <c r="G11" i="21" l="1"/>
  <c r="C49" i="47" s="1"/>
  <c r="C55" i="20"/>
  <c r="S55" i="20" s="1"/>
  <c r="H55" i="21" l="1"/>
  <c r="J55" i="21" s="1"/>
  <c r="H54" i="21"/>
  <c r="J54" i="21" s="1"/>
  <c r="C75" i="20"/>
  <c r="R75" i="20" s="1"/>
  <c r="C71" i="20"/>
  <c r="R71" i="20" s="1"/>
  <c r="C69" i="20"/>
  <c r="R69" i="20" s="1"/>
  <c r="C52" i="20"/>
  <c r="R52" i="20" s="1"/>
  <c r="S29" i="20"/>
  <c r="S28" i="20"/>
  <c r="S25" i="20"/>
  <c r="S23" i="20"/>
  <c r="S19" i="20"/>
  <c r="C15" i="20"/>
  <c r="H12" i="21"/>
  <c r="M7" i="20"/>
  <c r="L7" i="20"/>
  <c r="K7" i="20"/>
  <c r="J7" i="20"/>
  <c r="I7" i="20"/>
  <c r="G7" i="20"/>
  <c r="F7" i="20"/>
  <c r="E7" i="20"/>
  <c r="D7" i="20"/>
  <c r="O16" i="31"/>
  <c r="T73" i="31"/>
  <c r="T82" i="31"/>
  <c r="T46" i="31"/>
  <c r="T80" i="31"/>
  <c r="T79" i="31"/>
  <c r="T78" i="31"/>
  <c r="T74" i="31"/>
  <c r="T68" i="31"/>
  <c r="T77" i="31"/>
  <c r="T76" i="31"/>
  <c r="T62" i="31"/>
  <c r="T61" i="31"/>
  <c r="T75" i="31"/>
  <c r="T66" i="31"/>
  <c r="T63" i="31"/>
  <c r="T51" i="31"/>
  <c r="T19" i="31"/>
  <c r="T60" i="31"/>
  <c r="T72" i="31"/>
  <c r="T92" i="31"/>
  <c r="T90" i="31"/>
  <c r="T88" i="31"/>
  <c r="T48" i="31"/>
  <c r="T45" i="31"/>
  <c r="T38" i="31"/>
  <c r="T14" i="31"/>
  <c r="T71" i="31"/>
  <c r="T70" i="31"/>
  <c r="T39" i="31"/>
  <c r="T37" i="31"/>
  <c r="T36" i="31"/>
  <c r="T35" i="31"/>
  <c r="T34" i="31"/>
  <c r="T32" i="31"/>
  <c r="T31" i="31"/>
  <c r="T30" i="31"/>
  <c r="T28" i="31"/>
  <c r="T23" i="31"/>
  <c r="T22" i="31"/>
  <c r="T21" i="31"/>
  <c r="T43" i="31"/>
  <c r="C20" i="20" l="1"/>
  <c r="R20" i="20" s="1"/>
  <c r="C16" i="20"/>
  <c r="R16" i="20" s="1"/>
  <c r="M8" i="21"/>
  <c r="N8" i="21" s="1"/>
  <c r="H85" i="21"/>
  <c r="J85" i="21" s="1"/>
  <c r="S81" i="20"/>
  <c r="H58" i="21"/>
  <c r="J58" i="21" s="1"/>
  <c r="S59" i="20"/>
  <c r="H40" i="21"/>
  <c r="J40" i="21" s="1"/>
  <c r="S42" i="20"/>
  <c r="H16" i="21"/>
  <c r="S17" i="20"/>
  <c r="H32" i="21"/>
  <c r="C33" i="20"/>
  <c r="H41" i="21"/>
  <c r="S41" i="20"/>
  <c r="H45" i="21"/>
  <c r="S46" i="20"/>
  <c r="H61" i="21"/>
  <c r="S62" i="20"/>
  <c r="H69" i="21"/>
  <c r="S70" i="20"/>
  <c r="H77" i="21"/>
  <c r="S78" i="20"/>
  <c r="H53" i="21"/>
  <c r="J53" i="21" s="1"/>
  <c r="H56" i="21"/>
  <c r="J56" i="21" s="1"/>
  <c r="S57" i="20"/>
  <c r="H81" i="21"/>
  <c r="J81" i="21" s="1"/>
  <c r="S84" i="20"/>
  <c r="H82" i="21"/>
  <c r="J82" i="21" s="1"/>
  <c r="S86" i="20"/>
  <c r="H91" i="21"/>
  <c r="J91" i="21" s="1"/>
  <c r="S92" i="20"/>
  <c r="H15" i="21"/>
  <c r="H23" i="21"/>
  <c r="S24" i="20"/>
  <c r="H31" i="21"/>
  <c r="S32" i="20"/>
  <c r="H35" i="21"/>
  <c r="S36" i="20"/>
  <c r="H39" i="21"/>
  <c r="S40" i="20"/>
  <c r="H44" i="21"/>
  <c r="S45" i="20"/>
  <c r="H48" i="21"/>
  <c r="S49" i="20"/>
  <c r="H60" i="21"/>
  <c r="S61" i="20"/>
  <c r="H64" i="21"/>
  <c r="S65" i="20"/>
  <c r="H68" i="21"/>
  <c r="S69" i="20"/>
  <c r="H72" i="21"/>
  <c r="S73" i="20"/>
  <c r="H76" i="21"/>
  <c r="S77" i="20"/>
  <c r="H80" i="21"/>
  <c r="S83" i="20"/>
  <c r="H52" i="21"/>
  <c r="C53" i="20"/>
  <c r="S53" i="20" s="1"/>
  <c r="H87" i="21"/>
  <c r="J87" i="21" s="1"/>
  <c r="S88" i="20"/>
  <c r="H50" i="21"/>
  <c r="I50" i="21" s="1"/>
  <c r="I11" i="21" s="1"/>
  <c r="S51" i="20"/>
  <c r="S15" i="20"/>
  <c r="R15" i="20"/>
  <c r="H26" i="21"/>
  <c r="S27" i="20"/>
  <c r="H30" i="21"/>
  <c r="S31" i="20"/>
  <c r="H34" i="21"/>
  <c r="S35" i="20"/>
  <c r="H38" i="21"/>
  <c r="S39" i="20"/>
  <c r="H43" i="21"/>
  <c r="S44" i="20"/>
  <c r="H47" i="21"/>
  <c r="S48" i="20"/>
  <c r="H59" i="21"/>
  <c r="S60" i="20"/>
  <c r="H63" i="21"/>
  <c r="S64" i="20"/>
  <c r="H67" i="21"/>
  <c r="S68" i="20"/>
  <c r="H71" i="21"/>
  <c r="S72" i="20"/>
  <c r="H75" i="21"/>
  <c r="S76" i="20"/>
  <c r="H79" i="21"/>
  <c r="S13" i="20"/>
  <c r="H20" i="21"/>
  <c r="S21" i="20"/>
  <c r="H36" i="21"/>
  <c r="S37" i="20"/>
  <c r="H49" i="21"/>
  <c r="S50" i="20"/>
  <c r="H65" i="21"/>
  <c r="S66" i="20"/>
  <c r="H73" i="21"/>
  <c r="S74" i="20"/>
  <c r="H83" i="21"/>
  <c r="S85" i="20"/>
  <c r="H88" i="21"/>
  <c r="J88" i="21" s="1"/>
  <c r="C89" i="20"/>
  <c r="S89" i="20" s="1"/>
  <c r="H84" i="21"/>
  <c r="J84" i="21" s="1"/>
  <c r="S80" i="20"/>
  <c r="H89" i="21"/>
  <c r="J89" i="21" s="1"/>
  <c r="S90" i="20"/>
  <c r="H13" i="21"/>
  <c r="S14" i="20"/>
  <c r="H17" i="21"/>
  <c r="S18" i="20"/>
  <c r="H21" i="21"/>
  <c r="S22" i="20"/>
  <c r="H25" i="21"/>
  <c r="H29" i="21"/>
  <c r="S30" i="20"/>
  <c r="H33" i="21"/>
  <c r="S34" i="20"/>
  <c r="H37" i="21"/>
  <c r="S38" i="20"/>
  <c r="H42" i="21"/>
  <c r="S43" i="20"/>
  <c r="H46" i="21"/>
  <c r="L46" i="21" s="1"/>
  <c r="S47" i="20"/>
  <c r="H51" i="21"/>
  <c r="S52" i="20"/>
  <c r="H62" i="21"/>
  <c r="S63" i="20"/>
  <c r="H66" i="21"/>
  <c r="S67" i="20"/>
  <c r="H70" i="21"/>
  <c r="S71" i="20"/>
  <c r="H74" i="21"/>
  <c r="S75" i="20"/>
  <c r="H78" i="21"/>
  <c r="S79" i="20"/>
  <c r="H86" i="21"/>
  <c r="S87" i="20"/>
  <c r="H57" i="21"/>
  <c r="J57" i="21" s="1"/>
  <c r="S58" i="20"/>
  <c r="H28" i="21"/>
  <c r="L28" i="21"/>
  <c r="H27" i="21"/>
  <c r="L27" i="21"/>
  <c r="H24" i="21"/>
  <c r="L24" i="21"/>
  <c r="H22" i="21"/>
  <c r="L22" i="21"/>
  <c r="H19" i="21"/>
  <c r="L19" i="21"/>
  <c r="H18" i="21"/>
  <c r="H14" i="21"/>
  <c r="K15" i="21"/>
  <c r="E6" i="20"/>
  <c r="F6" i="20"/>
  <c r="J6" i="20"/>
  <c r="G6" i="20"/>
  <c r="K6" i="20"/>
  <c r="L6" i="20"/>
  <c r="M6" i="20"/>
  <c r="C12" i="20" l="1"/>
  <c r="H11" i="21"/>
  <c r="S16" i="20"/>
  <c r="S20" i="20"/>
  <c r="J50" i="21"/>
  <c r="J11" i="21" s="1"/>
  <c r="S33" i="20"/>
  <c r="R33" i="20"/>
  <c r="L11" i="21"/>
  <c r="N11" i="21" s="1"/>
  <c r="C56" i="47" l="1"/>
  <c r="N12" i="21"/>
  <c r="O11" i="21"/>
  <c r="O12" i="21" l="1"/>
  <c r="C35" i="47" l="1"/>
  <c r="C18" i="47"/>
  <c r="D26" i="13" l="1"/>
  <c r="E25" i="13"/>
  <c r="C16" i="47"/>
  <c r="D13" i="13"/>
  <c r="D11" i="13" s="1"/>
  <c r="F10" i="13" s="1"/>
  <c r="D17" i="13"/>
  <c r="D16" i="13"/>
  <c r="E16" i="13" s="1"/>
  <c r="D15" i="13"/>
  <c r="C11" i="13"/>
  <c r="C9" i="13" s="1"/>
  <c r="H9" i="13" s="1"/>
  <c r="D9" i="13" l="1"/>
  <c r="I9" i="13" s="1"/>
  <c r="E43" i="13"/>
  <c r="D42" i="13"/>
  <c r="D40" i="13" s="1"/>
  <c r="E34" i="13"/>
  <c r="E44" i="13"/>
  <c r="E35" i="13"/>
  <c r="E32" i="13"/>
  <c r="C31" i="47"/>
  <c r="E11" i="13"/>
  <c r="E13" i="13"/>
  <c r="E10" i="13"/>
  <c r="I40" i="13" l="1"/>
  <c r="C25" i="47"/>
  <c r="H40" i="13"/>
  <c r="C4" i="47"/>
  <c r="G9" i="13"/>
  <c r="E42" i="13"/>
  <c r="E9" i="13"/>
  <c r="D33" i="13"/>
  <c r="D31" i="13" s="1"/>
  <c r="I31" i="13" s="1"/>
  <c r="K31" i="13" s="1"/>
  <c r="C5" i="47" l="1"/>
  <c r="C6" i="47" s="1"/>
  <c r="C3" i="47" s="1"/>
  <c r="G32" i="13"/>
  <c r="D47" i="13"/>
  <c r="F32" i="13"/>
  <c r="G31" i="13"/>
  <c r="E33" i="13"/>
  <c r="E31" i="13" l="1"/>
  <c r="C37" i="47" l="1"/>
  <c r="AH110" i="32" l="1"/>
  <c r="Y110" i="32"/>
  <c r="T110" i="32"/>
  <c r="S110" i="32"/>
  <c r="P110" i="32"/>
  <c r="O110" i="32"/>
  <c r="L110" i="32"/>
  <c r="I110" i="32"/>
  <c r="AH496" i="32"/>
  <c r="AD496" i="32"/>
  <c r="AH494" i="32"/>
  <c r="AD494" i="32"/>
  <c r="R494" i="32"/>
  <c r="I494" i="32"/>
  <c r="AH492" i="32"/>
  <c r="AD492" i="32"/>
  <c r="AH491" i="32"/>
  <c r="AD491" i="32"/>
  <c r="AH489" i="32"/>
  <c r="AD489" i="32"/>
  <c r="AH487" i="32"/>
  <c r="AD487" i="32"/>
  <c r="AF486" i="32"/>
  <c r="AD486" i="32"/>
  <c r="X486" i="32"/>
  <c r="AH484" i="32"/>
  <c r="AD484" i="32"/>
  <c r="AH483" i="32"/>
  <c r="AD483" i="32"/>
  <c r="AH481" i="32"/>
  <c r="AD481" i="32"/>
  <c r="AH479" i="32"/>
  <c r="AD479" i="32"/>
  <c r="AH477" i="32"/>
  <c r="AD477" i="32"/>
  <c r="AH475" i="32"/>
  <c r="AD475" i="32"/>
  <c r="AH474" i="32"/>
  <c r="AD474" i="32"/>
  <c r="AH472" i="32"/>
  <c r="AD472" i="32"/>
  <c r="AH471" i="32"/>
  <c r="AD471" i="32"/>
  <c r="AH469" i="32"/>
  <c r="AD469" i="32"/>
  <c r="AH467" i="32"/>
  <c r="AD467" i="32"/>
  <c r="AH465" i="32"/>
  <c r="AD465" i="32"/>
  <c r="AH463" i="32"/>
  <c r="AD463" i="32"/>
  <c r="AH462" i="32"/>
  <c r="AD462" i="32"/>
  <c r="AH460" i="32"/>
  <c r="AD460" i="32"/>
  <c r="AH459" i="32"/>
  <c r="AD459" i="32"/>
  <c r="AG457" i="32"/>
  <c r="AD457" i="32"/>
  <c r="AG456" i="32"/>
  <c r="AD456" i="32"/>
  <c r="AG455" i="32"/>
  <c r="AD455" i="32"/>
  <c r="AG454" i="32"/>
  <c r="AD454" i="32"/>
  <c r="AG453" i="32"/>
  <c r="AD453" i="32"/>
  <c r="AG452" i="32"/>
  <c r="AD452" i="32"/>
  <c r="AG451" i="32"/>
  <c r="AD451" i="32"/>
  <c r="AG450" i="32"/>
  <c r="AD450" i="32"/>
  <c r="AG449" i="32"/>
  <c r="AD449" i="32"/>
  <c r="AG448" i="32"/>
  <c r="AD448" i="32"/>
  <c r="AE447" i="32"/>
  <c r="Y447" i="32"/>
  <c r="AD447" i="32" s="1"/>
  <c r="X447" i="32"/>
  <c r="AH447" i="32" s="1"/>
  <c r="AH446" i="32"/>
  <c r="AD446" i="32"/>
  <c r="AH445" i="32"/>
  <c r="AD445" i="32"/>
  <c r="AF444" i="32"/>
  <c r="AD444" i="32"/>
  <c r="X444" i="32"/>
  <c r="AH443" i="32"/>
  <c r="AD443" i="32"/>
  <c r="AH442" i="32"/>
  <c r="AD442" i="32"/>
  <c r="AH441" i="32"/>
  <c r="AD441" i="32"/>
  <c r="AH440" i="32"/>
  <c r="AD440" i="32"/>
  <c r="AF439" i="32"/>
  <c r="AD439" i="32"/>
  <c r="AE438" i="32"/>
  <c r="AD438" i="32"/>
  <c r="X438" i="32"/>
  <c r="AE437" i="32"/>
  <c r="AD437" i="32"/>
  <c r="X437" i="32"/>
  <c r="AE436" i="32"/>
  <c r="AD436" i="32"/>
  <c r="X436" i="32"/>
  <c r="AH435" i="32"/>
  <c r="AD435" i="32"/>
  <c r="AE434" i="32"/>
  <c r="AD434" i="32"/>
  <c r="X434" i="32"/>
  <c r="AH433" i="32"/>
  <c r="AD433" i="32"/>
  <c r="AH432" i="32"/>
  <c r="AD432" i="32"/>
  <c r="AH431" i="32"/>
  <c r="AD431" i="32"/>
  <c r="AH430" i="32"/>
  <c r="AD430" i="32"/>
  <c r="AH429" i="32"/>
  <c r="AD429" i="32"/>
  <c r="AF428" i="32"/>
  <c r="AD428" i="32"/>
  <c r="X428" i="32"/>
  <c r="K428" i="32"/>
  <c r="AH427" i="32"/>
  <c r="AD427" i="32"/>
  <c r="AH426" i="32"/>
  <c r="AD426" i="32"/>
  <c r="AH425" i="32"/>
  <c r="AD425" i="32"/>
  <c r="AF424" i="32"/>
  <c r="Y424" i="32"/>
  <c r="AD424" i="32" s="1"/>
  <c r="AE423" i="32"/>
  <c r="AD423" i="32"/>
  <c r="X423" i="32"/>
  <c r="AH423" i="32" s="1"/>
  <c r="K423" i="32"/>
  <c r="AE422" i="32"/>
  <c r="AD422" i="32"/>
  <c r="X422" i="32"/>
  <c r="K422" i="32"/>
  <c r="AE421" i="32"/>
  <c r="AD421" i="32"/>
  <c r="X421" i="32"/>
  <c r="AH421" i="32" s="1"/>
  <c r="K421" i="32"/>
  <c r="AD420" i="32"/>
  <c r="V420" i="32"/>
  <c r="AF420" i="32" s="1"/>
  <c r="AH419" i="32"/>
  <c r="AD419" i="32"/>
  <c r="AH418" i="32"/>
  <c r="AD418" i="32"/>
  <c r="AH417" i="32"/>
  <c r="AD417" i="32"/>
  <c r="AH416" i="32"/>
  <c r="AD416" i="32"/>
  <c r="AH415" i="32"/>
  <c r="AD415" i="32"/>
  <c r="AF414" i="32"/>
  <c r="AD414" i="32"/>
  <c r="AH413" i="32"/>
  <c r="AD413" i="32"/>
  <c r="AH412" i="32"/>
  <c r="AD412" i="32"/>
  <c r="AE411" i="32"/>
  <c r="AD411" i="32"/>
  <c r="X411" i="32"/>
  <c r="AH410" i="32"/>
  <c r="AD410" i="32"/>
  <c r="AH409" i="32"/>
  <c r="AD409" i="32"/>
  <c r="AH408" i="32"/>
  <c r="AD408" i="32"/>
  <c r="AH407" i="32"/>
  <c r="AD407" i="32"/>
  <c r="AH406" i="32"/>
  <c r="W406" i="32"/>
  <c r="AG406" i="32" s="1"/>
  <c r="T406" i="32"/>
  <c r="AD406" i="32" s="1"/>
  <c r="AH405" i="32"/>
  <c r="AD405" i="32"/>
  <c r="AH404" i="32"/>
  <c r="AD404" i="32"/>
  <c r="AH402" i="32"/>
  <c r="AD402" i="32"/>
  <c r="AH401" i="32"/>
  <c r="AD401" i="32"/>
  <c r="AH400" i="32"/>
  <c r="AD400" i="32"/>
  <c r="AH399" i="32"/>
  <c r="AD399" i="32"/>
  <c r="AH398" i="32"/>
  <c r="AD398" i="32"/>
  <c r="AH397" i="32"/>
  <c r="AD397" i="32"/>
  <c r="AH396" i="32"/>
  <c r="AD396" i="32"/>
  <c r="AH395" i="32"/>
  <c r="AD395" i="32"/>
  <c r="AH394" i="32"/>
  <c r="Y394" i="32"/>
  <c r="AD394" i="32" s="1"/>
  <c r="V394" i="32"/>
  <c r="AF394" i="32" s="1"/>
  <c r="AH393" i="32"/>
  <c r="AD393" i="32"/>
  <c r="AH392" i="32"/>
  <c r="AD392" i="32"/>
  <c r="AH391" i="32"/>
  <c r="AD391" i="32"/>
  <c r="S391" i="32"/>
  <c r="O391" i="32"/>
  <c r="AH390" i="32"/>
  <c r="AD390" i="32"/>
  <c r="AH389" i="32"/>
  <c r="AD389" i="32"/>
  <c r="AH388" i="32"/>
  <c r="AD388" i="32"/>
  <c r="O388" i="32"/>
  <c r="AH387" i="32"/>
  <c r="AD387" i="32"/>
  <c r="AH386" i="32"/>
  <c r="AD386" i="32"/>
  <c r="AH385" i="32"/>
  <c r="AD385" i="32"/>
  <c r="AH384" i="32"/>
  <c r="AD384" i="32"/>
  <c r="X383" i="32"/>
  <c r="AH383" i="32" s="1"/>
  <c r="T383" i="32"/>
  <c r="AD383" i="32" s="1"/>
  <c r="AH381" i="32"/>
  <c r="AD381" i="32"/>
  <c r="K381" i="32"/>
  <c r="AH380" i="32"/>
  <c r="AD380" i="32"/>
  <c r="AH379" i="32"/>
  <c r="AD379" i="32"/>
  <c r="AH378" i="32"/>
  <c r="AD378" i="32"/>
  <c r="R378" i="32"/>
  <c r="P378" i="32"/>
  <c r="L378" i="32"/>
  <c r="O378" i="32" s="1"/>
  <c r="I378" i="32"/>
  <c r="G378" i="32"/>
  <c r="AH376" i="32"/>
  <c r="AD376" i="32"/>
  <c r="AH375" i="32"/>
  <c r="AD375" i="32"/>
  <c r="AH374" i="32"/>
  <c r="AD374" i="32"/>
  <c r="AH373" i="32"/>
  <c r="AD373" i="32"/>
  <c r="AH372" i="32"/>
  <c r="AD372" i="32"/>
  <c r="AH371" i="32"/>
  <c r="AD371" i="32"/>
  <c r="AH370" i="32"/>
  <c r="AD370" i="32"/>
  <c r="AH368" i="32"/>
  <c r="AD368" i="32"/>
  <c r="K368" i="32"/>
  <c r="AH367" i="32"/>
  <c r="AD367" i="32"/>
  <c r="AH365" i="32"/>
  <c r="AD365" i="32"/>
  <c r="AH363" i="32"/>
  <c r="AD363" i="32"/>
  <c r="AH362" i="32"/>
  <c r="AD362" i="32"/>
  <c r="AH361" i="32"/>
  <c r="AD361" i="32"/>
  <c r="AH360" i="32"/>
  <c r="AD360" i="32"/>
  <c r="AH359" i="32"/>
  <c r="AD359" i="32"/>
  <c r="AH358" i="32"/>
  <c r="AD358" i="32"/>
  <c r="AH357" i="32"/>
  <c r="AD357" i="32"/>
  <c r="AH356" i="32"/>
  <c r="AD356" i="32"/>
  <c r="AH355" i="32"/>
  <c r="AD355" i="32"/>
  <c r="AH354" i="32"/>
  <c r="AD354" i="32"/>
  <c r="AF353" i="32"/>
  <c r="Y353" i="32"/>
  <c r="AD353" i="32" s="1"/>
  <c r="X353" i="32"/>
  <c r="AH353" i="32" s="1"/>
  <c r="AH352" i="32"/>
  <c r="AD352" i="32"/>
  <c r="V351" i="32"/>
  <c r="AF351" i="32" s="1"/>
  <c r="T351" i="32"/>
  <c r="AD351" i="32" s="1"/>
  <c r="AF350" i="32"/>
  <c r="AD350" i="32"/>
  <c r="AH349" i="32"/>
  <c r="AD349" i="32"/>
  <c r="AH348" i="32"/>
  <c r="AD348" i="32"/>
  <c r="AH347" i="32"/>
  <c r="AD347" i="32"/>
  <c r="AF346" i="32"/>
  <c r="AD346" i="32"/>
  <c r="X346" i="32"/>
  <c r="AH345" i="32"/>
  <c r="AD345" i="32"/>
  <c r="AH344" i="32"/>
  <c r="AD344" i="32"/>
  <c r="AF343" i="32"/>
  <c r="AD343" i="32"/>
  <c r="AF342" i="32"/>
  <c r="AD342" i="32"/>
  <c r="AH341" i="32"/>
  <c r="AD341" i="32"/>
  <c r="AH340" i="32"/>
  <c r="AD340" i="32"/>
  <c r="AH339" i="32"/>
  <c r="AD339" i="32"/>
  <c r="AH338" i="32"/>
  <c r="AD338" i="32"/>
  <c r="AH337" i="32"/>
  <c r="AD337" i="32"/>
  <c r="AF336" i="32"/>
  <c r="AD336" i="32"/>
  <c r="AH335" i="32"/>
  <c r="AD335" i="32"/>
  <c r="AH334" i="32"/>
  <c r="AD334" i="32"/>
  <c r="AH332" i="32"/>
  <c r="AD332" i="32"/>
  <c r="AH331" i="32"/>
  <c r="AD331" i="32"/>
  <c r="AH330" i="32"/>
  <c r="AD330" i="32"/>
  <c r="AH329" i="32"/>
  <c r="AD329" i="32"/>
  <c r="AH328" i="32"/>
  <c r="AF328" i="32"/>
  <c r="AD328" i="32"/>
  <c r="AH326" i="32"/>
  <c r="AD326" i="32"/>
  <c r="AH325" i="32"/>
  <c r="AD325" i="32"/>
  <c r="AH323" i="32"/>
  <c r="AD323" i="32"/>
  <c r="AH322" i="32"/>
  <c r="AD322" i="32"/>
  <c r="P322" i="32"/>
  <c r="K322" i="32"/>
  <c r="AG320" i="32"/>
  <c r="AD320" i="32"/>
  <c r="AG319" i="32"/>
  <c r="AD319" i="32"/>
  <c r="AG318" i="32"/>
  <c r="AD318" i="32"/>
  <c r="AF317" i="32"/>
  <c r="AD317" i="32"/>
  <c r="AH316" i="32"/>
  <c r="AD316" i="32"/>
  <c r="AF315" i="32"/>
  <c r="AD315" i="32"/>
  <c r="X315" i="32"/>
  <c r="AD314" i="32"/>
  <c r="V314" i="32"/>
  <c r="AF314" i="32" s="1"/>
  <c r="AD313" i="32"/>
  <c r="V313" i="32"/>
  <c r="AF313" i="32" s="1"/>
  <c r="AF312" i="32"/>
  <c r="AD312" i="32"/>
  <c r="X312" i="32"/>
  <c r="AH311" i="32"/>
  <c r="AD311" i="32"/>
  <c r="AH310" i="32"/>
  <c r="AD310" i="32"/>
  <c r="AH309" i="32"/>
  <c r="AD309" i="32"/>
  <c r="AH308" i="32"/>
  <c r="AD308" i="32"/>
  <c r="AH307" i="32"/>
  <c r="AD307" i="32"/>
  <c r="AH306" i="32"/>
  <c r="AD306" i="32"/>
  <c r="AH304" i="32"/>
  <c r="AD304" i="32"/>
  <c r="AH303" i="32"/>
  <c r="AD303" i="32"/>
  <c r="AH302" i="32"/>
  <c r="AD302" i="32"/>
  <c r="AH301" i="32"/>
  <c r="AD301" i="32"/>
  <c r="AH300" i="32"/>
  <c r="AD300" i="32"/>
  <c r="AH299" i="32"/>
  <c r="AD299" i="32"/>
  <c r="AH298" i="32"/>
  <c r="AD298" i="32"/>
  <c r="AH297" i="32"/>
  <c r="AD297" i="32"/>
  <c r="AH296" i="32"/>
  <c r="AD296" i="32"/>
  <c r="AH295" i="32"/>
  <c r="AD295" i="32"/>
  <c r="AH294" i="32"/>
  <c r="AD294" i="32"/>
  <c r="AH293" i="32"/>
  <c r="AD293" i="32"/>
  <c r="AH292" i="32"/>
  <c r="AD292" i="32"/>
  <c r="AH291" i="32"/>
  <c r="AD291" i="32"/>
  <c r="AH290" i="32"/>
  <c r="AD290" i="32"/>
  <c r="AH289" i="32"/>
  <c r="AD289" i="32"/>
  <c r="AH288" i="32"/>
  <c r="AD288" i="32"/>
  <c r="AE287" i="32"/>
  <c r="AD287" i="32"/>
  <c r="X287" i="32"/>
  <c r="AE286" i="32"/>
  <c r="AD286" i="32"/>
  <c r="X286" i="32"/>
  <c r="AE285" i="32"/>
  <c r="AD285" i="32"/>
  <c r="X285" i="32"/>
  <c r="AE284" i="32"/>
  <c r="AD284" i="32"/>
  <c r="X284" i="32"/>
  <c r="AE283" i="32"/>
  <c r="AD283" i="32"/>
  <c r="X283" i="32"/>
  <c r="AH282" i="32"/>
  <c r="AD282" i="32"/>
  <c r="AH281" i="32"/>
  <c r="AD281" i="32"/>
  <c r="AH280" i="32"/>
  <c r="AD280" i="32"/>
  <c r="AH279" i="32"/>
  <c r="AD279" i="32"/>
  <c r="AH278" i="32"/>
  <c r="AD278" i="32"/>
  <c r="AH277" i="32"/>
  <c r="AD277" i="32"/>
  <c r="AH276" i="32"/>
  <c r="AD276" i="32"/>
  <c r="AH275" i="32"/>
  <c r="AD275" i="32"/>
  <c r="AH274" i="32"/>
  <c r="AD274" i="32"/>
  <c r="AH273" i="32"/>
  <c r="AD273" i="32"/>
  <c r="AH271" i="32"/>
  <c r="AD271" i="32"/>
  <c r="AH270" i="32"/>
  <c r="AD270" i="32"/>
  <c r="AH269" i="32"/>
  <c r="AD269" i="32"/>
  <c r="AH268" i="32"/>
  <c r="AD268" i="32"/>
  <c r="AH267" i="32"/>
  <c r="AD267" i="32"/>
  <c r="AH266" i="32"/>
  <c r="AD266" i="32"/>
  <c r="AD265" i="32"/>
  <c r="X265" i="32"/>
  <c r="AH265" i="32" s="1"/>
  <c r="AH264" i="32"/>
  <c r="AD264" i="32"/>
  <c r="AH263" i="32"/>
  <c r="AD263" i="32"/>
  <c r="AH262" i="32"/>
  <c r="AD262" i="32"/>
  <c r="AH261" i="32"/>
  <c r="AD261" i="32"/>
  <c r="AF260" i="32"/>
  <c r="AD260" i="32"/>
  <c r="X260" i="32"/>
  <c r="AH259" i="32"/>
  <c r="AD259" i="32"/>
  <c r="AH258" i="32"/>
  <c r="AD258" i="32"/>
  <c r="AF257" i="32"/>
  <c r="AD257" i="32"/>
  <c r="X257" i="32"/>
  <c r="AF256" i="32"/>
  <c r="AD256" i="32"/>
  <c r="AH255" i="32"/>
  <c r="AD255" i="32"/>
  <c r="AH254" i="32"/>
  <c r="AD254" i="32"/>
  <c r="AH252" i="32"/>
  <c r="AD252" i="32"/>
  <c r="AH250" i="32"/>
  <c r="AD250" i="32"/>
  <c r="AH249" i="32"/>
  <c r="AD249" i="32"/>
  <c r="AH247" i="32"/>
  <c r="AD247" i="32"/>
  <c r="L247" i="32"/>
  <c r="AH245" i="32"/>
  <c r="AD245" i="32"/>
  <c r="AH243" i="32"/>
  <c r="AD243" i="32"/>
  <c r="AH241" i="32"/>
  <c r="AD241" i="32"/>
  <c r="L241" i="32"/>
  <c r="AD239" i="32"/>
  <c r="AH239" i="32"/>
  <c r="AH238" i="32"/>
  <c r="AD238" i="32"/>
  <c r="AH236" i="32"/>
  <c r="AD236" i="32"/>
  <c r="AH234" i="32"/>
  <c r="AD234" i="32"/>
  <c r="AH233" i="32"/>
  <c r="AD233" i="32"/>
  <c r="AH231" i="32"/>
  <c r="AD231" i="32"/>
  <c r="AH229" i="32"/>
  <c r="AD229" i="32"/>
  <c r="AH228" i="32"/>
  <c r="AD228" i="32"/>
  <c r="AH226" i="32"/>
  <c r="AD226" i="32"/>
  <c r="AH224" i="32"/>
  <c r="AD224" i="32"/>
  <c r="AH223" i="32"/>
  <c r="AD223" i="32"/>
  <c r="AH222" i="32"/>
  <c r="AD222" i="32"/>
  <c r="AH221" i="32"/>
  <c r="AD221" i="32"/>
  <c r="AH220" i="32"/>
  <c r="AD220" i="32"/>
  <c r="AH218" i="32"/>
  <c r="AD218" i="32"/>
  <c r="AH217" i="32"/>
  <c r="AD217" i="32"/>
  <c r="AH215" i="32"/>
  <c r="AD215" i="32"/>
  <c r="AH214" i="32"/>
  <c r="AD214" i="32"/>
  <c r="AH213" i="32"/>
  <c r="AD213" i="32"/>
  <c r="AH212" i="32"/>
  <c r="AD212" i="32"/>
  <c r="AH211" i="32"/>
  <c r="AD211" i="32"/>
  <c r="AH209" i="32"/>
  <c r="AD209" i="32"/>
  <c r="AH208" i="32"/>
  <c r="AD208" i="32"/>
  <c r="AH206" i="32"/>
  <c r="AD206" i="32"/>
  <c r="AH204" i="32"/>
  <c r="AD204" i="32"/>
  <c r="AH202" i="32"/>
  <c r="AD202" i="32"/>
  <c r="AH201" i="32"/>
  <c r="AD201" i="32"/>
  <c r="AH200" i="32"/>
  <c r="AD200" i="32"/>
  <c r="AH199" i="32"/>
  <c r="AD199" i="32"/>
  <c r="AH198" i="32"/>
  <c r="AD198" i="32"/>
  <c r="AG197" i="32"/>
  <c r="AD197" i="32"/>
  <c r="AG196" i="32"/>
  <c r="AD196" i="32"/>
  <c r="AG195" i="32"/>
  <c r="AD195" i="32"/>
  <c r="AH194" i="32"/>
  <c r="AD194" i="32"/>
  <c r="AH193" i="32"/>
  <c r="AD193" i="32"/>
  <c r="AH192" i="32"/>
  <c r="AD192" i="32"/>
  <c r="AH191" i="32"/>
  <c r="AD191" i="32"/>
  <c r="AH190" i="32"/>
  <c r="AD190" i="32"/>
  <c r="AH189" i="32"/>
  <c r="AD189" i="32"/>
  <c r="AH188" i="32"/>
  <c r="AD188" i="32"/>
  <c r="AH187" i="32"/>
  <c r="AD187" i="32"/>
  <c r="AH186" i="32"/>
  <c r="AD186" i="32"/>
  <c r="AH185" i="32"/>
  <c r="AD185" i="32"/>
  <c r="AH184" i="32"/>
  <c r="AD184" i="32"/>
  <c r="AH183" i="32"/>
  <c r="AD183" i="32"/>
  <c r="AH182" i="32"/>
  <c r="AD182" i="32"/>
  <c r="AH181" i="32"/>
  <c r="AD181" i="32"/>
  <c r="AH180" i="32"/>
  <c r="AD180" i="32"/>
  <c r="AH179" i="32"/>
  <c r="Z12" i="32"/>
  <c r="U179" i="32"/>
  <c r="AH178" i="32"/>
  <c r="AD178" i="32"/>
  <c r="AF177" i="32"/>
  <c r="AD177" i="32"/>
  <c r="AH176" i="32"/>
  <c r="AD176" i="32"/>
  <c r="AF175" i="32"/>
  <c r="AD175" i="32"/>
  <c r="AF174" i="32"/>
  <c r="AD174" i="32"/>
  <c r="AH173" i="32"/>
  <c r="AD173" i="32"/>
  <c r="AH172" i="32"/>
  <c r="AD172" i="32"/>
  <c r="AH171" i="32"/>
  <c r="AD171" i="32"/>
  <c r="AH170" i="32"/>
  <c r="AD170" i="32"/>
  <c r="AH169" i="32"/>
  <c r="AD169" i="32"/>
  <c r="AF168" i="32"/>
  <c r="AD168" i="32"/>
  <c r="AF167" i="32"/>
  <c r="AD167" i="32"/>
  <c r="AH166" i="32"/>
  <c r="AD166" i="32"/>
  <c r="AH165" i="32"/>
  <c r="AD165" i="32"/>
  <c r="AH164" i="32"/>
  <c r="AD164" i="32"/>
  <c r="AH163" i="32"/>
  <c r="AD163" i="32"/>
  <c r="AF162" i="32"/>
  <c r="AD162" i="32"/>
  <c r="X162" i="32"/>
  <c r="AH161" i="32"/>
  <c r="AD161" i="32"/>
  <c r="AF160" i="32"/>
  <c r="AD160" i="32"/>
  <c r="X160" i="32"/>
  <c r="AH159" i="32"/>
  <c r="AD159" i="32"/>
  <c r="AH158" i="32"/>
  <c r="AD158" i="32"/>
  <c r="AH157" i="32"/>
  <c r="AD157" i="32"/>
  <c r="AH156" i="32"/>
  <c r="AD156" i="32"/>
  <c r="AH155" i="32"/>
  <c r="AD155" i="32"/>
  <c r="AH154" i="32"/>
  <c r="AD154" i="32"/>
  <c r="AH153" i="32"/>
  <c r="AD153" i="32"/>
  <c r="AG152" i="32"/>
  <c r="Y152" i="32"/>
  <c r="AD152" i="32" s="1"/>
  <c r="X152" i="32"/>
  <c r="AH152" i="32" s="1"/>
  <c r="AH151" i="32"/>
  <c r="AD151" i="32"/>
  <c r="AH150" i="32"/>
  <c r="AD150" i="32"/>
  <c r="X149" i="32"/>
  <c r="AH149" i="32" s="1"/>
  <c r="T149" i="32"/>
  <c r="AD149" i="32" s="1"/>
  <c r="AH148" i="32"/>
  <c r="AD148" i="32"/>
  <c r="AH147" i="32"/>
  <c r="AD147" i="32"/>
  <c r="AF146" i="32"/>
  <c r="T146" i="32"/>
  <c r="AD146" i="32" s="1"/>
  <c r="AH145" i="32"/>
  <c r="AD145" i="32"/>
  <c r="AH144" i="32"/>
  <c r="AD144" i="32"/>
  <c r="AH143" i="32"/>
  <c r="AD143" i="32"/>
  <c r="X142" i="32"/>
  <c r="AH142" i="32" s="1"/>
  <c r="T142" i="32"/>
  <c r="AD142" i="32" s="1"/>
  <c r="X141" i="32"/>
  <c r="AH141" i="32" s="1"/>
  <c r="T141" i="32"/>
  <c r="AD141" i="32" s="1"/>
  <c r="AH140" i="32"/>
  <c r="AD140" i="32"/>
  <c r="AF138" i="32"/>
  <c r="AE138" i="32"/>
  <c r="Y138" i="32"/>
  <c r="AD138" i="32" s="1"/>
  <c r="X138" i="32"/>
  <c r="AH138" i="32" s="1"/>
  <c r="AF136" i="32"/>
  <c r="AD136" i="32"/>
  <c r="AH135" i="32"/>
  <c r="AD135" i="32"/>
  <c r="AH134" i="32"/>
  <c r="AD134" i="32"/>
  <c r="AH132" i="32"/>
  <c r="AD132" i="32"/>
  <c r="AH131" i="32"/>
  <c r="AD131" i="32"/>
  <c r="AH130" i="32"/>
  <c r="AD130" i="32"/>
  <c r="AH129" i="32"/>
  <c r="AE129" i="32"/>
  <c r="AD129" i="32"/>
  <c r="AH127" i="32"/>
  <c r="AD127" i="32"/>
  <c r="AH125" i="32"/>
  <c r="AD125" i="32"/>
  <c r="AH124" i="32"/>
  <c r="AD124" i="32"/>
  <c r="AH123" i="32"/>
  <c r="AD123" i="32"/>
  <c r="AH121" i="32"/>
  <c r="AD121" i="32"/>
  <c r="AH120" i="32"/>
  <c r="AD120" i="32"/>
  <c r="AH118" i="32"/>
  <c r="AD118" i="32"/>
  <c r="AH117" i="32"/>
  <c r="AD117" i="32"/>
  <c r="AH116" i="32"/>
  <c r="AD116" i="32"/>
  <c r="AH115" i="32"/>
  <c r="AD115" i="32"/>
  <c r="AH114" i="32"/>
  <c r="AD114" i="32"/>
  <c r="AF113" i="32"/>
  <c r="AD113" i="32"/>
  <c r="AH112" i="32"/>
  <c r="AD112" i="32"/>
  <c r="T111" i="32"/>
  <c r="X111" i="32" s="1"/>
  <c r="Y109" i="32"/>
  <c r="V109" i="32"/>
  <c r="T109" i="32"/>
  <c r="AH107" i="32"/>
  <c r="AD107" i="32"/>
  <c r="AG105" i="32"/>
  <c r="AD105" i="32"/>
  <c r="AH104" i="32"/>
  <c r="AD104" i="32"/>
  <c r="Y103" i="32"/>
  <c r="X103" i="32"/>
  <c r="T103" i="32"/>
  <c r="AF102" i="32"/>
  <c r="AD102" i="32"/>
  <c r="X102" i="32"/>
  <c r="AH101" i="32"/>
  <c r="AD101" i="32"/>
  <c r="AH100" i="32"/>
  <c r="AD100" i="32"/>
  <c r="V100" i="32"/>
  <c r="AF100" i="32" s="1"/>
  <c r="AF99" i="32"/>
  <c r="AD99" i="32"/>
  <c r="X99" i="32"/>
  <c r="AH98" i="32"/>
  <c r="AD98" i="32"/>
  <c r="AH97" i="32"/>
  <c r="AD97" i="32"/>
  <c r="AH96" i="32"/>
  <c r="AD96" i="32"/>
  <c r="AH95" i="32"/>
  <c r="AD95" i="32"/>
  <c r="AH94" i="32"/>
  <c r="AD94" i="32"/>
  <c r="AH93" i="32"/>
  <c r="AD93" i="32"/>
  <c r="AH91" i="32"/>
  <c r="AD91" i="32"/>
  <c r="AF89" i="32"/>
  <c r="AD89" i="32"/>
  <c r="AF87" i="32"/>
  <c r="AD87" i="32"/>
  <c r="AF85" i="32"/>
  <c r="AD85" i="32"/>
  <c r="AF83" i="32"/>
  <c r="AD83" i="32"/>
  <c r="AF81" i="32"/>
  <c r="AD81" i="32"/>
  <c r="AF79" i="32"/>
  <c r="AD79" i="32"/>
  <c r="AF77" i="32"/>
  <c r="AD77" i="32"/>
  <c r="AF75" i="32"/>
  <c r="AD75" i="32"/>
  <c r="AH73" i="32"/>
  <c r="AD73" i="32"/>
  <c r="AH71" i="32"/>
  <c r="AD71" i="32"/>
  <c r="AF70" i="32"/>
  <c r="AD70" i="32"/>
  <c r="AH68" i="32"/>
  <c r="AD68" i="32"/>
  <c r="AH67" i="32"/>
  <c r="AD67" i="32"/>
  <c r="V66" i="32"/>
  <c r="AF66" i="32" s="1"/>
  <c r="T66" i="32"/>
  <c r="AD66" i="32" s="1"/>
  <c r="AH64" i="32"/>
  <c r="AD64" i="32"/>
  <c r="AH62" i="32"/>
  <c r="AD62" i="32"/>
  <c r="AF61" i="32"/>
  <c r="AD61" i="32"/>
  <c r="AH59" i="32"/>
  <c r="AD59" i="32"/>
  <c r="AH57" i="32"/>
  <c r="AD57" i="32"/>
  <c r="AF56" i="32"/>
  <c r="AD56" i="32"/>
  <c r="AH54" i="32"/>
  <c r="AD54" i="32"/>
  <c r="AH52" i="32"/>
  <c r="AD52" i="32"/>
  <c r="K52" i="32"/>
  <c r="AH50" i="32"/>
  <c r="AD50" i="32"/>
  <c r="AH49" i="32"/>
  <c r="AD49" i="32"/>
  <c r="AH48" i="32"/>
  <c r="AD48" i="32"/>
  <c r="AH47" i="32"/>
  <c r="AD47" i="32"/>
  <c r="AH46" i="32"/>
  <c r="AD46" i="32"/>
  <c r="AH45" i="32"/>
  <c r="AD45" i="32"/>
  <c r="AH44" i="32"/>
  <c r="AD44" i="32"/>
  <c r="AH43" i="32"/>
  <c r="AD43" i="32"/>
  <c r="AH42" i="32"/>
  <c r="AD42" i="32"/>
  <c r="AH41" i="32"/>
  <c r="AD41" i="32"/>
  <c r="AH40" i="32"/>
  <c r="AD40" i="32"/>
  <c r="AH39" i="32"/>
  <c r="AD39" i="32"/>
  <c r="AH38" i="32"/>
  <c r="AD38" i="32"/>
  <c r="AF37" i="32"/>
  <c r="AD37" i="32"/>
  <c r="X37" i="32"/>
  <c r="AH36" i="32"/>
  <c r="AD36" i="32"/>
  <c r="AE35" i="32"/>
  <c r="AD35" i="32"/>
  <c r="X35" i="32"/>
  <c r="AH34" i="32"/>
  <c r="AD34" i="32"/>
  <c r="AH33" i="32"/>
  <c r="AD33" i="32"/>
  <c r="AD32" i="32"/>
  <c r="X32" i="32"/>
  <c r="AH32" i="32" s="1"/>
  <c r="AH31" i="32"/>
  <c r="AD31" i="32"/>
  <c r="AH30" i="32"/>
  <c r="AD30" i="32"/>
  <c r="AF29" i="32"/>
  <c r="AE29" i="32"/>
  <c r="AD29" i="32"/>
  <c r="X29" i="32"/>
  <c r="AH29" i="32" s="1"/>
  <c r="AH28" i="32"/>
  <c r="AD28" i="32"/>
  <c r="AH27" i="32"/>
  <c r="AD27" i="32"/>
  <c r="AH26" i="32"/>
  <c r="AD26" i="32"/>
  <c r="AF25" i="32"/>
  <c r="AD25" i="32"/>
  <c r="X25" i="32"/>
  <c r="AH24" i="32"/>
  <c r="AD24" i="32"/>
  <c r="AH23" i="32"/>
  <c r="AD23" i="32"/>
  <c r="AF22" i="32"/>
  <c r="Y22" i="32"/>
  <c r="AD22" i="32" s="1"/>
  <c r="X22" i="32"/>
  <c r="AF21" i="32"/>
  <c r="Y21" i="32"/>
  <c r="AD21" i="32" s="1"/>
  <c r="AF20" i="32"/>
  <c r="AE20" i="32"/>
  <c r="Y20" i="32"/>
  <c r="AD20" i="32" s="1"/>
  <c r="X20" i="32"/>
  <c r="AH20" i="32" s="1"/>
  <c r="AH19" i="32"/>
  <c r="AF19" i="32"/>
  <c r="T19" i="32"/>
  <c r="AD19" i="32" s="1"/>
  <c r="Y17" i="32"/>
  <c r="X17" i="32"/>
  <c r="T17" i="32"/>
  <c r="P17" i="32"/>
  <c r="B17" i="32"/>
  <c r="AH15" i="32"/>
  <c r="AD15" i="32"/>
  <c r="AH14" i="32"/>
  <c r="Y14" i="32"/>
  <c r="AD14" i="32" s="1"/>
  <c r="B14" i="32"/>
  <c r="B13" i="32"/>
  <c r="AB12" i="32"/>
  <c r="W12" i="32"/>
  <c r="U12" i="32"/>
  <c r="Q12" i="32"/>
  <c r="M12" i="32"/>
  <c r="J12" i="32"/>
  <c r="H12" i="32"/>
  <c r="G42" i="31"/>
  <c r="G10" i="31" s="1"/>
  <c r="C42" i="31"/>
  <c r="N47" i="31"/>
  <c r="D47" i="31"/>
  <c r="C47" i="31"/>
  <c r="E81" i="31"/>
  <c r="E10" i="31" s="1"/>
  <c r="D81" i="31"/>
  <c r="C81" i="31"/>
  <c r="C20" i="31"/>
  <c r="T20" i="31" s="1"/>
  <c r="I69" i="31"/>
  <c r="D69" i="31"/>
  <c r="C69" i="31"/>
  <c r="D67" i="31"/>
  <c r="C67" i="31"/>
  <c r="D65" i="31"/>
  <c r="C65" i="31"/>
  <c r="D64" i="31"/>
  <c r="C64" i="31"/>
  <c r="D17" i="31"/>
  <c r="C17" i="31"/>
  <c r="D59" i="31"/>
  <c r="C59" i="31"/>
  <c r="D58" i="31"/>
  <c r="C58" i="31"/>
  <c r="Q57" i="31"/>
  <c r="Q10" i="31" s="1"/>
  <c r="D57" i="31"/>
  <c r="C57" i="31"/>
  <c r="O56" i="31"/>
  <c r="N56" i="31"/>
  <c r="D56" i="31"/>
  <c r="C56" i="31"/>
  <c r="D55" i="31"/>
  <c r="C55" i="31"/>
  <c r="D54" i="31"/>
  <c r="C54" i="31"/>
  <c r="C53" i="31"/>
  <c r="T53" i="31" s="1"/>
  <c r="N52" i="31"/>
  <c r="D52" i="31"/>
  <c r="C52" i="31"/>
  <c r="C50" i="31"/>
  <c r="T50" i="31" s="1"/>
  <c r="N18" i="31"/>
  <c r="D18" i="31"/>
  <c r="C18" i="31"/>
  <c r="P91" i="31"/>
  <c r="N91" i="31"/>
  <c r="D91" i="31"/>
  <c r="C91" i="31"/>
  <c r="D89" i="31"/>
  <c r="C89" i="31"/>
  <c r="D49" i="31"/>
  <c r="C49" i="31"/>
  <c r="N16" i="31"/>
  <c r="M16" i="31"/>
  <c r="M10" i="31" s="1"/>
  <c r="D16" i="31"/>
  <c r="C16" i="31"/>
  <c r="N15" i="31"/>
  <c r="D15" i="31"/>
  <c r="C15" i="31"/>
  <c r="O13" i="31"/>
  <c r="O10" i="31" s="1"/>
  <c r="N13" i="31"/>
  <c r="D13" i="31"/>
  <c r="C13" i="31"/>
  <c r="I44" i="31"/>
  <c r="I10" i="31" s="1"/>
  <c r="D44" i="31"/>
  <c r="C44" i="31"/>
  <c r="N40" i="31"/>
  <c r="D40" i="31"/>
  <c r="C40" i="31"/>
  <c r="P33" i="31"/>
  <c r="N33" i="31"/>
  <c r="D33" i="31"/>
  <c r="C33" i="31"/>
  <c r="P29" i="31"/>
  <c r="N29" i="31"/>
  <c r="D29" i="31"/>
  <c r="C29" i="31"/>
  <c r="P27" i="31"/>
  <c r="N27" i="31"/>
  <c r="D27" i="31"/>
  <c r="C27" i="31"/>
  <c r="C26" i="31"/>
  <c r="T26" i="31" s="1"/>
  <c r="C25" i="31"/>
  <c r="T25" i="31" s="1"/>
  <c r="P24" i="31"/>
  <c r="P10" i="31" s="1"/>
  <c r="N24" i="31"/>
  <c r="D24" i="31"/>
  <c r="C24" i="31"/>
  <c r="D12" i="31"/>
  <c r="C12" i="31"/>
  <c r="D11" i="31"/>
  <c r="C11" i="31"/>
  <c r="C10" i="31" l="1"/>
  <c r="N10" i="31"/>
  <c r="T12" i="31"/>
  <c r="T27" i="31"/>
  <c r="T29" i="31"/>
  <c r="T33" i="31"/>
  <c r="T40" i="31"/>
  <c r="T58" i="31"/>
  <c r="T17" i="31"/>
  <c r="T65" i="31"/>
  <c r="T69" i="31"/>
  <c r="T81" i="31"/>
  <c r="T13" i="31"/>
  <c r="T15" i="31"/>
  <c r="T59" i="31"/>
  <c r="T64" i="31"/>
  <c r="T67" i="31"/>
  <c r="T44" i="31"/>
  <c r="T89" i="31"/>
  <c r="T55" i="31"/>
  <c r="T47" i="31"/>
  <c r="S378" i="32"/>
  <c r="S12" i="32" s="1"/>
  <c r="AA12" i="32"/>
  <c r="AH37" i="32"/>
  <c r="AH102" i="32"/>
  <c r="AH317" i="32"/>
  <c r="AH411" i="32"/>
  <c r="AH428" i="32"/>
  <c r="AH437" i="32"/>
  <c r="AH438" i="32"/>
  <c r="N110" i="32"/>
  <c r="N12" i="32" s="1"/>
  <c r="AD110" i="32"/>
  <c r="AH111" i="32"/>
  <c r="AH284" i="32"/>
  <c r="AD17" i="32"/>
  <c r="AF32" i="32"/>
  <c r="AH103" i="32"/>
  <c r="K378" i="32"/>
  <c r="K12" i="32" s="1"/>
  <c r="AH162" i="32"/>
  <c r="AH283" i="32"/>
  <c r="AH312" i="32"/>
  <c r="AH434" i="32"/>
  <c r="AH444" i="32"/>
  <c r="AG12" i="32"/>
  <c r="AC12" i="32"/>
  <c r="AD109" i="32"/>
  <c r="AH257" i="32"/>
  <c r="AH260" i="32"/>
  <c r="X314" i="32"/>
  <c r="AH314" i="32" s="1"/>
  <c r="D42" i="31"/>
  <c r="T42" i="31" s="1"/>
  <c r="T11" i="31"/>
  <c r="T24" i="31"/>
  <c r="T16" i="31"/>
  <c r="T49" i="31"/>
  <c r="T91" i="31"/>
  <c r="T18" i="31"/>
  <c r="T52" i="31"/>
  <c r="T54" i="31"/>
  <c r="T56" i="31"/>
  <c r="T57" i="31"/>
  <c r="V12" i="32"/>
  <c r="AH160" i="32"/>
  <c r="L12" i="32"/>
  <c r="AH287" i="32"/>
  <c r="AH315" i="32"/>
  <c r="X420" i="32"/>
  <c r="AH420" i="32" s="1"/>
  <c r="AH486" i="32"/>
  <c r="AH17" i="32"/>
  <c r="AD103" i="32"/>
  <c r="X146" i="32"/>
  <c r="AH146" i="32" s="1"/>
  <c r="AE179" i="32"/>
  <c r="P12" i="32"/>
  <c r="AE12" i="32"/>
  <c r="AH25" i="32"/>
  <c r="AH35" i="32"/>
  <c r="AF109" i="32"/>
  <c r="AH285" i="32"/>
  <c r="AH286" i="32"/>
  <c r="X313" i="32"/>
  <c r="AH313" i="32" s="1"/>
  <c r="AH346" i="32"/>
  <c r="AH422" i="32"/>
  <c r="AH436" i="32"/>
  <c r="R110" i="32"/>
  <c r="R12" i="32" s="1"/>
  <c r="O12" i="32"/>
  <c r="I12" i="32"/>
  <c r="AH22" i="32"/>
  <c r="AD111" i="32"/>
  <c r="T12" i="32"/>
  <c r="Y179" i="32"/>
  <c r="AD179" i="32" s="1"/>
  <c r="X351" i="32"/>
  <c r="AH351" i="32" s="1"/>
  <c r="G12" i="32"/>
  <c r="D10" i="31" l="1"/>
  <c r="C47" i="47" s="1"/>
  <c r="AF12" i="32"/>
  <c r="X12" i="32"/>
  <c r="Y12" i="32"/>
  <c r="C57" i="47" s="1"/>
  <c r="C58" i="47" s="1"/>
  <c r="T10" i="31" l="1"/>
  <c r="AH12" i="32"/>
  <c r="AD12" i="32"/>
  <c r="C45" i="47" l="1"/>
  <c r="R42" i="20" l="1"/>
  <c r="R51" i="20"/>
  <c r="R86" i="20"/>
  <c r="R84" i="20"/>
  <c r="R57" i="20"/>
  <c r="R90" i="20"/>
  <c r="R81" i="20"/>
  <c r="R89" i="20"/>
  <c r="R88" i="20"/>
  <c r="R80" i="20"/>
  <c r="R55" i="20"/>
  <c r="R53" i="20"/>
  <c r="N59" i="20"/>
  <c r="N12" i="20" s="1"/>
  <c r="H56" i="20"/>
  <c r="H12" i="20" s="1"/>
  <c r="D56" i="20" l="1"/>
  <c r="D59" i="20"/>
  <c r="R59" i="20" s="1"/>
  <c r="R58" i="20"/>
  <c r="I6" i="20"/>
  <c r="R54" i="20"/>
  <c r="D12" i="20" l="1"/>
  <c r="R56" i="20"/>
  <c r="H6" i="20"/>
  <c r="C48" i="47" l="1"/>
  <c r="N10" i="21"/>
  <c r="R91" i="20"/>
  <c r="L90" i="21"/>
  <c r="C6" i="20"/>
  <c r="S12" i="20"/>
  <c r="R12" i="20" l="1"/>
  <c r="C43" i="47"/>
  <c r="C41" i="47"/>
  <c r="D6" i="20"/>
  <c r="C39" i="47" l="1"/>
  <c r="F39" i="47" l="1"/>
  <c r="C46" i="47"/>
  <c r="F46" i="47" s="1"/>
  <c r="C22" i="13" l="1"/>
  <c r="C21" i="13" l="1"/>
  <c r="K9" i="13" s="1"/>
  <c r="D22" i="13" l="1"/>
  <c r="E22" i="13" l="1"/>
  <c r="G40" i="13" l="1"/>
  <c r="G41" i="13" s="1"/>
  <c r="E41" i="13"/>
  <c r="E40" i="13" l="1"/>
  <c r="C32" i="47" l="1"/>
  <c r="C17" i="47" l="1"/>
  <c r="C7" i="47" l="1"/>
  <c r="C2" i="47" l="1"/>
  <c r="C8" i="47" l="1"/>
  <c r="E3" i="47"/>
  <c r="W6" i="39" l="1"/>
  <c r="X6" i="39" s="1"/>
  <c r="U6" i="39" l="1"/>
  <c r="V6" i="39" s="1"/>
  <c r="C34" i="47" l="1"/>
  <c r="C19" i="47" l="1"/>
  <c r="E24" i="13" l="1"/>
  <c r="D23" i="13"/>
  <c r="F24" i="13"/>
  <c r="E23" i="13" l="1"/>
  <c r="D21" i="13"/>
  <c r="C23" i="47" l="1"/>
  <c r="C24" i="47" s="1"/>
  <c r="H21" i="13"/>
  <c r="J9" i="13" s="1"/>
  <c r="G21" i="13"/>
  <c r="G23" i="13" s="1"/>
  <c r="D29" i="13"/>
  <c r="E21" i="13"/>
  <c r="C29" i="47"/>
  <c r="G29" i="13" l="1"/>
  <c r="F47" i="13"/>
  <c r="G47" i="13" s="1"/>
  <c r="C27" i="47" l="1"/>
  <c r="C14" i="47"/>
  <c r="C12" i="47" l="1"/>
  <c r="C26" i="47"/>
  <c r="C40" i="47"/>
  <c r="F26" i="47" l="1"/>
  <c r="C11" i="47"/>
  <c r="C38" i="47" l="1"/>
</calcChain>
</file>

<file path=xl/sharedStrings.xml><?xml version="1.0" encoding="utf-8"?>
<sst xmlns="http://schemas.openxmlformats.org/spreadsheetml/2006/main" count="2856" uniqueCount="1528">
  <si>
    <t>Tổng số</t>
  </si>
  <si>
    <t>STT</t>
  </si>
  <si>
    <t>Nội dung</t>
  </si>
  <si>
    <t>A</t>
  </si>
  <si>
    <t>B</t>
  </si>
  <si>
    <t>II</t>
  </si>
  <si>
    <t>III</t>
  </si>
  <si>
    <t>IV</t>
  </si>
  <si>
    <t>Thu từ quỹ dự trữ tài chính</t>
  </si>
  <si>
    <t>I</t>
  </si>
  <si>
    <t>C</t>
  </si>
  <si>
    <t>Thu bổ sung từ ngân sách cấp trên</t>
  </si>
  <si>
    <t>Bổ sung có mục tiêu</t>
  </si>
  <si>
    <t>Thu từ ngân sách cấp dưới nộp lên</t>
  </si>
  <si>
    <t>D</t>
  </si>
  <si>
    <t>E</t>
  </si>
  <si>
    <t>Chi đầu tư phát triển</t>
  </si>
  <si>
    <t>Chi quốc phòng</t>
  </si>
  <si>
    <t>Chi an ninh và trật tự an toàn xã hội</t>
  </si>
  <si>
    <t>Chi các hoạt động kinh tế</t>
  </si>
  <si>
    <t>Chi thường xuyên</t>
  </si>
  <si>
    <t>Chi bổ sung quỹ dự trữ tài chính</t>
  </si>
  <si>
    <t>Trong đó</t>
  </si>
  <si>
    <t>1=2+3+4</t>
  </si>
  <si>
    <t>Đơn vị: Triệu đồng</t>
  </si>
  <si>
    <t>Dự toán</t>
  </si>
  <si>
    <t>Quyết toán</t>
  </si>
  <si>
    <t>TỔNG NGUỒN THU NSĐP</t>
  </si>
  <si>
    <t>Thu NSĐP được hưởng theo phân cấp</t>
  </si>
  <si>
    <t>-</t>
  </si>
  <si>
    <t>Thu NSĐP hưởng 100%</t>
  </si>
  <si>
    <t>Thu NSĐP hưởng từ các khoản thu phân chia</t>
  </si>
  <si>
    <t xml:space="preserve">Thu bổ sung từ ngân sách cấp trên </t>
  </si>
  <si>
    <t>Thu bổ sung cân đối ngân sách</t>
  </si>
  <si>
    <t>Thu bổ sung có mục tiêu</t>
  </si>
  <si>
    <t>Thu kết dư</t>
  </si>
  <si>
    <t>Thu chuyển nguồn từ năm trước chuyển sang</t>
  </si>
  <si>
    <t>TỔNG CHI NSĐP</t>
  </si>
  <si>
    <t xml:space="preserve">Tổng chi cân đối NSĐP </t>
  </si>
  <si>
    <t>Chi trả nợ lãi các khoản do chính quyền địa phương vay</t>
  </si>
  <si>
    <t>Dự phòng ngân sách</t>
  </si>
  <si>
    <t>Chi các chương trình mục tiêu</t>
  </si>
  <si>
    <t>Chi các chương trình mục tiêu quốc gia</t>
  </si>
  <si>
    <t>Chi các chương trình mục tiêu, nhiệm vụ</t>
  </si>
  <si>
    <t>Chi chuyển nguồn sang năm sau</t>
  </si>
  <si>
    <t>CHI TRẢ NỢ GỐC CỦA NSĐP</t>
  </si>
  <si>
    <t>Từ nguồn vay để trả nợ gốc</t>
  </si>
  <si>
    <t>TỔNG MỨC VAY CỦA NSĐP</t>
  </si>
  <si>
    <t>Vay để bù đắp bội chi</t>
  </si>
  <si>
    <t>Vay để trả nợ gốc</t>
  </si>
  <si>
    <t>TỔNG MỨC DƯ NỢ VAY CUỐI NĂM CỦA NSĐP</t>
  </si>
  <si>
    <t>Biểu mẫu số 49</t>
  </si>
  <si>
    <t>So sánh (%)</t>
  </si>
  <si>
    <t>Nguồn thu ngân sách</t>
  </si>
  <si>
    <t>Thu ngân sách được hưởng theo phân cấp</t>
  </si>
  <si>
    <t>Bổ sung cân đối ngân sách</t>
  </si>
  <si>
    <t>Chi ngân sách</t>
  </si>
  <si>
    <t>Chi bổ sung cho ngân sách cấp dưới</t>
  </si>
  <si>
    <t>Chi bổ sung cân đối ngân sách</t>
  </si>
  <si>
    <t>Chi bổ sung có mục tiêu</t>
  </si>
  <si>
    <t>Thu viện trợ</t>
  </si>
  <si>
    <t>3=2/1</t>
  </si>
  <si>
    <t>Chi giáo dục - đào tạo và dạy nghề</t>
  </si>
  <si>
    <t>Chi khoa học và công nghệ</t>
  </si>
  <si>
    <t>Chi y tế, dân số và gia đình</t>
  </si>
  <si>
    <t>Chi văn hóa thông tin</t>
  </si>
  <si>
    <t>Chi phát thanh, truyền hình, thông tấn</t>
  </si>
  <si>
    <t>Chi thể dục thể thao</t>
  </si>
  <si>
    <t>Chi bảo vệ môi trường</t>
  </si>
  <si>
    <t>Chi bảo đảm xã hội</t>
  </si>
  <si>
    <t>Bao gồm</t>
  </si>
  <si>
    <t>Tên đơn vị</t>
  </si>
  <si>
    <t>TỔNG SỐ</t>
  </si>
  <si>
    <t>Biểu mẫu số 55</t>
  </si>
  <si>
    <t>Chi giao thông</t>
  </si>
  <si>
    <t>18=2/1</t>
  </si>
  <si>
    <t>Biểu mẫu số 56</t>
  </si>
  <si>
    <t>18= 2/1</t>
  </si>
  <si>
    <t>Biểu mẫu số 57</t>
  </si>
  <si>
    <t>Dự toán được cấp</t>
  </si>
  <si>
    <t>Kinh phí thực hiện trong năm</t>
  </si>
  <si>
    <t>Nguồn còn lại</t>
  </si>
  <si>
    <t>Chuyển nguồn năm sau</t>
  </si>
  <si>
    <t>Hủy bỏ</t>
  </si>
  <si>
    <t>Gồm</t>
  </si>
  <si>
    <t>Biểu mẫu số 60</t>
  </si>
  <si>
    <t>Tổng thu NSĐP</t>
  </si>
  <si>
    <t>Thu NSĐP hưởng theo phân cấp</t>
  </si>
  <si>
    <t>Số bổ sung cân đối từ ngân sách cấp trên</t>
  </si>
  <si>
    <t>Số bổ sung thực hiện cải cách tiền lương</t>
  </si>
  <si>
    <t>Thu từ kết dư năm trước</t>
  </si>
  <si>
    <t>Biểu mẫu số 62</t>
  </si>
  <si>
    <t>Danh mục dự án</t>
  </si>
  <si>
    <t>Địa điểm xây dựng</t>
  </si>
  <si>
    <t>Năng lực thiết kế</t>
  </si>
  <si>
    <t>Thời gian khởi công - hoàn thành</t>
  </si>
  <si>
    <t>Quyết định đầu tư</t>
  </si>
  <si>
    <t>QUYẾT TOÁN</t>
  </si>
  <si>
    <t>Số Quyết định, ngày, tháng, năm ban hành</t>
  </si>
  <si>
    <t>Tổng mức đầu tư được duyệt</t>
  </si>
  <si>
    <t>Tổng số (tất cả các nguồn vốn)</t>
  </si>
  <si>
    <t>Ngoài nước</t>
  </si>
  <si>
    <t>Ngân sách trung ương</t>
  </si>
  <si>
    <t>Biểu mẫu số 63</t>
  </si>
  <si>
    <t>Tổng nguồn vốn phát sinh trong năm</t>
  </si>
  <si>
    <t>Tổng sử dụng nguồn vốn trong năm</t>
  </si>
  <si>
    <t>Chênh lệch nguồn trong năm</t>
  </si>
  <si>
    <t>5=2-4</t>
  </si>
  <si>
    <t>9=6-8</t>
  </si>
  <si>
    <t>Biểu mẫu số 64</t>
  </si>
  <si>
    <t>Sự nghiệp giáo dục - đào tạo và dạy nghề</t>
  </si>
  <si>
    <t>Sự nghiệp khoa học và công nghệ</t>
  </si>
  <si>
    <t>Sự nghiệp y tế</t>
  </si>
  <si>
    <t>Sự nghiệp phát thanh truyền hình</t>
  </si>
  <si>
    <t>Sự nghiệp thể dục thể thao</t>
  </si>
  <si>
    <t>Chi đầu tư</t>
  </si>
  <si>
    <t>Nghị định số 31/2017/NĐ-CP ngày 23/3/2017 của Chính Phủ</t>
  </si>
  <si>
    <t>NGÂN SÁCH CẤP TỈNH</t>
  </si>
  <si>
    <t xml:space="preserve">Chi thuộc nhiệm vụ của ngân sách cấp tỉnh </t>
  </si>
  <si>
    <t>Văn phòng Tỉnh ủy</t>
  </si>
  <si>
    <t>Bộ chỉ huy Quân sự tỉnh</t>
  </si>
  <si>
    <t>Công an tỉnh</t>
  </si>
  <si>
    <t>Ban liên lạc Cựu quân tình nguyện Việt Nam tại Lào</t>
  </si>
  <si>
    <t>Ban quản lý dự án đầu tư xây dựng tỉnh Quảng Nam</t>
  </si>
  <si>
    <t>Ban quản lý quỹ khám chữa bệnh người nghèo tỉnh Quảng Nam</t>
  </si>
  <si>
    <t>Bảo hiểm xã hội tỉnh Quảng Nam</t>
  </si>
  <si>
    <t>Chi thường xuyên khác</t>
  </si>
  <si>
    <t>Công đoàn viên chức tỉnh Quảng Nam</t>
  </si>
  <si>
    <t>Công ty cổ phần Môi trường đô thị Quảng Nam</t>
  </si>
  <si>
    <t>Công ty TNHH Một thành viên Khai thác thủy lợi Quảng Nam</t>
  </si>
  <si>
    <t>Cục Thống kê tỉnh Quảng Nan</t>
  </si>
  <si>
    <t>Hội Quế Trà My</t>
  </si>
  <si>
    <t>Liên đoàn Cầu lông tỉnh Quảng Nam</t>
  </si>
  <si>
    <t>Quỹ Bảo trì đường bộ tỉnh Quảng Nam</t>
  </si>
  <si>
    <t>Văn phòng đại diện tại Hà Nội</t>
  </si>
  <si>
    <t xml:space="preserve">Dự toán đầu năm </t>
  </si>
  <si>
    <t>6=1-5</t>
  </si>
  <si>
    <t>Quỹ Đầu tư Phát triển Quảng Nam</t>
  </si>
  <si>
    <t xml:space="preserve">Quỹ Hỗ trợ Phát triển Hợp tác xã </t>
  </si>
  <si>
    <t>Ban Dân tộc</t>
  </si>
  <si>
    <t>Ban đại diện Hội Người cao tuổi Tỉnh</t>
  </si>
  <si>
    <t>Ban quản lý dự án đầu tư xây dựng tỉnh</t>
  </si>
  <si>
    <t>Ban Quản lý Khu Bảo tồn loài Sao La</t>
  </si>
  <si>
    <t>Ban Quản lý Khu bảo tồn thiên nhiên Sông Thanh</t>
  </si>
  <si>
    <t>BQL Dự án rừng phòng hộ A Vương</t>
  </si>
  <si>
    <t>Ban Quản lý rừng phòng hộ Bắc Sông Bung</t>
  </si>
  <si>
    <t>Ban Quản lý rừng phòng hộ Đăk Mi</t>
  </si>
  <si>
    <t>Ban Quản lý rừng phòng hộ Nam Sông Bung</t>
  </si>
  <si>
    <t>Ban Quản lý rừng phòng hộ Phú Ninh</t>
  </si>
  <si>
    <t>BQL Dự án rừng phòng hộ Sông Kôn</t>
  </si>
  <si>
    <t>Ban Quản lý rừng phòng hộ Sông Tranh</t>
  </si>
  <si>
    <t>BQL Dự án trồng rừng huyện Tiên Phước</t>
  </si>
  <si>
    <t>BQL Dự án trồng rừng huyện Hiệp Đức</t>
  </si>
  <si>
    <t>BQL Dự án trồng rừng huyện Thăng Bình</t>
  </si>
  <si>
    <t>BQL Dự án trồng rừng huyện Núi Thành</t>
  </si>
  <si>
    <t>BQL Dự án trồng rừng trên đất cát Tam Kỳ</t>
  </si>
  <si>
    <t>BQL Dự án trồng rừng huyện Đông Giang</t>
  </si>
  <si>
    <t>BQL dự án trồng rừng huyện Nam Trà My</t>
  </si>
  <si>
    <t>BQL Dự án trồng rừng huyện Tây Giang</t>
  </si>
  <si>
    <t>Ban Tuyên giáo Tỉnh ủy</t>
  </si>
  <si>
    <t>BCH Bộ đội biên phòng Tỉnh</t>
  </si>
  <si>
    <t>BCH Hội cựu chiến binh Tỉnh</t>
  </si>
  <si>
    <t>BCH Quân sự Tỉnh</t>
  </si>
  <si>
    <t>Bệnh viện đa khoa Tỉnh</t>
  </si>
  <si>
    <t>Bệnh viện ĐKKV miền núi phía Bắc</t>
  </si>
  <si>
    <t>Bệnh viện Phạm Ngọc Thạch</t>
  </si>
  <si>
    <t>BQL DA ĐTXD các công trình giao thông</t>
  </si>
  <si>
    <t>BQL DA ĐTXD các công trình NN&amp;PTNT tỉnh</t>
  </si>
  <si>
    <t>BQL dự án giảm nghèo khu vực Tây Nguyên Quảng Nam</t>
  </si>
  <si>
    <t>BQL Khu Kinh tế mở Chu Lai</t>
  </si>
  <si>
    <t>BQL Chương trình 661</t>
  </si>
  <si>
    <t xml:space="preserve">BQL DA cải thiện môi trường đô thị Tam Kỳ </t>
  </si>
  <si>
    <t>BQL PT đô thị mới Điện Nam- Điện Ngọc</t>
  </si>
  <si>
    <t>Công ty cổ phần cấp thoát nước QNam</t>
  </si>
  <si>
    <t>Công ty cổ phần MTĐT Quảng Nam</t>
  </si>
  <si>
    <t>Công ty CP gỗ công nghiệp Quảng Nam</t>
  </si>
  <si>
    <t>Cty TNHH MTV Khai thác công trình thủy lợi QNam</t>
  </si>
  <si>
    <t>Công ty TNHH Phát triển Nam Hội An</t>
  </si>
  <si>
    <t>Công ty CP ĐT&amp;PT Kỳ Hà - Chu Lai</t>
  </si>
  <si>
    <t>Cơ sở cai nghiện ma túy Quảng Nam</t>
  </si>
  <si>
    <t>Chi cục Kiểm lâm tỉnh</t>
  </si>
  <si>
    <t>Chi cục phòng chống TNXH Tỉnh</t>
  </si>
  <si>
    <t>Chi cục Thú y</t>
  </si>
  <si>
    <t>Đài PTTH Tỉnh</t>
  </si>
  <si>
    <t>Hội Liên hiệp phụ nữ Tỉnh</t>
  </si>
  <si>
    <t>Hội Nông dân tỉnh</t>
  </si>
  <si>
    <t>Lữ đoàn Công binh 270</t>
  </si>
  <si>
    <t>Sở Công thương</t>
  </si>
  <si>
    <t xml:space="preserve">  Sở Giáo dục và Đạo tạo</t>
  </si>
  <si>
    <t>Sở Giao thông Vận tải</t>
  </si>
  <si>
    <t>Sở Kế hoạch và Đầu tư</t>
  </si>
  <si>
    <t>Sở Khoa học và Công nghệ</t>
  </si>
  <si>
    <t>Sở LĐ-TB&amp;XH</t>
  </si>
  <si>
    <t>Sở NN&amp;PTNT</t>
  </si>
  <si>
    <t>Sở Nội vụ</t>
  </si>
  <si>
    <t xml:space="preserve"> Sở Tài chính</t>
  </si>
  <si>
    <t>Sở Tài nguyên và Môi trường</t>
  </si>
  <si>
    <t>Sở Thông tin và Truyền thông</t>
  </si>
  <si>
    <t>Sở VH-TT&amp;DL</t>
  </si>
  <si>
    <t>Sở Y tế</t>
  </si>
  <si>
    <t>Tỉnh đoàn Quảng Nam</t>
  </si>
  <si>
    <t>TT Nuôi dưỡng, điều dưỡng người có công QNam</t>
  </si>
  <si>
    <t>Trung tâm Dịch vụ việc làm Quảng Nam</t>
  </si>
  <si>
    <t>Trung tâm giống thủy sản QNam</t>
  </si>
  <si>
    <t>Trung tâm HCC&amp;XTĐT Tỉnh</t>
  </si>
  <si>
    <t>Trung tâm phát triển quỹ đất tỉnh Quảng Nam</t>
  </si>
  <si>
    <t>Trung tâm Quản lý Di tích và Danh thắng</t>
  </si>
  <si>
    <t>Trung tâm Y tế thị xã Điện Bàn</t>
  </si>
  <si>
    <t>Trường CĐ nghề QNam</t>
  </si>
  <si>
    <t>Trường CĐ Y tế Quảng Nam</t>
  </si>
  <si>
    <t>Trường Chính trị tỉnh QNam</t>
  </si>
  <si>
    <t>Trường ĐH Quảng Nam</t>
  </si>
  <si>
    <t>UBMT TQVN Tỉnh</t>
  </si>
  <si>
    <t>Viện Kiểm sát nhân dân tỉnh</t>
  </si>
  <si>
    <t>VP Chi cục Dân số và Kế hoạch hóa gia đình tỉnh</t>
  </si>
  <si>
    <t>Giá trị khối lượng thực hiện từ khởi công đến 31/12/2017</t>
  </si>
  <si>
    <t>Lũy kế vốn đã bố trí đến 31/12/2017</t>
  </si>
  <si>
    <t>TPCP</t>
  </si>
  <si>
    <t>NSĐP</t>
  </si>
  <si>
    <t>Ngân sách trung ương+TPCP</t>
  </si>
  <si>
    <t>29=23/18</t>
  </si>
  <si>
    <t>30=24/19</t>
  </si>
  <si>
    <t>31=(25+26)/20</t>
  </si>
  <si>
    <t>32=27/21</t>
  </si>
  <si>
    <t>33=28/22</t>
  </si>
  <si>
    <t>Tam Kỳ</t>
  </si>
  <si>
    <t>2017-2018</t>
  </si>
  <si>
    <t>1878/QĐ-UBND</t>
  </si>
  <si>
    <t>Bia di tích lịch sử Ban cán sự miền Tây Quảng Nam; hạng mục: nhà bia, tường rào cổng ngõ, san nền, kè đá</t>
  </si>
  <si>
    <t>Nam Trà My</t>
  </si>
  <si>
    <t>2016-2018</t>
  </si>
  <si>
    <t>3966/QĐ-UBND</t>
  </si>
  <si>
    <t>2607/QĐ-UBND</t>
  </si>
  <si>
    <t>BQL dự án đầu tư xây dựng Tỉnh</t>
  </si>
  <si>
    <t>Tượng đài Bà mẹ Việt Nam anh hùng</t>
  </si>
  <si>
    <t>2011-2017</t>
  </si>
  <si>
    <t>2269/QĐ-UBND</t>
  </si>
  <si>
    <t>Thu gom, xử lý nước thải và thoát nước thành phố Tam Kỳ</t>
  </si>
  <si>
    <t>2012-2017</t>
  </si>
  <si>
    <t>2917/QĐ-UBND</t>
  </si>
  <si>
    <t>Cầu Kỳ Phú 1 và Cầu Kỳ Phú 2</t>
  </si>
  <si>
    <t>2012-2016</t>
  </si>
  <si>
    <t>874/QĐ-UBND</t>
  </si>
  <si>
    <t>Nâng cấp, mở rộng tuyến đường ĐT 609</t>
  </si>
  <si>
    <t>Điện Bàn-Đại Lộc</t>
  </si>
  <si>
    <t>1079/QĐ-UBND</t>
  </si>
  <si>
    <t>Nâng cấp, mở rộng đường ĐT609B (đoạn từ ngã ba Hòa Đông đến ngã tư Ái Nghĩa), huyện Đại Lộc, tỉnh Quảng Nam</t>
  </si>
  <si>
    <t xml:space="preserve">Đại Lộc </t>
  </si>
  <si>
    <t>2015-2017</t>
  </si>
  <si>
    <t>3445/QĐ-UBND</t>
  </si>
  <si>
    <t>Xây dựng trụ sở làm việc Ban quản lý dự án đầu tư xây dựng Quảng Nam (giai đoạn I)</t>
  </si>
  <si>
    <t>2014-2017</t>
  </si>
  <si>
    <t>1028/QĐ-UBND</t>
  </si>
  <si>
    <t>Cầu Giao Thủy tỉnh Quảng Nam</t>
  </si>
  <si>
    <t>Duy Xuyên-Đại Lộc</t>
  </si>
  <si>
    <t>3425/QĐ-UBND</t>
  </si>
  <si>
    <t>Nghĩa trang liệt sĩ tỉnh Quảng Nam</t>
  </si>
  <si>
    <t>2013-2016</t>
  </si>
  <si>
    <t>2335/QĐ-UBND</t>
  </si>
  <si>
    <t>Nhà khách tỉnh Quảng Nam</t>
  </si>
  <si>
    <t>2013-2014</t>
  </si>
  <si>
    <t>4331/QĐ-UBND</t>
  </si>
  <si>
    <t>Xây dựng đường giao thông ĐT 611, lý trình Km29+00-Km37+603,51, huyện Nông Sơn, Quảng Nam</t>
  </si>
  <si>
    <t>Nông Sơn</t>
  </si>
  <si>
    <t>338/QĐ-UBND</t>
  </si>
  <si>
    <t>Dự án phát triển các thành phố loại 2 tại Quảng Nam, Hà Tĩnh và Đắk Lắk, tiểu dự án phát triển thành phố Tam Kỳ</t>
  </si>
  <si>
    <t>2013-2019</t>
  </si>
  <si>
    <t>1230/QĐ-UBND</t>
  </si>
  <si>
    <t>Đầu tư xây dựng Trường THPT Duy Tân; Hạng mục: Các khối nhà lớp học và các hạng mục phụ trợ</t>
  </si>
  <si>
    <t>1426/QĐ-UBND</t>
  </si>
  <si>
    <t>Cây xanh sân vườn - Mở rộng Bảo tàng Tượng đài Bà mẹ Việt Nam Anh hùng</t>
  </si>
  <si>
    <t>4580/QĐ-UBND</t>
  </si>
  <si>
    <t>Đường từ Trung tâm huyện Đại Lộc đi các xã vùng lũ ven sông Vu Gia, tỉnh Quảng Nam (ĐH3.ĐL)</t>
  </si>
  <si>
    <t>Đại Lộc</t>
  </si>
  <si>
    <t>2015-2020</t>
  </si>
  <si>
    <t>3430/QĐ-UBND</t>
  </si>
  <si>
    <t>Trường THPT chuyên Lê Thánh Tông (giai đoạn 2)</t>
  </si>
  <si>
    <t>Hội An</t>
  </si>
  <si>
    <t>2015-2018</t>
  </si>
  <si>
    <t>3400/QĐ-UBND</t>
  </si>
  <si>
    <t>Nhà khách tỉnh Quảng Nam - Phần thiết bị</t>
  </si>
  <si>
    <t>724/QĐ-UBND</t>
  </si>
  <si>
    <t>Kè bảo vệ khu đô thị cổ Hội An từ Chùa Cầu đến cầu Cẩm Nam, thành phố Hội An</t>
  </si>
  <si>
    <t>2318/QĐ-UBND</t>
  </si>
  <si>
    <t>Cải tạo Khu di tích Ban Kiểm tra Khu ủy V; hạng mục: Tường rào, gia cố ta luy, sửa chữa nhà quản lý, xử lý và phòng chống mối mọt, hệ thống nước sạch</t>
  </si>
  <si>
    <t>4012/QĐ-UBND</t>
  </si>
  <si>
    <t>Đường nối từ đường Điện Biên Phủ đến đường cao tốc Đà Nẵng - Quảng Ngãi</t>
  </si>
  <si>
    <t>Phú Ninh-Tam Kỳ</t>
  </si>
  <si>
    <t>2016-2020</t>
  </si>
  <si>
    <t>423+3780/QĐ-UBND</t>
  </si>
  <si>
    <t>Không gian trưng bày Mẹ Việt Nam Anh hùng</t>
  </si>
  <si>
    <t>1158A+2071/QĐ-UBND</t>
  </si>
  <si>
    <t>Trung tâm Hành chính công và Xúc tiến đầu tư tỉnh Quảng Nam</t>
  </si>
  <si>
    <t>2016-2017</t>
  </si>
  <si>
    <t>2249/QĐ-UBND</t>
  </si>
  <si>
    <t>Hệ thống thoát nước cho các dự án ven biển phía Bắc thị xã Điện Bàn</t>
  </si>
  <si>
    <t>Điện Bàn</t>
  </si>
  <si>
    <t>3856/QĐ-UBND</t>
  </si>
  <si>
    <t>Cải tạo, nâng cấp các hạng mục về môi trường của Khu chứa và xử lý rác thải Tam Xuân 2, huyện Núi Thành</t>
  </si>
  <si>
    <t>Núi Thành</t>
  </si>
  <si>
    <t>3857/QĐ-UBND</t>
  </si>
  <si>
    <t>Trường THPT Cao Bá Quát; HM: Sửa chữa, cải tạo khu hiệu bộ; bổ sung 5 phòng tổ bộ môn và khu vệ sinh</t>
  </si>
  <si>
    <t>2017-2019</t>
  </si>
  <si>
    <t>3861/QĐ-UBND</t>
  </si>
  <si>
    <t>Trường THPT Lê Quý Đôn; HM: Xây mới khối lớp học 02 tầng 10 phòng; cải tạo khối lớp học cũ thành khối văn phòng; sửa chữa, cải tạo 03 phòng thí nghiệm và các hạng mục phụ trợ</t>
  </si>
  <si>
    <t>3860/QĐ-UBND</t>
  </si>
  <si>
    <t>Cải tạo, nâng cấp Bệnh viện đa khoa khu vực Quảng Nam</t>
  </si>
  <si>
    <t>2017-2020</t>
  </si>
  <si>
    <t>1073/QĐ-UBND</t>
  </si>
  <si>
    <t>Phòng khám Đa khoa Chà Val, huyện Nam Giang</t>
  </si>
  <si>
    <t>Nam Giang</t>
  </si>
  <si>
    <t>43a/QĐ-SKHĐT</t>
  </si>
  <si>
    <t>Trung tâm Công tác xã hội Quảng Nam</t>
  </si>
  <si>
    <t>1081/QĐ-UBND</t>
  </si>
  <si>
    <t>Trường PTDT nội trú Nước Oa, huyện Bắc Trà My, HM: Sửa chữa khối nhà ở học sinh; Xây mới khối nhà ở học sinh 10 phòng 02 tầng</t>
  </si>
  <si>
    <t>Bắc Trà My</t>
  </si>
  <si>
    <t>67/QĐ-SKHĐT</t>
  </si>
  <si>
    <t>Trường THPT Khâm Đức; HM: Cải tạo, sửa chữa nhà ở học sinh 14 phòng; Tường rào, cổng ngõ trường học</t>
  </si>
  <si>
    <t>Phước Sơn</t>
  </si>
  <si>
    <t>68/QĐ-SKHĐT</t>
  </si>
  <si>
    <t>Trường THPT Phan Châu Trinh, huyện Tiên Phước; HM: Cải tạo, sửa chữa Khối nhà lớp học và Khu hiệu bộ</t>
  </si>
  <si>
    <t>Tiên Phước</t>
  </si>
  <si>
    <t>66/QĐ-SKHĐT</t>
  </si>
  <si>
    <t>Trường THPT Phạm Phú Thứ, thị xã Điện Bàn, HM: Cải tạo, sửa chữa khu nhà thí nghiệm, tường rào phía Tây; Xây mới nhà xe giáo viên và học sinh; Bổ sung hệ thống thoát nước ngoài nhà</t>
  </si>
  <si>
    <t>69/QĐ-SKHĐT</t>
  </si>
  <si>
    <t>Cắm mốc ranh giới lâm phận Ban quản lý Khu Bảo tồn loài Sao La, tỉnh Quảng Nam</t>
  </si>
  <si>
    <t>19/QĐ-UBND</t>
  </si>
  <si>
    <t>Cắm mốc ranh giới lâm phận Khu Bảo tồn thiên nhiên Sông Thanh, tỉnh Quảng Nam</t>
  </si>
  <si>
    <t>2016</t>
  </si>
  <si>
    <t>4687/QĐ-UBND</t>
  </si>
  <si>
    <t>Dự án rừng phòng hộ A Vương</t>
  </si>
  <si>
    <t>Cắm mốc ranh giới lâm phận rừng phòng hộ A Vương, tỉnh Quảng Nam</t>
  </si>
  <si>
    <t>1376-QĐ-UBND</t>
  </si>
  <si>
    <t>Cắm mốc ranh giới lâm phận rừng phòng hộ Bắc Sông Bung, tỉnh Quảng Nam</t>
  </si>
  <si>
    <t>5089/QĐ-UBND</t>
  </si>
  <si>
    <t>Dự án rừng phòng hộ Đắc Mi</t>
  </si>
  <si>
    <t>Cắm mốc ranh giới lâm phận rừng phòng hộ Đảk Mi, tỉnh Quảng Nam</t>
  </si>
  <si>
    <t>1377/QĐ-UBND</t>
  </si>
  <si>
    <t>Cắm mốc ranh giới lâm phận rừng phòng hộ Nam Sông Bung, tỉnh Quảng Nam</t>
  </si>
  <si>
    <t>100/QĐ-UBND</t>
  </si>
  <si>
    <t>Dự án rừng phòng hộ Phú Ninh</t>
  </si>
  <si>
    <t>Cắm mốc ranh giới lâm phận rừng phòng hộ Phú Ninh, tỉnh Quảng Nam</t>
  </si>
  <si>
    <t>5088/QĐ-UBND</t>
  </si>
  <si>
    <t>Trồng rừng sau thanh lý khu vực Dương Mốc, xã Tam Đại, huyện Phú Ninh</t>
  </si>
  <si>
    <t>Dự án rừng phòng hộ Sông Kôn</t>
  </si>
  <si>
    <t>Cắm mốc ranh giới lâm phận rừng phòng hộ Sông Kôn, tỉnh Quảng Nam</t>
  </si>
  <si>
    <t>1395/QĐ-UBND</t>
  </si>
  <si>
    <t>Cắm mốc ranh giới lâm phận rừng phòng hộ Sông Tranh, tỉnh Quảng Nam</t>
  </si>
  <si>
    <t>5087/QĐ-UBND</t>
  </si>
  <si>
    <t>Dự án trồng rừng huyện Tiên Phước</t>
  </si>
  <si>
    <t>Dự án trồng rừng huyện Hiệp Đức</t>
  </si>
  <si>
    <t>Dự án trồng rừng huyện Thăng Bình</t>
  </si>
  <si>
    <t>Dự án trồng rừng huyện Núi Thành</t>
  </si>
  <si>
    <t>Dự án trồng rừng trên đất cát Tam Kỳ</t>
  </si>
  <si>
    <t>Dự án trồng rừng huyện Đông Giang</t>
  </si>
  <si>
    <t>Dự án trồng rừng huyện Nam Trà My</t>
  </si>
  <si>
    <t>Dự án trồng rừng huyện Tây Giang</t>
  </si>
  <si>
    <t>Cải tạo và nâng cấp mở rộng trụ sở làm việc Ban Tuyên giáo Tỉnh ủy Quảng Nam</t>
  </si>
  <si>
    <t>05/06/2017- 11/2017</t>
  </si>
  <si>
    <t>3859/QD-UBND</t>
  </si>
  <si>
    <t>4.546,261</t>
  </si>
  <si>
    <t>3.399,472</t>
  </si>
  <si>
    <t>Đường nối các xã biên giới, tuyến AXan - Ch''''Om</t>
  </si>
  <si>
    <t>Tây Giang</t>
  </si>
  <si>
    <t>2006-2014</t>
  </si>
  <si>
    <t>517/QD-UBND</t>
  </si>
  <si>
    <t>Khu nhà nghỉ Tam Thanh</t>
  </si>
  <si>
    <t>Tam Thanh</t>
  </si>
  <si>
    <t>2007-2010</t>
  </si>
  <si>
    <t>3641/QD-UBND</t>
  </si>
  <si>
    <t>Nhà nghiệp vụ đối ngoại Bộ đội Biên phòng Quảng Nam</t>
  </si>
  <si>
    <t>2011-2015</t>
  </si>
  <si>
    <t>3648/QD-UBND</t>
  </si>
  <si>
    <t>Đầu tư thiết bị y tế và doanh cụ Bệnh xá Bộ đội Biên phòng tỉnh</t>
  </si>
  <si>
    <t>Phú Ninh</t>
  </si>
  <si>
    <t>2014-2016</t>
  </si>
  <si>
    <t>604/QD-UBND</t>
  </si>
  <si>
    <t>Trạm kiểm soát An Hòa (Hạng mục: Nhà làm việc)</t>
  </si>
  <si>
    <t>2010-2013</t>
  </si>
  <si>
    <t>3423/QD-UBND</t>
  </si>
  <si>
    <t>Kè bảo vệ đồn Biên phòng 651</t>
  </si>
  <si>
    <t>2014-2015</t>
  </si>
  <si>
    <t>2937/QD-UBND</t>
  </si>
  <si>
    <t>Đường biên giới nối từ xã Chơ Chun, huyện Nam Giang đến xã Ga ri và xã A Xan, huyện Tây Giang (giai đoạn 1)</t>
  </si>
  <si>
    <t>3377/QD-UBND</t>
  </si>
  <si>
    <t>36/QD-UBND</t>
  </si>
  <si>
    <t>Trạm xá Bộ Chỉ huy Quân sự tỉnh Sê Kông - Lào</t>
  </si>
  <si>
    <t>Tỉnh Sê kong-Lào</t>
  </si>
  <si>
    <t>1541/QD-UBND</t>
  </si>
  <si>
    <t>Cầu tàu và nhà làm việc Biên đội tàu của hải đội 2, BCH Bộ đội Biên phòng tỉnh.</t>
  </si>
  <si>
    <t>2015-2016</t>
  </si>
  <si>
    <t>118/QD-UBND</t>
  </si>
  <si>
    <t>Trạm kiểm soát biên phòng Tây Giang</t>
  </si>
  <si>
    <t>1175/QD-UBND</t>
  </si>
  <si>
    <t>Khu di tích thành lập lực lượng an ninh vũ trang tỉnh Quảng Nam</t>
  </si>
  <si>
    <t>Đông Giang</t>
  </si>
  <si>
    <t>1176/QD-UBND</t>
  </si>
  <si>
    <t>Đường Chà Vành- Đắc Pre- Đồn 661- Đắc Pring-TPCP</t>
  </si>
  <si>
    <t>Sửa chữa, cải tạo Trụ sở làm việc Hội Người cao tuổi tỉnh Quảng Nam</t>
  </si>
  <si>
    <t>4213/QD-UBND</t>
  </si>
  <si>
    <t>Cơ sở hạ tầng phục vụ an ninh Quốc phòng đảo Cù Lao Chàm</t>
  </si>
  <si>
    <t>2003-2018</t>
  </si>
  <si>
    <t>2609/QD-UBND</t>
  </si>
  <si>
    <t>Trung tâm Huấn luyện dự bị động viên ( e885), Bộ Chỉ huy Quân sự tỉnh Quảng Nam</t>
  </si>
  <si>
    <t>3440/QD-UBND</t>
  </si>
  <si>
    <t>Doanh trại Tiểu đoàn bộ binh 72, BCH Quân sự tỉnh Quảng nam</t>
  </si>
  <si>
    <t>3403/QD-UBND</t>
  </si>
  <si>
    <t>Dự án rà phá bom mìn, vật nổ còn sót lại sau chiến tranh tại tỉnh Quảng Nam (giai đoạn 2)</t>
  </si>
  <si>
    <t>Qnam</t>
  </si>
  <si>
    <t>3349a/QD-UBND</t>
  </si>
  <si>
    <t>Đầu tư xây dựng Thao trường huấn luyện Bộ Chỉ huy Quân sự tỉnh Sê Kông - Lào</t>
  </si>
  <si>
    <t>Sê Kong-Lào</t>
  </si>
  <si>
    <t>2605/QD-UBND</t>
  </si>
  <si>
    <t>Kết cấu hạ tầng Khu nhà ở gia đình Cơ quan quân sự huyện Đại Lộc (Giai đoạn 2)</t>
  </si>
  <si>
    <t>2693/QD-UBND</t>
  </si>
  <si>
    <t>Kết cấu hạ tầng kỹ thuật Khu nhà ở gia đình cán bộ quân đội Bộ Chỉ huy Quân sự tỉnh Quảng Nam</t>
  </si>
  <si>
    <t>Doanh trại Ban Chỉ huy Quân sự huyện Đắc Chưng, tỉnh Sê Kông (Lào); hạng mục: Nhà làm việc</t>
  </si>
  <si>
    <t>Đắc Chưng-Lào</t>
  </si>
  <si>
    <t>4091/QD-UBND</t>
  </si>
  <si>
    <t>Bồi thường GPMB trong khu vực đất thu hồi của BCH Quân sự tỉnh tại xã Tam Anh Bắc</t>
  </si>
  <si>
    <t>Bênh viện Đa khoa Quảng Nam; hạng mục: Nâng cấp, sửa chữa đường giao thông nội bộ</t>
  </si>
  <si>
    <t>3408/QD-UBND</t>
  </si>
  <si>
    <t>Bệnh viện Đa Khoa Quảng Nam; hạng mục: Máy phát điện 500KVA</t>
  </si>
  <si>
    <t>3438/QD-UBND</t>
  </si>
  <si>
    <t>Hệ thống chụp mạch kỹ thuật số xóa nền (DSA) và máy hấp Plasma</t>
  </si>
  <si>
    <t>3805/QD-UBND</t>
  </si>
  <si>
    <t>Bệnh viện Đa khoa khu vực miền núi phí Bắc tỉnh Quảng Nam (Hạng mục: Khối điều trị bệnh nhân tàn tật)</t>
  </si>
  <si>
    <t>1452/QD-UBND</t>
  </si>
  <si>
    <t>Nhà công vụ Bệnh viện Đa khoa khu vực miền núi phía Bắc Quảng Nam</t>
  </si>
  <si>
    <t>4161/QD-UBND</t>
  </si>
  <si>
    <t>Báo cáo kinh tế kỹ thuật đầu tư xây dựng công trình Bệnh viện Phạm Ngọc Thạch, hạng mục: Cải tạo, nâng cấp hệ thống xử lý nước thải</t>
  </si>
  <si>
    <t>3870/QD-UBND</t>
  </si>
  <si>
    <t>Xây dựng cầu dân sinh và quản lý tài sản đường địa phương (Local Road Assets Management Project - LRAMP)</t>
  </si>
  <si>
    <t>2018-2019</t>
  </si>
  <si>
    <t>622/QD-BGTVT</t>
  </si>
  <si>
    <t>Nâng cấp, mở rộng tuyến đường ĐT.607, đoạn Km14+656,64 - Km22+398; Giai đoạn 2: đoạn Km18+00 - Km22+398</t>
  </si>
  <si>
    <t>Sửa chữa mặt đường ĐT.603B, Lý trình Km 0+00-Km 15+51</t>
  </si>
  <si>
    <t>654/QD-UBND</t>
  </si>
  <si>
    <t>Sửa chữa mặt đường ĐT.610, lý trình: Km 0+00 - Km 25+680</t>
  </si>
  <si>
    <t>Duy Xuyên</t>
  </si>
  <si>
    <t>35/QD-SKHĐT</t>
  </si>
  <si>
    <t>Kè sông khu vực Quảng Đại, xã Đại Cường, huyện Đại Lộc</t>
  </si>
  <si>
    <t>3867/QD-UBND</t>
  </si>
  <si>
    <t>Cảng cá Tam Quang</t>
  </si>
  <si>
    <t>1083/QD-UBND</t>
  </si>
  <si>
    <t>Sửa chữa khẩn cấp kè chống sạt lở bờ biển thôn Tân Lập và thôn Thuận An xã Tam Hải</t>
  </si>
  <si>
    <t>3332/QD-UBND</t>
  </si>
  <si>
    <t>Giảm nghèo khu vực Tây Nguyên tỉnh Quảng Nam</t>
  </si>
  <si>
    <t>Nam Giang-Phước Sơn-Nam Trà My</t>
  </si>
  <si>
    <t>2014-2019</t>
  </si>
  <si>
    <t>3312+4286/QD-UBND</t>
  </si>
  <si>
    <t>Đường Nguyễn Văn Trỗi nối dài - Khu công nghiệp Tam Thăng</t>
  </si>
  <si>
    <t>2004-2009</t>
  </si>
  <si>
    <t>243/QD-KTM</t>
  </si>
  <si>
    <t>Khu kho tổng hợp (Kho ngoại quan) - Kỳ Hà, huyện Núi Thành tỉnh Quảng Nam</t>
  </si>
  <si>
    <t>2002-2004</t>
  </si>
  <si>
    <t>831/QD-UBND</t>
  </si>
  <si>
    <t>Điều chỉnh bổ sung đường Thanh niên ven biển đoạn qua Khu kinh tế Mở Chu Lai</t>
  </si>
  <si>
    <t>Tam Kỳ-Núi Thành</t>
  </si>
  <si>
    <t>2005-2014</t>
  </si>
  <si>
    <t>160/QD-KTM</t>
  </si>
  <si>
    <t>Khu dân cư Tiên Xuân</t>
  </si>
  <si>
    <t>29/QD-KTM</t>
  </si>
  <si>
    <t>Đền bù giải phóng mặt bằng xây dựng đường 618 mới</t>
  </si>
  <si>
    <t>2000-2005</t>
  </si>
  <si>
    <t>197/QD-UBND</t>
  </si>
  <si>
    <t>Khu công nghiệp Tam Hiệp</t>
  </si>
  <si>
    <t>Nạo vét luồng vào cảng Kỳ Hà</t>
  </si>
  <si>
    <t>4278/QD-UBND</t>
  </si>
  <si>
    <t>Khu phi thuế quan (Hàng rào Khu phi thuế quan - GĐ I.1, rà phá bom mìn, đền bù giải tỏa)</t>
  </si>
  <si>
    <t>Khu dân cư chợ Trạm</t>
  </si>
  <si>
    <t>2005-2013</t>
  </si>
  <si>
    <t>87/QD-KTM</t>
  </si>
  <si>
    <t>Khu tái định cư Tam Quang thị trấn Núi Thành</t>
  </si>
  <si>
    <t>2005-2011</t>
  </si>
  <si>
    <t>145/QD-KTM</t>
  </si>
  <si>
    <t>Đường nối Khu dân cư Tam Hiệp đến Khu dân cư chợ Trạm</t>
  </si>
  <si>
    <t>366/QD-KTM</t>
  </si>
  <si>
    <t>Khu tái định cư Lệ Sơn Giai đoạn I - thuộc Khu dân cư làng chài Duy Nghĩa (Khu tái định cư tập trung Duy Nghĩa)</t>
  </si>
  <si>
    <t>2009-2013</t>
  </si>
  <si>
    <t>2344/QD-UBND</t>
  </si>
  <si>
    <t>Dự án đầu tư xây dựng công trình cầu Cửa Đại, tỉnh Quảng Nam</t>
  </si>
  <si>
    <t>Hội An-Duy Xuyên-Thăng Bình</t>
  </si>
  <si>
    <t>2009-2018</t>
  </si>
  <si>
    <t>1101/QD-UBND</t>
  </si>
  <si>
    <t>Xây dựng kết cấu hạ tầng kỹ thuật Khu tái định cư Duy Hải (giai đoạn 1), huyện Duy Xuyên</t>
  </si>
  <si>
    <t>100/QD-KTM</t>
  </si>
  <si>
    <t>Xây dựng kết cấu hạ tầng kỹ thuật khu tái định cư Trung tâm xã Bình Dương, huyện Thăng Bình (giai đoạn 1)</t>
  </si>
  <si>
    <t>Thăng Bình</t>
  </si>
  <si>
    <t>110/QD-KTM</t>
  </si>
  <si>
    <t>Khu công nghiệp, hậu cần cảng Tam Hiệp</t>
  </si>
  <si>
    <t>Khu đất phía Bắc Khu CN Tam Hiệp</t>
  </si>
  <si>
    <t>Khu tái định cư Tam Quang tại thị trấn Núi Thành (Giai đoạn 3)</t>
  </si>
  <si>
    <t>2005-2012</t>
  </si>
  <si>
    <t>360/QD-KTM</t>
  </si>
  <si>
    <t>Khu Nghĩa trang vùng Đông Duy Xuyên, Thăng Bình-giai đoạn II</t>
  </si>
  <si>
    <t>2010-2014</t>
  </si>
  <si>
    <t>237/QD-KTM</t>
  </si>
  <si>
    <t>Khu Nghĩa trang nhân dân xã Bình Đào, huyện Thăng Bình</t>
  </si>
  <si>
    <t>226/QD-KTM</t>
  </si>
  <si>
    <t>Cơ sở hạ tầng khu tái định cư, nhà ở công nhân Tam Anh Nam, huyện Núi Thành</t>
  </si>
  <si>
    <t>2013-2017</t>
  </si>
  <si>
    <t>35/QD-KTM</t>
  </si>
  <si>
    <t>Hoàn thiện hạ tầng Khu dân cư Tam Quang II tại thị trấn Núi Thành (Khu A8, A9)</t>
  </si>
  <si>
    <t>153/QD-KTM</t>
  </si>
  <si>
    <t>Kè bảo vệ đoạn từ Bến đò đến chợ Tam Hải</t>
  </si>
  <si>
    <t>26/QD-KTM</t>
  </si>
  <si>
    <t>Cơ sở hạ tầng khu tái định cư, nhà ở công nhân Tam Hiệp, huyện Núi Thành</t>
  </si>
  <si>
    <t>61/QD-KTM</t>
  </si>
  <si>
    <t>Đường trục chính Khu liên hợp công nghiệp, dịch vụ, đô thị Việt Hàn (giai đoạn I)</t>
  </si>
  <si>
    <t>2013-2015</t>
  </si>
  <si>
    <t>05/QD-KTM</t>
  </si>
  <si>
    <t>Nghĩa trang nhân dân Tam Anh Nam</t>
  </si>
  <si>
    <t>Nâng cấp, mở rộng tuyến đường ĐH15.HA, đoạn từ Km1+00 đến Km2+600 và một số  vị trí nút giao thông trên tuyến</t>
  </si>
  <si>
    <t>2767/QD-UBND</t>
  </si>
  <si>
    <t>Đường trục chính vào Khu công nghiệp Tam Thăng</t>
  </si>
  <si>
    <t>407/QD-KTM</t>
  </si>
  <si>
    <t>Đường trục chính; Tái định cư khu công nghiệp Tam Quang</t>
  </si>
  <si>
    <t>2015-2019</t>
  </si>
  <si>
    <t>152/QD-KTM</t>
  </si>
  <si>
    <t>Bồi thường, giải phóng mặt bằng Khu đất quốc phòng chuyển giao tại xã Tam Quang, huyện Núi Thành, tỉnh Quảng Nam</t>
  </si>
  <si>
    <t>614/QD-UBND</t>
  </si>
  <si>
    <t>Sửa chữa, nâng cấp và trồng cây xanh Trụ sở làm việc cơ quan Ban Quản lý Khu kinh tế mở Chu Lai</t>
  </si>
  <si>
    <t>286/QD-KTM</t>
  </si>
  <si>
    <t>Trồng cây xanh tại khu vực Khu công nghiệp Bắc Chu Lai và Khu công nghiệp cơ khí ô tô Chu Lai - Trường Hải (giáp với tuyến đường sắt Bắc Nam)</t>
  </si>
  <si>
    <t>108/QD-KTM</t>
  </si>
  <si>
    <t>Đường ven biển đoạn qua Khu công nghiệp Tam Hiệp (giai đoạn 1)</t>
  </si>
  <si>
    <t>Đường nối Khu dân cư Duy Hải lên cầu Trường Giang (ĐH6b.DX)</t>
  </si>
  <si>
    <t>279/QD-KTM</t>
  </si>
  <si>
    <t>Đường trục chính nối Khu công nghiệp ô tô Chu Lai Trường Hải đến Khu công nghiệp Tam Anh</t>
  </si>
  <si>
    <t>260/QD-KTM</t>
  </si>
  <si>
    <t>Đường nối cảng Tam Hiệp đến đường cao tốc Đà Nẵng - Dung Quất (giai đoạn 4)</t>
  </si>
  <si>
    <t>37/QD-KTM</t>
  </si>
  <si>
    <t>Khu công nghiệp Bắc Chu Lai (giai đoạn 2)</t>
  </si>
  <si>
    <t>Nạo vét luồng vào cảng Kỳ Hà (giai đoạn 2)</t>
  </si>
  <si>
    <t>Khu tái định cư Tam Thăng</t>
  </si>
  <si>
    <t>Cải thiện môi trường đô thị Chu Lai Núi Thành</t>
  </si>
  <si>
    <t>1969/QD-UBND</t>
  </si>
  <si>
    <t>Đường trục chính nối từ cầu Bình Dương đến đường bộ ven biển 129 (giai đoạn 1)</t>
  </si>
  <si>
    <t>46/QD-KTM</t>
  </si>
  <si>
    <t>Bồi thường GPMB Khu tái định cư ven biển Bình Dương</t>
  </si>
  <si>
    <t>130/QD-KTM</t>
  </si>
  <si>
    <t>Nâng cấp đường Thanh niên ven biển đoạn từ ngã tư Tam Thanh, thành phố Tam Kỳ đi thôn Hà Quang, xã Tam Tiến, huyện Núi Thành</t>
  </si>
  <si>
    <t>198/QD-KTM</t>
  </si>
  <si>
    <t>Bồi thường, giải phóng mặt bằng Khu TĐC Duy Hải (giai đoạn 2)</t>
  </si>
  <si>
    <t>170/QD-KTM</t>
  </si>
  <si>
    <t>Bồi thường, giải phóng mặt bằng Khu TĐC Duy Hải (giai đoạn 3)</t>
  </si>
  <si>
    <t>167/QD-KTM</t>
  </si>
  <si>
    <t>Bồi thường, giải phóng mặt bằng Khu tái định cư Sơn Viên</t>
  </si>
  <si>
    <t>169/QD-KTM</t>
  </si>
  <si>
    <t>GPMB Khu TĐC Nồi Rang</t>
  </si>
  <si>
    <t>207/QD-KTM</t>
  </si>
  <si>
    <t>GPMB Khu nghĩa trang vùng Đông Duy Xuyên-Thăng Bình</t>
  </si>
  <si>
    <t>227QD-KTM</t>
  </si>
  <si>
    <t>Dự án Phát triển môi trường, hạ tầng đô thị để ứng phó biến đổi khí hậu thành phố Hội An</t>
  </si>
  <si>
    <t>1356/QD-UBND</t>
  </si>
  <si>
    <t>Kè sông bến Ván</t>
  </si>
  <si>
    <t>66/QD-KTM</t>
  </si>
  <si>
    <t>Đường tránh Khu du lịch Biển Rạng</t>
  </si>
  <si>
    <t>2005-2009</t>
  </si>
  <si>
    <t>222/QD-KTM</t>
  </si>
  <si>
    <t>San nền Tổ hợp ô tô than Việt nam (gđ2)</t>
  </si>
  <si>
    <t>2005-2010</t>
  </si>
  <si>
    <t>353/QD-KTM</t>
  </si>
  <si>
    <t>Hệ thống thu gom và xử lý nước thải Khu công nghiệp Bắc Chu Lai (Giai đoạn 1)</t>
  </si>
  <si>
    <t>2011-2016</t>
  </si>
  <si>
    <t>231/QD-UBND</t>
  </si>
  <si>
    <t>Bến số 3- Cảng Kỳ Hà</t>
  </si>
  <si>
    <t>2006-2015</t>
  </si>
  <si>
    <t>234/QD-KTM</t>
  </si>
  <si>
    <t xml:space="preserve">Đường trục chính Khu đô thị  mới Tam Hiệp </t>
  </si>
  <si>
    <t>Đường trục chính từ khu công nghiệp Tam Thăng đi cảng Kỳ Hà và sân bay Chu Lai</t>
  </si>
  <si>
    <t>Phòng chống lụt bão, đường cứu hộ, cứu nạn huyện Thăng Bình</t>
  </si>
  <si>
    <t>2010-2016</t>
  </si>
  <si>
    <t>3738/QD-UBND</t>
  </si>
  <si>
    <t>Phòng chống lụt bão đường cứu hộ, cứu nạn thành phố Tam Kỳ- TPCP</t>
  </si>
  <si>
    <t>KDC phía Tây đường An Hà- Quảng Phú</t>
  </si>
  <si>
    <t>120/QD-KTM</t>
  </si>
  <si>
    <t>Quy hoạch chi tiết xây dựng KDC Tiên Xuân mở rộng (1/500)</t>
  </si>
  <si>
    <t>Di dời đường dây 15KV &amp; 0.4 KV thuộc XT 572-T 14 vướng đường giao thông ĐT 618 Núi Thành</t>
  </si>
  <si>
    <t>GPMB Khu phi thuế quan giai đoạn 1</t>
  </si>
  <si>
    <t>Quy hoạch phân khu (tỷ lệ 1/2000) khu công nghiệp cơ khí đa dụng và ô tô tại Khu kinh tế mở Chu Lai (Khu công nghiệp Tam Anh)</t>
  </si>
  <si>
    <t>DA Châu Cảnh Mỹ-Phong Kỳ Thọ</t>
  </si>
  <si>
    <t>Dự án cải thiện môi trường đô thị miền trung thị xã Tam Kỳ (ADB)</t>
  </si>
  <si>
    <t>Đường trục chính đô thị mới Điện Nam - Điện Ngọc (ĐT 603 nối dài)</t>
  </si>
  <si>
    <t>Đường nối tuyến ĐT 603A với ĐT 607</t>
  </si>
  <si>
    <t>Trung tâm huấn luyện và bồi dưỡng nghiệp vụ thuộc Công an tỉnh Quảng Nam</t>
  </si>
  <si>
    <t>610/QĐ-BCA ngày 23/02/2010</t>
  </si>
  <si>
    <t>Hệ thống áp chế thông tin di động tại các phòng họp của Tỉnh ủy và UBND tỉnh Quảng Nam</t>
  </si>
  <si>
    <t>2016-2016</t>
  </si>
  <si>
    <t>1683 ngày 10/8/2016</t>
  </si>
  <si>
    <t>Hệ thống kiểm soát an ninh tại Trại tạm giam thuộc Công an tỉnh Quảng Nam</t>
  </si>
  <si>
    <t>30 ngày 10/8/2016</t>
  </si>
  <si>
    <t>Nhà làm việc khối an ninh, xây dựng lực lượng, hậu cần-kỹ thuật Công an tỉnh Quảng Nam</t>
  </si>
  <si>
    <t>217/QĐ-H41</t>
  </si>
  <si>
    <t>Nâng cấp, mở rộng hệ thống giám sát an ninh tại thành phố Hội An</t>
  </si>
  <si>
    <t>Hội AN</t>
  </si>
  <si>
    <t>2017-2017</t>
  </si>
  <si>
    <t>3192/QĐ-UBND</t>
  </si>
  <si>
    <t>Hệ thống thoát nước và vệ sinh môi trường Khu đô thị Núi Thành</t>
  </si>
  <si>
    <t>Cấp nước đô thị Điện Nam - Điện Ngọc và Tam Hiệp</t>
  </si>
  <si>
    <t>Khu chứa và xử lý rác thải Tam Xuân II, Núi Thành tỉnh Quảng Nam</t>
  </si>
  <si>
    <t>3503/QD-UBND</t>
  </si>
  <si>
    <t>Hạ tầng kỹ thuật Khu tái định cư ADB, phường Tân Thạnh, TP Tam Kỳ</t>
  </si>
  <si>
    <t>Tam kỳ</t>
  </si>
  <si>
    <t>5179/QD-UBND</t>
  </si>
  <si>
    <t>Cải tạo, nâng cấp nhà máy nước thị trấn Tân An, huyện Hiệp Đức</t>
  </si>
  <si>
    <t>Hiệp Đức</t>
  </si>
  <si>
    <t>3273/QD-UBND</t>
  </si>
  <si>
    <t>Hệ thống cấp nước sinh hoạt khu vực Tắc Pỏ, xã Trà Mai, huyện Nam Trà My</t>
  </si>
  <si>
    <t>3291/QD-UBND</t>
  </si>
  <si>
    <t>Lò đốt rác thải sinh hoạt tại xã Quế Cường, huyện Quế Sơn</t>
  </si>
  <si>
    <t>Quế Sơn</t>
  </si>
  <si>
    <t>4014/QD-UBND</t>
  </si>
  <si>
    <t>Nhà máy chế biến gỗ MDF Quảng Nam</t>
  </si>
  <si>
    <t>Nâng cấp hệ thống kênh chính đoạn K1+298 - K2+078 và kênh N1 đoạn K0 - K2+710 hồ chứa nước Thạch Bàn, huyện Duy Xuyên</t>
  </si>
  <si>
    <t>2782/QĐ-UBND</t>
  </si>
  <si>
    <t>Nâng cấp tuyến kênh chính trạm bơm điện Hà Châu</t>
  </si>
  <si>
    <t>3711/QĐ-UBND</t>
  </si>
  <si>
    <t>BTGPMB dự án khu nghỉ dưỡng Nam Hội An</t>
  </si>
  <si>
    <t>Đường vào cụm Công nghiệp Trảng Nhật</t>
  </si>
  <si>
    <t>Đường vào cụm công nghiệp Đông Quế Sơn</t>
  </si>
  <si>
    <t>Cải tạo, nâng cấp Trung tâm Giáo dục - Lao động xã hội Quảng Nam</t>
  </si>
  <si>
    <t>Trụ sở làm việc Hạt Kiểm lâm Nông Sơn</t>
  </si>
  <si>
    <t>3490+1605/QĐ-UBND</t>
  </si>
  <si>
    <t>Nâng cao năng lực phòng cháy, chữa cháy rừng tỉnh Quảng Nam giai đoạn 2016 - 2020</t>
  </si>
  <si>
    <t>826/QĐ-UBND</t>
  </si>
  <si>
    <t>Trụ sở làm việc Chi cục Phòng, chống tệ nạn xã hội tỉnh Quảng Nam</t>
  </si>
  <si>
    <t>2088/QĐ-UBND</t>
  </si>
  <si>
    <t>Trụ sở làm việc Trạm Thú y huyện Nam Giang</t>
  </si>
  <si>
    <t>2468/QĐ-UBND</t>
  </si>
  <si>
    <t>Mua sắm trang thiết bị sản xuất chương trình truyền hình theo công nghệ số hóa</t>
  </si>
  <si>
    <t>3032/QĐ-UBND</t>
  </si>
  <si>
    <t>Nâng cấp, cải tạo trụ sở làm việc Hội Liên hiệp Phụ nữ tỉnh Quảng Nam</t>
  </si>
  <si>
    <t>Tam Kỳ</t>
  </si>
  <si>
    <t>1771/QĐ-UBND</t>
  </si>
  <si>
    <t>Bồi thường, hỗ trợ giải phóng mặt bằng để xây dựng công trình: Mở rộng Trung tâm Dạy nghề và hỗ trợ Nông dân tỉnh Quảng Nam</t>
  </si>
  <si>
    <t>Trung tâm day nghề và hỗ trợ nông dân tỉnh Quảng Nam; HM: San nên và xây dựng tường rào</t>
  </si>
  <si>
    <t>71/QĐ-SKHĐT ngày 31/5/2017</t>
  </si>
  <si>
    <t>Kết cấu hạ tầng khu nhà ở sỹ quan, quân nhân chuyên nghiệp Lữ đoàn Công binh 270</t>
  </si>
  <si>
    <t>2938/QĐ-UBND</t>
  </si>
  <si>
    <t>Dự án thủy điện Axan xã Axan huyện Tây Giang tỉnh Quảng Nam</t>
  </si>
  <si>
    <t>2009-2012</t>
  </si>
  <si>
    <t>5777/QĐ-UBND</t>
  </si>
  <si>
    <t>Hệ thống cấp nước Tiểu khu I-Khu kinh tế cửa khẩu Nam Giang</t>
  </si>
  <si>
    <t>3507/QĐ-UBND</t>
  </si>
  <si>
    <t>Trạm kiểm soát liên hợp Cửa khẩu Nam Giang</t>
  </si>
  <si>
    <t>Quốc môn Cửa khẩu Nam Giang</t>
  </si>
  <si>
    <t>2639/QĐ-UBND</t>
  </si>
  <si>
    <t>Quy hoạch chung xây dựng (1/2.000) Cửa khẩu phụ Tây Giang giai đoạn đến năm 2020 và 2030</t>
  </si>
  <si>
    <t>Điều chỉnh, mở rộng Quy hoạch chi tiết xây dựng (1/500) Tiểu khu I, Khu kinh tế cửa khẩu Nam Giang</t>
  </si>
  <si>
    <t>Cấp điện nông thôn tỉnh Quảng Nam giai đoạn 2013-2020</t>
  </si>
  <si>
    <t>2013-2020</t>
  </si>
  <si>
    <t>716/QĐ-UBND</t>
  </si>
  <si>
    <t>Xây dựng công trình điện chiếu sáng trên Quốc lộ 1, đoạn lý trình Km 947 - Km 1027 qua địa bàn tỉnh Quảng Nam (trừ các đoạn đã có hệ thống điện chiếu sáng được xây dựng hoàn trả)</t>
  </si>
  <si>
    <t>QL1</t>
  </si>
  <si>
    <t>2014-2018</t>
  </si>
  <si>
    <t>892/QĐ-UBND</t>
  </si>
  <si>
    <t>Sửa chữa, nâng cấp Nhà làm việc Sở Công thương</t>
  </si>
  <si>
    <t>Cải tạo, sửa chữa Trụ sở làm việc Ban quản lý các khu công nghiệp Quảng Nam</t>
  </si>
  <si>
    <t>Quy hoạch mạng lưới mua bán sản phẩm thuốc lá trên địa bàn tỉnh Quảng Nam đến năm 2020, có xét đến năm 2025</t>
  </si>
  <si>
    <t>3061/QĐ-UBND</t>
  </si>
  <si>
    <t>Xây dựng các hạng mục hạ tầng kỹ thuật thiết yếu Tiểu khu I, Khu kinh tế cửa khẩu Nam Giang</t>
  </si>
  <si>
    <t>61/QĐ-UBND</t>
  </si>
  <si>
    <t>Trụ sở làm việc Đội Quản lý thị trường số VII, huyện Đại Lộc</t>
  </si>
  <si>
    <t>Quy hoạch phát triển điện lực tỉnh Quảng Nam giai đoạn 2016-2025, có xét đến năm 2035</t>
  </si>
  <si>
    <t>1481/QĐ-UBND</t>
  </si>
  <si>
    <t>Trụ sở làm việc Đội Quản lý thị trường số IX</t>
  </si>
  <si>
    <t>Quy hoạch phát triển các cụm công nghiệp trên địa bàn tỉnh Quảng Nam đến năm 2025, có xét đến năm 2030</t>
  </si>
  <si>
    <t>2461/QĐ-UBND</t>
  </si>
  <si>
    <t>Quy hoạch phát triển ngành công nghiệp cơ khí tỉnh Quảng Nam đến năm 2015, tầm nhìn đến năm 2030</t>
  </si>
  <si>
    <t>Cấp điện thôn 5 và 6 xã Quế Lâm huyện Nông Sơn</t>
  </si>
  <si>
    <t>245/QĐ-SKHĐT</t>
  </si>
  <si>
    <t>Trường THPT Chất lượng cao tỉnh Quảng Nam</t>
  </si>
  <si>
    <t>2010-2018</t>
  </si>
  <si>
    <t>2859/QĐ-UBND</t>
  </si>
  <si>
    <t>Trường THPT Nam Trà My</t>
  </si>
  <si>
    <t>296/QĐ-SKHĐT</t>
  </si>
  <si>
    <t>Trường THPT Tây Giang</t>
  </si>
  <si>
    <t>3397/QĐ-UBND</t>
  </si>
  <si>
    <t>Trường THPT Âu Cơ, huyện Đông Giang (giai đoạn 1)</t>
  </si>
  <si>
    <t>3294/QĐ-UBND</t>
  </si>
  <si>
    <t>Trường THPT Nguyễn Văn Trỗi, huyện Nam Giang</t>
  </si>
  <si>
    <t>Trường PT Dân tộc nội trú huyện Nam Trà My</t>
  </si>
  <si>
    <t>3352/QĐ-UBND</t>
  </si>
  <si>
    <t>Trường THPT Huỳnh Ngọc Huệ, huyện Đại Lộc</t>
  </si>
  <si>
    <t>3401/QĐ-UBND</t>
  </si>
  <si>
    <t>Trung tâm Giáo dục thường xuyên-Hướng nghiệp Đại Lộc</t>
  </si>
  <si>
    <t>3259/QĐ-UBND</t>
  </si>
  <si>
    <t>Trường THPT Quang Trung, huyện Đông Giang</t>
  </si>
  <si>
    <t>2013-2018</t>
  </si>
  <si>
    <t>3422/QĐ-UBND</t>
  </si>
  <si>
    <t>Trường phổ thông dân tộc nội trú huyện Hiệp Đức</t>
  </si>
  <si>
    <t>1756/QĐ-UBND</t>
  </si>
  <si>
    <t>Trường Trung học sơ sở Trần Ngọc Sương, huyện Tiên Phước, hạng mục Khối nhà lớp học; thuộc dự án Giáo dục trung học cơ sở khu vực khó khăn nhất giai đoạn 2</t>
  </si>
  <si>
    <t>3851/QĐ-UBND</t>
  </si>
  <si>
    <t>Trường Trung học sơ sở Nguyễn Đình Chiểu, huyện Thăng Bình, hạng mục Khối nhà lớp học; thuộc dự án Giáo dục trung học cơ sở khu vực khó khăn nhất giai đoạn 2</t>
  </si>
  <si>
    <t>3852/QĐ-UBND</t>
  </si>
  <si>
    <t>Trường Trung học sơ sở Quế Trung, huyện Nông Sơn, hạng mục Khối nhà lớp học; thuộc dự án Giáo dục trung học cơ sở khu vực khó khăn nhất giai đoạn 2</t>
  </si>
  <si>
    <t>3867/QĐ-UBND</t>
  </si>
  <si>
    <t>Trường Trung học sơ sở Nguyễn Bỉnh Khiêm, huyện Bắc Trà My, hạng mục Khối nhà lớp học; thuộc dự án Giáo dục trung học cơ sở khu vực khó khăn nhất giai đoạn 2</t>
  </si>
  <si>
    <t>3868/QĐ-UBND</t>
  </si>
  <si>
    <t>Trường Trung học sơ sở Quang Trung, huyện Tiên Phước, hạng mục Khối nhà lớp học; thuộc dự án Giáo dục trung học cơ sở khu vực khó khăn nhất giai đoạn 2</t>
  </si>
  <si>
    <t>3870/QĐ-UBND</t>
  </si>
  <si>
    <t>Trường THPT Chu Văn An, huyện Đại Lộc; hạng mục: Khối nhà lớp học 2 tầng 8 phòng</t>
  </si>
  <si>
    <t>4092/QĐ-UBND</t>
  </si>
  <si>
    <t>Trường THPT Sào Nam, huyện Duy Xuyên; hạng mục: Khối nhà lớp học 15 phòng 3 tầng</t>
  </si>
  <si>
    <t>4093/QĐ-UBND</t>
  </si>
  <si>
    <t>Trường THPT Hiệp Đức, huyện Hiệp Đức; hạng mục: Sửa chữa, cải tạo khối nhà lớp học 2 tầng, khối nhà hiệu bộ, xây dựng tường rào mặt sau</t>
  </si>
  <si>
    <t>4097/QĐ-UBND</t>
  </si>
  <si>
    <t>Trường THPT Axan, huyện Tây Giang (giai đoạn 1)</t>
  </si>
  <si>
    <t>95/QĐ-UBND</t>
  </si>
  <si>
    <t>Trường THPT vùng Đông huyện Duy Xuyên (giai đoạn 1)</t>
  </si>
  <si>
    <t>166/QĐ-UBND</t>
  </si>
  <si>
    <t>Trụ sở làm việc Sở Giáo dục và Đào tạo tỉnh Quảng Nam; hạng mục: Cải tạo, sửa chữa khối nhà làm việc 3 tầng</t>
  </si>
  <si>
    <t>243/QĐ-UBND</t>
  </si>
  <si>
    <t>Trường THPT Nguyễn Văn Cừ, huyện Quế Sơn; hạng mục: Khối nhà lớp học 14 phòng 02 tầng</t>
  </si>
  <si>
    <t>4096/QĐ-UBND</t>
  </si>
  <si>
    <t>Trường THPT Hùng Vương, huyện Thăng Bình; hạng mục: Khối nhà lớp học 06 phòng 3 tầng, khu giáo dục thể chất.</t>
  </si>
  <si>
    <t>353/QĐ-UBND</t>
  </si>
  <si>
    <t>Trường THPT Lý Tự Trọng; HM: Nhà vệ sinh học sinh nam nữ</t>
  </si>
  <si>
    <t>83/QĐ-SKHĐT</t>
  </si>
  <si>
    <t>Trường THPT Lương Thế Vinh; HM: Nhà vệ sinh giáo viên</t>
  </si>
  <si>
    <t>85/QĐ-SKHĐT</t>
  </si>
  <si>
    <t>Trường THPT Nguyễn Khuyến; HM: Nhà vệ sinh hoc sinh nam</t>
  </si>
  <si>
    <t>84/QĐ-SKHĐT</t>
  </si>
  <si>
    <t>Trường THPT Thái Phiên; HM: Nhà vệ sinh học sinh nam nữ</t>
  </si>
  <si>
    <t>86/QĐ-SKHĐT</t>
  </si>
  <si>
    <t>Trường THPT Nguyễn Dục; HM: Nhà vệ sinh nam nữ</t>
  </si>
  <si>
    <t>95/QĐ-SKHĐT</t>
  </si>
  <si>
    <t>Trường THPT Trần Văn Dư; HM: Nhà vệ sinh học sinh nam nữ</t>
  </si>
  <si>
    <t>90/QĐ-SKHĐT</t>
  </si>
  <si>
    <t>Trường THPT Huỳnh Thúc Kháng; HM: Nhà vệ sinh học sinh nam nữ</t>
  </si>
  <si>
    <t>87/QĐ-SKHĐT</t>
  </si>
  <si>
    <t>Trường THPT Phan Châu Trinh; HM: Nhà vệ sinh học sinh nam nữ</t>
  </si>
  <si>
    <t>88/QĐ-SKHĐT</t>
  </si>
  <si>
    <t>Trường THPT Núi Thành; HM: Nhà vệ sinh học sinh nam</t>
  </si>
  <si>
    <t>102/QĐ-SKHĐT</t>
  </si>
  <si>
    <t>Nâng cấp và mở rộng tuyến đường ĐT 607 (đoạn qua huyện Điện Bàn và thành phố Hội An)</t>
  </si>
  <si>
    <t>1563/QĐ-UBND</t>
  </si>
  <si>
    <t>Đường tránh lũ, cứu hộ, cứu nạn khu trung tâm hành chính huyện Nông Sơn và vùng phụ cận</t>
  </si>
  <si>
    <t>1815/QĐ-UBND</t>
  </si>
  <si>
    <t>Cầu Gò Nổi - Km1+800, tuyến ĐT 610B</t>
  </si>
  <si>
    <t>1526/QĐ-UBND</t>
  </si>
  <si>
    <t>Cải tạo nâng cấp tuyến đường ĐT 611 (km19-km37+00)</t>
  </si>
  <si>
    <t>Sửa chữa, nâng cấp mặt đường tuyến ĐT.614 (Đoạn từ Km0+580,67 - Km0+603,74 và Km4+106,42 - Km8+00)</t>
  </si>
  <si>
    <t>Lắp đặt đèn tín hiệu giao thông trên địa bàn tỉnh và gương cầu lồi trên các tuyến đường ĐT, tỉnh Quảng Nam</t>
  </si>
  <si>
    <t>3556/QĐ-UBND</t>
  </si>
  <si>
    <t>Nâng cấp, mở rộng tuyến đường ĐT.605, lý trình Km8+800 - Km14+00 (đoạn từ đường cao tốc Đà Nẵng - Quảng Ngãi đến ĐT.609)</t>
  </si>
  <si>
    <t>521/QĐ-UBND</t>
  </si>
  <si>
    <t>Đường nối từ Quốc lộ 1A (tại ngã ba Cây Cốc) đến nút giao đường cao tốc Đà Nẵng - Quảng Ngãi với Quốc lộ 14E, huyện Thăng Bình, tỉnh Quảng Nam</t>
  </si>
  <si>
    <t>627/QĐ-UBND</t>
  </si>
  <si>
    <t>Nâng cấp, mở rộng đường vào Trung tâm du lịch phố cổ Hội An (tuyến ĐT.608 đoạn từ Km4+714,82 - Km7+956,54)</t>
  </si>
  <si>
    <t>809/QĐ-UBND</t>
  </si>
  <si>
    <t>Đường nối từ Đường cứu hộ, cứu nạn đến Quốc lộ 1A (tại ngã ba Cây Cốc), huyện Thăng Bình, tỉnh Quảng Nam</t>
  </si>
  <si>
    <t>3771/QĐ-UBND</t>
  </si>
  <si>
    <t>Nâng cấp, mở rộng tuyến đường ĐT.607, đoạn Km14+565,62 - Km22+398, giai đoạn 1: Đoạn Km14+565,62 - Km18+00</t>
  </si>
  <si>
    <t>2016-2019</t>
  </si>
  <si>
    <t>2609/QĐ-UBND</t>
  </si>
  <si>
    <t>Đường vào trung tâm xã A Xan nối xã Ch''''ơm đến cửa khẩu phụ Tây Giang, huyện Tây Giang, tỉnh Quảng Nam (giai đoạn I)</t>
  </si>
  <si>
    <t>495/QĐ-UBND</t>
  </si>
  <si>
    <t>Đường Nam Quảng Nam</t>
  </si>
  <si>
    <t>2007-2017</t>
  </si>
  <si>
    <t>3580/QĐ-UBND</t>
  </si>
  <si>
    <t>Dự án tuyến Trà My-Trà Bồng -Dung Quất (đọan qua tỉnh Quảng Nam)</t>
  </si>
  <si>
    <t>Nâng cấp và mở rộng tuyến ĐT 603 và ĐT607 (đoạn qua Điện Bàn và Hội An)</t>
  </si>
  <si>
    <t>Nâng cao năng lực ngành y tế tỉnh Quảng Nam</t>
  </si>
  <si>
    <t>4073/QĐ-UBND</t>
  </si>
  <si>
    <t>Cải tạo, sửa chữa nhà làm việc và sân vườn Sở Kế hoạch và Đầu tư tỉnh Quảng Nam</t>
  </si>
  <si>
    <t>Cơ sở ứng dụng công nghệ sinh học, Sở Khoa học và Công nghệ Quảng Nam</t>
  </si>
  <si>
    <t>3378/QĐ-UBND</t>
  </si>
  <si>
    <t>Cơ sở ứng dụng công nghệ sinh học (giai đoạn II)</t>
  </si>
  <si>
    <t>5080/QĐ-UBND</t>
  </si>
  <si>
    <t>Trung tâm dạy nghề Nam Giang (nay là Trường Trung cấp nghề Thanh niên dân tộc miền núi)</t>
  </si>
  <si>
    <t>2009-2014</t>
  </si>
  <si>
    <t>2052/QĐ-UBND</t>
  </si>
  <si>
    <t>Sửa chữa, cải tạo Nhà làm việc Sở Lao động - Thương binh và Xã hội</t>
  </si>
  <si>
    <t>493/QĐ-UBND</t>
  </si>
  <si>
    <t>Trung tâm điều dưỡng người tâm thần</t>
  </si>
  <si>
    <t>Làng Hòa Bình tỉnh Quảng Nam</t>
  </si>
  <si>
    <t>1078/QĐ-UBND</t>
  </si>
  <si>
    <t>Sửa chữa tường rào, cổng ngõ khu ký túc xá Trường Trung cấp nghề Thanh niên Dân tộc -Miền núi Quảng Nam</t>
  </si>
  <si>
    <t>21/QĐ-SKHĐT</t>
  </si>
  <si>
    <t>Dự án Phát triển ngành Lâm nghiệp</t>
  </si>
  <si>
    <t>Dự án Cấp nước sạch và vệ sinh môi trường nông thôn vùng miền Trung tỉnh Quảng Nam</t>
  </si>
  <si>
    <t>Dđiện Bàn</t>
  </si>
  <si>
    <t>3213/QĐ-UBND</t>
  </si>
  <si>
    <t>Dự án bảo vệ và phát triển rừng giai đoạn 2011-2020 (Trồng rừng tỉnh)</t>
  </si>
  <si>
    <t>4284/QĐ-UBND</t>
  </si>
  <si>
    <t>Dự án quản lý thiên tai (VN-HAZ) WB 5 tỉnh Quảng Nam</t>
  </si>
  <si>
    <t>2012-2019</t>
  </si>
  <si>
    <t>1370/QĐ-UBND</t>
  </si>
  <si>
    <t>Cải thiện nông nghiệp có tưới (WB7)</t>
  </si>
  <si>
    <t>2014-2020</t>
  </si>
  <si>
    <t>2992/QĐ-UBND</t>
  </si>
  <si>
    <t>Sửa chữa, nâng cấp đảm bảo an toàn đầu mối hồ chứa nước An Long, tại xã Quế Phong, huyện Quế Sơn, tỉnh Quảng Nam</t>
  </si>
  <si>
    <t>Quy hoạch bảo tồn và phát triển cây sâm Ngọc Linh tại huyện Nam Trà My, tỉnh Quảng Nam giai đoạn 2014-2020</t>
  </si>
  <si>
    <t>2117/QĐ-UBND</t>
  </si>
  <si>
    <t>Nhà làm việc Đội Kiểm lâm cơ động và PCCC rừng số 2</t>
  </si>
  <si>
    <t>2559/QĐ-UBND</t>
  </si>
  <si>
    <t>Cơ sở hạ tầng vùng nuôi thủy sản tập trung xã Tam Tiến, huyện Núi Thành</t>
  </si>
  <si>
    <t>4221/QĐ-UBND</t>
  </si>
  <si>
    <t>Củng cố, nâng cấp tuyến đê biển Duy Thành và Duy Vinh (từ thôn Thi Thại, xã Duy Trinh đến giáp thôn Vĩnh Nam, xã Duy Vinh)</t>
  </si>
  <si>
    <t>3427/QĐ-UBND</t>
  </si>
  <si>
    <t>Kè chống sạt lở khẩn cấp bờ hữu sông Thu Bồn khu vực Tân Bình</t>
  </si>
  <si>
    <t>779/QĐ-UBND</t>
  </si>
  <si>
    <t>Quy hoạch thủy lợi tỉnh Quảng Nam đến năm 2020 và định hướng đến năm 2050</t>
  </si>
  <si>
    <t>830/QĐ-UBND</t>
  </si>
  <si>
    <t>Trồng và phục hồi rừng dừa nước ven biển Cẩm Thanh nhằm tái tạo, phục hồi, phát triển rừng dừa kết hợp đầu tư cơ sở hạ tầng phục vụ du lịch sinh thái cộng đồng</t>
  </si>
  <si>
    <t>2317/QĐ-UBND</t>
  </si>
  <si>
    <t>Quy hoạch phát triển chăn nuôi gia súc, gia cầm tập trung trên địa bàn tỉnh Quảng Nam đến năm 2025, định hướng đến năm 2030</t>
  </si>
  <si>
    <t>3284/QĐ-UBND</t>
  </si>
  <si>
    <t>Nâng cấp, sửa chữa đập dâng Đồng Hòe</t>
  </si>
  <si>
    <t>767/QĐ-UBND</t>
  </si>
  <si>
    <t>Điều chỉnh quy hoạch bảo vệ và phát triển rừng tỉnh Quảng Nam giai đoạn 2011-2020</t>
  </si>
  <si>
    <t>Hỗ trợ đầu tư xây dựng đường ô tô lâm nghiệp tỉnh Quảng Nam giai đoạn 2016-2020</t>
  </si>
  <si>
    <t>1133/QĐ-UBND</t>
  </si>
  <si>
    <t>Xây dựng các khu tái định cư để di dời dân các vùng thiên tai, đặc biệt khó khăn trên địa bàn tỉnh Quảng Nam giai đoạn 2016-2020</t>
  </si>
  <si>
    <t>986/QĐ-UBND</t>
  </si>
  <si>
    <t>Sửa chữa nhà làm việc Chi cục Thú y tỉnh Quảng Nam; hạng mục: Sửa chữa nhà làm việc, sửa chữa nhà ăn và sửa chữa nhà nuôi nhốt động vật</t>
  </si>
  <si>
    <t>189+2864/QĐ-UBND</t>
  </si>
  <si>
    <t>Mở rộng khu neo đậu tàu thuyền và kết hợp xây dựng cảng cá Hồng Triều</t>
  </si>
  <si>
    <t>1130/QĐ-UBND</t>
  </si>
  <si>
    <t>Sửa chữa Nhà làm việc Trung tâm Khuyến nông - Khuyến ngư</t>
  </si>
  <si>
    <t>406+3128/QĐ-UBND</t>
  </si>
  <si>
    <t>Sửa chữa Nhà làm việc Chi cục phát triển nông thôn Quảng Nam</t>
  </si>
  <si>
    <t>642+2848/QĐ-UBND</t>
  </si>
  <si>
    <t>Quy hoạch chi tiết xây dựng (1/500) Cảng cá Tam Quang và Cụm công nghiệp - dịch vụ hậu cần nghề cá, xã Tam Quang, huyện Núi Thành, tỉnh Quảng Nam</t>
  </si>
  <si>
    <t>949/QĐ-UBND</t>
  </si>
  <si>
    <t>Trụ sở làm việc Hạt Kiểm lâm Duy Xuyên; hạng mục: Cải tạo khối nhà chính, xây dựng nhà công vụ, nhà xe</t>
  </si>
  <si>
    <t>1156+2865/QĐ-UBND</t>
  </si>
  <si>
    <t>Cải tạo, sửa chữa Trụ sở làm việc Sở Nông nghiệp và Phát triển nông thôn tỉnh Quảng Nam</t>
  </si>
  <si>
    <t>1125/QĐ-UBND</t>
  </si>
  <si>
    <t>Nhà làm việc Ban Quản lý rừng phòng hộ Phú Ninh</t>
  </si>
  <si>
    <t>1170/QĐ-UBND</t>
  </si>
  <si>
    <t>Nhà làm việc Trạm Quản lý bảo vệ rừng Sông Mùi</t>
  </si>
  <si>
    <t>1169+4441/QĐ-UBND</t>
  </si>
  <si>
    <t>Vườn sản xuất cây giống tại Trạm dược liệu Trà Linh, huyện Nam Trà My, tỉnh Quảng Nam</t>
  </si>
  <si>
    <t>3806/QĐ-UBND</t>
  </si>
  <si>
    <t>Quy hoạch bảo tồn, phát triển cây dược liệu tỉnh Quảng Nam, giai đoạn 2016-2020, định hướng đến 2030</t>
  </si>
  <si>
    <t>828/QĐ-UBND</t>
  </si>
  <si>
    <t>Nhà công vụ Hạt kiểm lâm Trung Quảng Nam</t>
  </si>
  <si>
    <t>Cải tạo, mở rộng Trụ sở làm việc Sở Nội vụ</t>
  </si>
  <si>
    <t xml:space="preserve"> Tam Kỳ</t>
  </si>
  <si>
    <t>Quyết số 4153/QĐ-UBND ngày 30/10/2015 và  số 2628/QĐ-UBND ngày 24/7/2017</t>
  </si>
  <si>
    <t>Cải tạo, mở rộng Trụ sở làm việc Sở Tài chính tỉnh Quảng Nam</t>
  </si>
  <si>
    <t>1172/QĐ-UBND</t>
  </si>
  <si>
    <t>Xử lý sạt lở Khu lưu niệm Ban Tài mậu khu V</t>
  </si>
  <si>
    <t>2017</t>
  </si>
  <si>
    <t>82/QĐ-SKHĐT</t>
  </si>
  <si>
    <t>Xử lý ô nhiễm môi trường điểm tồn lưu hóa chất bảo vệ thực vật tại thị trấn Đông Phú, huyện Quế Sơn, tỉnh Quảng Nam</t>
  </si>
  <si>
    <t>2015-2015</t>
  </si>
  <si>
    <t>2647/QĐ-UBND</t>
  </si>
  <si>
    <t>Điều chỉnh quy hoạch sử dụng đất đến năm 2020 và kế hoạch sử dụng đất kỳ cuối (2016-2020) của tỉnh Quảng Nam</t>
  </si>
  <si>
    <t>1849/QĐ-UBND</t>
  </si>
  <si>
    <t>Bảo tàng đa dạng sinh học tỉnh Quảng Nam</t>
  </si>
  <si>
    <t>1174+4623/QĐ-UBND</t>
  </si>
  <si>
    <t>Nâng cấp, mở rộng Trụ sở làm việc Văn phòng Đăng ký đất đai Quảng Nam</t>
  </si>
  <si>
    <t>1173/QĐ-UBND</t>
  </si>
  <si>
    <t>Xây dựng hệ thống truyền, lưu trữ dữ liệu, quan trắc môi trường tự động liên tục của tỉnh Quảng Nam và sửa chữa, nâng cấp phòng thí nghiệm</t>
  </si>
  <si>
    <t>3859/QĐ-UBND</t>
  </si>
  <si>
    <t>Cải tạo, nâng cấp đường nội bộ khu chứa và xử lý rác thải Tam Xuân II</t>
  </si>
  <si>
    <t>165/QĐ-SKHĐT</t>
  </si>
  <si>
    <t>Lập quy hoạch đa dạng sinh học tỉnh Quảng Nam đến năm 2020, định hướng đến năm 2030</t>
  </si>
  <si>
    <t>Tăng cường cơ sở vật chất cho hệ thống thông tin và truyền thông cơ sở miền núi, vùng sâu, vùng xa, biên giới, hải đảo tỉnh Quảng Nam</t>
  </si>
  <si>
    <t>3274/QĐ-UBND</t>
  </si>
  <si>
    <t>Xây dựng mạng WAN kết nối các cơ quan Đảng, Nhà nước trên địa bàn tỉnh phục vụ chỉ đạo, điều hành</t>
  </si>
  <si>
    <t>703/QĐ-UBND</t>
  </si>
  <si>
    <t>Quy hoạch hạ tầng kỹ thuật viễn thông thụ động tỉnh Quảng Nam đến năm 2020, định hướng đến năm 2025</t>
  </si>
  <si>
    <t>2161/QĐ-UBND</t>
  </si>
  <si>
    <t>Xây dựng chính quyền điện tử tỉnh Quảng Nam</t>
  </si>
  <si>
    <t>1165/QĐ-UBND</t>
  </si>
  <si>
    <t>Cơ sở hạ tầng Trung tâm Thể dục - Thể thao tỉnh Quảng Nam</t>
  </si>
  <si>
    <t>2009-2011</t>
  </si>
  <si>
    <t>2964/QĐ-UBND</t>
  </si>
  <si>
    <t>Cải tạo nâng cấp tuyến đường vào Khu di tích lịch sử cách mạng Trung Trung bộ (Nước Oa)</t>
  </si>
  <si>
    <t>2012-2015</t>
  </si>
  <si>
    <t>3541/QĐ-UBND</t>
  </si>
  <si>
    <t>Nhà bảo tàng Tỉnh (cũ)</t>
  </si>
  <si>
    <t>572/QĐ-UBND</t>
  </si>
  <si>
    <t>Tôn tạo cơ sở hạ tầng phố cổ Hội An</t>
  </si>
  <si>
    <t>2008-2015</t>
  </si>
  <si>
    <t>4287/QĐ-UBND</t>
  </si>
  <si>
    <t>Bảo tồn và phát huy giá trị nhóm tháp Chàm Khương Mỹ</t>
  </si>
  <si>
    <t>3077/QĐ-UBND</t>
  </si>
  <si>
    <t>Trùng tu, tôn tạo địa đạo Phú An-Phú Xuân</t>
  </si>
  <si>
    <t>2011-2014</t>
  </si>
  <si>
    <t>87/QĐ-UBND</t>
  </si>
  <si>
    <t>Tu bổ, phục hồi Khu di tích Khu ủy khu V thuộc Khu di tích lịch sử cách mạng Trung Trung bộ-Nước Oa, huyện Bắc Trà My</t>
  </si>
  <si>
    <t>2012-2014</t>
  </si>
  <si>
    <t>Bảo tàng Tỉnh</t>
  </si>
  <si>
    <t>2533/QĐ-UBND</t>
  </si>
  <si>
    <t>Phục hồi, tôn tạo và phát huy giá trị di tích Chiến thắng Thượng Đức</t>
  </si>
  <si>
    <t>3424 _ 25/10/2012</t>
  </si>
  <si>
    <t>Cải tạo nhà hát ngoài trời thành phố Hội An</t>
  </si>
  <si>
    <t>3483/QĐ-UBND</t>
  </si>
  <si>
    <t>Đường vào Khu di tích lịch sử cách mạng địa đạo Kỳ Anh</t>
  </si>
  <si>
    <t>3530/QĐ-UBND</t>
  </si>
  <si>
    <t>Tu bổ, nâng cấp Khu lưu niệm Chủ tịch Hội đồng nhà nước Võ Chí Công.</t>
  </si>
  <si>
    <t>3365/QĐ-UBND</t>
  </si>
  <si>
    <t>Nâng cấp, mở rộng đường vào Khu di tích lịch sử cách mạng Trung Trung Bộ - Nước Oa, lý trình Km0+00 đến Km2+116,7</t>
  </si>
  <si>
    <t>3406/QĐ-UBND</t>
  </si>
  <si>
    <t>Đầu tư xây dựng Nhà bia tưởng niệm Khu di tích Căn cứ Đặc khu ủy Quảng Đà</t>
  </si>
  <si>
    <t>3442/QĐ-UBND</t>
  </si>
  <si>
    <t>Tuyến đường nối từ ĐH8, huyện Duy Xuyên vào Khu di tích Hòn Tàu</t>
  </si>
  <si>
    <t>3447/QĐ-UBND</t>
  </si>
  <si>
    <t>Trưng bày Bảo tàng tỉnh Quảng Nam</t>
  </si>
  <si>
    <t>3435/QĐ-UBND</t>
  </si>
  <si>
    <t>Trường Năng khiếu nghiệp vụ thể dục thể thao Quảng Nam; hạng mục: Khối nhà hiệu bộ và tập thể lực</t>
  </si>
  <si>
    <t>3446/QĐ-UBND</t>
  </si>
  <si>
    <t>Bảo tồn và phát huy giá trị di tích lịch sử Căn cứ Đặc khu ủy Quảng Đà</t>
  </si>
  <si>
    <t>2149/QĐ-UBND</t>
  </si>
  <si>
    <t>Tu bổ, nâng cấp di tích lịch sử vụ thảm sát Phước Châu</t>
  </si>
  <si>
    <t>1178/QĐ-UBND</t>
  </si>
  <si>
    <t>Sửa chữa nângg cấp bãi đổ xe đường vào Khu di tích Tháp Khương My và các hạng mục phụ trợ</t>
  </si>
  <si>
    <t>88-21/6/2017</t>
  </si>
  <si>
    <t>Bệnh viện Đa khoa Khu vực Quảng Nam</t>
  </si>
  <si>
    <t>2008-2017</t>
  </si>
  <si>
    <t>3997/QĐ-UBND</t>
  </si>
  <si>
    <t>Hành lang nối các khoa Bệnh viện đa khoa khu vực Quảng Nam</t>
  </si>
  <si>
    <t>2009-2015</t>
  </si>
  <si>
    <t xml:space="preserve">279/QĐ-SKHĐT ngày 30/9/2008 </t>
  </si>
  <si>
    <t>Bệnh viện tâm thần</t>
  </si>
  <si>
    <t>2010-2015</t>
  </si>
  <si>
    <t xml:space="preserve">1492/QĐ-UBND </t>
  </si>
  <si>
    <t>Trung tâm pháp y tỉnh Quảng Nam</t>
  </si>
  <si>
    <t>2371/QĐ-UBND</t>
  </si>
  <si>
    <t>Bệnh viện đa khoa huyện Duy Xuyên</t>
  </si>
  <si>
    <t>3119/QĐ-UBND</t>
  </si>
  <si>
    <t>Trung tâm chăm sóc sức khỏe sinh sản Quảng Nam</t>
  </si>
  <si>
    <t>2.610 m2</t>
  </si>
  <si>
    <t>2006-2016</t>
  </si>
  <si>
    <t xml:space="preserve">2890/QĐ-UBND </t>
  </si>
  <si>
    <t>Bệnh viện Đa khoa huyện Hiệp Đức</t>
  </si>
  <si>
    <t>Từ 2009</t>
  </si>
  <si>
    <t>Dự án đầu tư mua sắm máy và trang thiết bị y tế Bệnh viện đa khoa khu vực miền núi phía Bắc tỉnh Quảng Nam</t>
  </si>
  <si>
    <t>TBYT</t>
  </si>
  <si>
    <t>2009-2019</t>
  </si>
  <si>
    <t>Phòng khám đa khoa khu công nghiệp Điện Nam - Điện Ngọc</t>
  </si>
  <si>
    <t xml:space="preserve">2893/QĐ-UBND ngày 07/9/2012 </t>
  </si>
  <si>
    <t xml:space="preserve">Hỗ trợ y tế vùng Duyên hải Nam Trung Bộ - tỉnh Quảng Nam </t>
  </si>
  <si>
    <t>Trung tâm Phòng, chống HIV/AIDS Quảng Nam</t>
  </si>
  <si>
    <t>2555/QĐ-UBND ngày 15/8/2011</t>
  </si>
  <si>
    <t>Bệnh viện nhi tỉnh Quảng Nam (Hạng mục: Cải tạo nền sân-đường nội bộ, hành lang nối)</t>
  </si>
  <si>
    <t xml:space="preserve"> 2797/QĐ-UBND ngày 28/8/2012</t>
  </si>
  <si>
    <t>Phòng khám đa khoa khu vực Hương An, hạng mục: Cải tạo, nâng cấp và xây mới một số hạng mục</t>
  </si>
  <si>
    <t>1983/QĐ-UBND ngày 04/6/2015</t>
  </si>
  <si>
    <t>Bệnh viện Y học cổ truyền tỉnh Quảng Nam -HM: Hệ thống xử lý nước thải</t>
  </si>
  <si>
    <t>3168/QĐ-UBND ngày 17/10/2013</t>
  </si>
  <si>
    <t>Dự án đầu tư xây dựng Bệnh viện Đa khoa huyện Duy Xuyên; Hạng mục: Khoa Nội - Nhi - Đông y - Phục hồi chức năng, trạm biến áp</t>
  </si>
  <si>
    <t>2921/QĐ-UBND ngày 25/9/2013</t>
  </si>
  <si>
    <t>Dự án đầu tư xây dựng Bệnh viện Đa khoa khu vực Quảng Nam; Hạng mục: Khoa sản</t>
  </si>
  <si>
    <t>3261/QĐ-UBND ngày 23/10/2013</t>
  </si>
  <si>
    <t>Trung tâm Mắt tỉnh Quảng Nam (giai đoạn 2)</t>
  </si>
  <si>
    <t>3391/QĐ-UBND ngày
31/10/2013</t>
  </si>
  <si>
    <t>Hệ thống xử lý chất thải y tế Bệnh viện Đa khoa khu vực miền núi phía Bắc tỉnh Quảng Nam</t>
  </si>
  <si>
    <t>4072/QĐ-UBND ngày 29/10/2015</t>
  </si>
  <si>
    <t>Hệ thống xử lý chất thải Bệnh viện Đa khoa khu vực tỉnh Quảng Nam</t>
  </si>
  <si>
    <t xml:space="preserve">3717/QĐ-UBND ngày 12/10/2015 </t>
  </si>
  <si>
    <t>Hệ thống xử lý chất thải y tế Bệnh viện Đa khoa tỉnh Quảng Nam</t>
  </si>
  <si>
    <t>1633/QĐ-UBND ngày 11/5/2017</t>
  </si>
  <si>
    <t>Đầu tư trang thiết bị y tế Trung tâm Chăm sóc sức khỏe sinh sản tỉnh Quảng Nam</t>
  </si>
  <si>
    <t>1340/QĐ-UBND ngày 05/5/20/14</t>
  </si>
  <si>
    <t>Đầu tư xây dựng Hệ thống xử lý nước sinh hoạt, hệ thống xử lý nước thải và mua sắm trang thiết bị y tế Phòng khám đa khoa Khu công nghiệp Điện Nam - Điện Ngọc</t>
  </si>
  <si>
    <t>1608/QĐ-UBND ngày 26/5/2014</t>
  </si>
  <si>
    <t>Sửa chữa, cải tạo Trung tâm y tế huyện Tiên Phước; HM: Khu KT cận lâm sàng, Khoa ngoại - khỏa sản, Khoa nội - khoa nhi, Khoa lây, Nhà làm việc, Nhà đại thể và Hành lang nối các khoa</t>
  </si>
  <si>
    <t xml:space="preserve">3284/QĐ-UBND ngày
27/10/2014 </t>
  </si>
  <si>
    <t>Bệnh viện Y học cổ truyền tỉnh Quảng Nam</t>
  </si>
  <si>
    <t>Từ 2014</t>
  </si>
  <si>
    <t>2238/QĐ-UBND ngày 21/7/2014</t>
  </si>
  <si>
    <t>Trung tâm Y tế huyện Tiên Phước; hạng mục: Khối khám - Cấp cứu - Dược</t>
  </si>
  <si>
    <t>3416/QĐ-UBND ngày 31/10/14</t>
  </si>
  <si>
    <t>Trạm Y tế xã Chơ Chun; hạng mục: Nhà hành chính nghiệp vụ, san nền, kè đá</t>
  </si>
  <si>
    <t>3431/QĐ-UBND ngày 31/10/2014</t>
  </si>
  <si>
    <t>Trạm Y tế xã Tam Hải, huyện Núi Thành</t>
  </si>
  <si>
    <t>3310/QĐ-UBND ngày 28/10/2014</t>
  </si>
  <si>
    <t>Trạm Y tế xã Ch'' Ơm, huyện Tây Giang</t>
  </si>
  <si>
    <t>3433/QĐ-UBND ngày  31/10/2014</t>
  </si>
  <si>
    <t>BV Đa khoa KVMN phía Bắc QN; HM: Khoa sản-Nhi, Khoa truyền nhiễm-Lao, Khoa gây mê hồi sức-Ngoại tiết niệu-Tiêu hóa-Đông y, Nhà đại thể, Nhà cầu nối, Máy phát điện dự phòng, Hệ thống PCCC</t>
  </si>
  <si>
    <t>3448/QĐ-UBND ngày 31/10/2014</t>
  </si>
  <si>
    <t>Bệnh viện nhi tỉnh Quảng Nam; hạng mục: Hệ thống khí y tế trung tâm</t>
  </si>
  <si>
    <t>3439/QĐ-UBND ngày 31/10/2014</t>
  </si>
  <si>
    <t>Hệ thống xử lý chất thải y tế Trung tâm Y tế huyện Tây Giang</t>
  </si>
  <si>
    <t xml:space="preserve">4079/QĐ-UBND ngày 29/10/2015 </t>
  </si>
  <si>
    <t>Khu điều trị bệnh nhân Bệnh viện đa khoa khu mực miền núi phía Bắc, huyện Đại Lộc</t>
  </si>
  <si>
    <t>354 m2</t>
  </si>
  <si>
    <t>2008-2009</t>
  </si>
  <si>
    <t>189/QĐ-SKHĐT ngày 21/07/2008</t>
  </si>
  <si>
    <t>Hệ thống xử lý chất thải y tế Trung tâm Y tế huyện Nông Sơn</t>
  </si>
  <si>
    <t xml:space="preserve">4081/QĐ-UBND ngày 29/10/2015 </t>
  </si>
  <si>
    <t>Hệ thống xử lý chất thải y tế Trung tâm Y tế huyện Nam Trà My</t>
  </si>
  <si>
    <t>4078/QĐ-UBND ngày 29/10/2015</t>
  </si>
  <si>
    <t>Hệ thống xử lý chất thải y tế Trung tâm Y tế huyện Quế Sơn</t>
  </si>
  <si>
    <t xml:space="preserve">4080/QĐ-UBND ngày 29/10/2015  </t>
  </si>
  <si>
    <t>Trạm Y tế xã Cà Dy, huyện Nam Giang</t>
  </si>
  <si>
    <t>4071/QĐ-UBND  ngày 29/10/2015</t>
  </si>
  <si>
    <t>Phòng khám Đa khoa khu vực vùng A, huyện Đại Lộc</t>
  </si>
  <si>
    <t>5081/QĐ-UBND ngày 30/12/2015</t>
  </si>
  <si>
    <t>Sửa chữa, cải tạo Trụ sở làm việc Sở Y tế</t>
  </si>
  <si>
    <t>494/QĐ-UBND ngày 02/02/2016</t>
  </si>
  <si>
    <t>Phòng khám Đa khoa khu vực Phước Chánh, huyện Phước Sơn</t>
  </si>
  <si>
    <t>4973/QĐ-UBND ngày 28/12/2015</t>
  </si>
  <si>
    <t>Bệnh viện Đa khoa Quảng Nam; hạng mục: Hệ thống cấp điện</t>
  </si>
  <si>
    <t>4094/QĐ-UBND ngày 29/10/2015</t>
  </si>
  <si>
    <t>Nâng cấp Bệnh viện Nhi thành Bệnh viện Sản - Nhi tỉnh Quảng Nam</t>
  </si>
  <si>
    <t>1167/QĐ-UBND ngày 30/3/2016</t>
  </si>
  <si>
    <t>Bệnh viện Đa khoa Khu vực Quảng Nam; hạng mục: Sửa chữa chống xuống cấp các khoa, phòng</t>
  </si>
  <si>
    <t>3575/QĐ-UBND ngày 13/10/2016</t>
  </si>
  <si>
    <t>Cải tao, mở rộng khu kỹ thuật và sửa chữa khoa lây lao, Trung tâm Y tế huyện Quế Sơn</t>
  </si>
  <si>
    <t>12/QĐ-SKHĐT ngày 15/02/2017</t>
  </si>
  <si>
    <t>Hệ thống chất thải y tế Bệnh viện Nhi tỉnh Quảng Nam</t>
  </si>
  <si>
    <t>16/QĐ-SKHĐT ngày 21/02/2017</t>
  </si>
  <si>
    <t>Bệnh viện đa khoa huyện Phú Ninh</t>
  </si>
  <si>
    <t>2008-2018</t>
  </si>
  <si>
    <t>2882/QĐ-UBND ngày 01/9/2008</t>
  </si>
  <si>
    <t>Bệnh viện đa khoa khu vực miền núi phía Bắc</t>
  </si>
  <si>
    <t>3374/QĐ - UBND ngày 16/10/2008</t>
  </si>
  <si>
    <t>Bệnh viện đa khoa thành phố Tam Kỳ</t>
  </si>
  <si>
    <t>9416,72 m2</t>
  </si>
  <si>
    <t>3341/QĐ-UBND ngày 14/10/2008</t>
  </si>
  <si>
    <t>Bệnh viện đa khoa huyện Nam Giang</t>
  </si>
  <si>
    <t>3251/QĐ-UBND ngày 06/10/2008</t>
  </si>
  <si>
    <t>Bệnh viện đa khoa tỉnh Quảng Nam</t>
  </si>
  <si>
    <t>2355/QĐ-UBND ngày 31/7/2013</t>
  </si>
  <si>
    <t>Bệnh viện đa khoa huyện Quế Sơn</t>
  </si>
  <si>
    <t>2008-2016</t>
  </si>
  <si>
    <t>3375/QĐ - UBND ngày 16/10/2008</t>
  </si>
  <si>
    <t>Bệnh viện Lao và bệnh phổi</t>
  </si>
  <si>
    <t>1564/QĐ-UBND ngày 17/5/2010</t>
  </si>
  <si>
    <t>Bệnh viện đa khoa huyện Thăng Bình</t>
  </si>
  <si>
    <t>6.136,1 m2</t>
  </si>
  <si>
    <t>3373/QĐ-UBND ngày 6/10/2008</t>
  </si>
  <si>
    <t>Bệnh viện đa khoa thành phố Hội An</t>
  </si>
  <si>
    <t>2999/QĐ-UBND ngày 12/09/2008</t>
  </si>
  <si>
    <t>Bệnh viện Nhi</t>
  </si>
  <si>
    <t>1905/QĐ-UBND ngày 11/6/2010</t>
  </si>
  <si>
    <t>Làng Thanh niên lâp nghiệp Thạnh Mỹ, tỉnh Quảng Nam</t>
  </si>
  <si>
    <t xml:space="preserve">2741/QĐ-UBND </t>
  </si>
  <si>
    <t>Cộng đồng phòng chống thiên tai - Nhà sinh hoạt kết hợp nhà trẻ Làng Rô, xã Cà Dy, huyện Nam Giang</t>
  </si>
  <si>
    <t>Trung tâm Nuôi dưỡng, điều dưỡng người có công Quảng Nam; Hạng mục: Nhà nuôi dưỡng, điều trị người có công (nhà A, nhà C)</t>
  </si>
  <si>
    <t>3306/QĐ-UBND</t>
  </si>
  <si>
    <t>Nhà Nuôi dưỡng điều trị người có công ( nhà B)</t>
  </si>
  <si>
    <t>64/QĐ-SKHĐT</t>
  </si>
  <si>
    <t>Trung tâm Dịch vụ việc làm Quảng Nam; HM: Sửa chữa, nâng cấp trụ sở làm việc văn phòng khu vực Quế Sơn</t>
  </si>
  <si>
    <t>1880/QĐ-UBND</t>
  </si>
  <si>
    <t>Trụ sở làm việc Trung tâm giống thủy sản Quảng Nam</t>
  </si>
  <si>
    <t>3383/QĐ-UBND</t>
  </si>
  <si>
    <t>Trụ sở làm việc Ban Xúc tiến đầu tư và Hỗ trợ doanh nghiệp tỉnh Quảng Nam</t>
  </si>
  <si>
    <t>796/QĐ-UBND</t>
  </si>
  <si>
    <t>Bồi thường, hỗ trợ GPMB dự án Xử lý điểm đen tai nạn giao thông tại Km 957+511, Quốc lộ 1, tỉnh Quảng Nam, trên địa bàn huyện Duy Xuyên</t>
  </si>
  <si>
    <t>4395/QĐ-UBND  ngày 25/7/2016 của UBND huyện Duy Xuyên</t>
  </si>
  <si>
    <t>Di dời các hộ gia đình, cá nhân bị ảnh hưởng bởi khu chứa và xử lý rác thải Tam Xuân II, huyện Núi Thành</t>
  </si>
  <si>
    <t xml:space="preserve">12123/QĐ-UBND ngày 28/11/2017 của UBND huyện Núi Thành </t>
  </si>
  <si>
    <t>Nhà nghỉ và làm việc cho cán bộ, chuyên gia đến công tác tại Mỹ Sơn huyện Duy Xuyên</t>
  </si>
  <si>
    <t>Trụ sở Trung tâm Bảo tồn Di sản - Di tích Quảng Nam</t>
  </si>
  <si>
    <t>4088/QĐ-UB</t>
  </si>
  <si>
    <t>Cải tạo, mở rộng Trung tâm Y tế thị xã Điện Bàn</t>
  </si>
  <si>
    <t>58/QĐ-SKHĐT</t>
  </si>
  <si>
    <t>Khối nhà xưởng thực hành may và điện, điện tử Trường Cao đẳng nghề Quảng Nam</t>
  </si>
  <si>
    <t>4095/QĐ-UBND</t>
  </si>
  <si>
    <t>Trường Cao đảng Y tế Quảng Nam (giai đoạn 2)</t>
  </si>
  <si>
    <t>3671/QĐ-UBND</t>
  </si>
  <si>
    <t>Sửa chữa, cải tạo Khối nhà làm việc Trường Chính trị Quảng Nam</t>
  </si>
  <si>
    <t>3262/QĐ-UBND</t>
  </si>
  <si>
    <t>Nhà công vụ, nhà khách Trường Chính trị tỉnh Quảng Nam</t>
  </si>
  <si>
    <t>65/QĐ-SKHĐT</t>
  </si>
  <si>
    <t>Trung tâm học liệu và Công nghệ thông tin Trường Đại học Quảng Nam</t>
  </si>
  <si>
    <t>1291/QĐ-UBND</t>
  </si>
  <si>
    <t>Trường Đại học Quảng Nam; hạng mục: Cải tạo, sửa chữa Ký túc xá sinh viên số 1 và Nhà đa năng</t>
  </si>
  <si>
    <t>3436/QĐ-UBND</t>
  </si>
  <si>
    <t>Cải tạo, mở rộng Hội trường Ủy ban Mặt trận Tổ quốc Việt Nam tỉnh Quảng Nam</t>
  </si>
  <si>
    <t>620/QĐ-UBND</t>
  </si>
  <si>
    <t>Cải tạo, nâng cấp khuôn viên trụ sở Tỉnh ủy Quảng Nam</t>
  </si>
  <si>
    <t>4646/QĐ-UBND</t>
  </si>
  <si>
    <t>Trung tâm tích hợp dữ liệu Tỉnh ủy và phần mềm đặc thù cho các cơ quan Đảng tỉnh Quảng Nam</t>
  </si>
  <si>
    <t>1177/QĐ-UBND</t>
  </si>
  <si>
    <t>Trụ sở Viện Kiểm sát nhân dân tỉnh Quảng Nam</t>
  </si>
  <si>
    <t>Trụ sở Chi cục Dân số - Kế hoạch hóa gia đình: HM: Cải tạo hệ thống cửa, lăn sơn, nền, trần và các hạng mục khác</t>
  </si>
  <si>
    <t>3866/QĐ-UBND</t>
  </si>
  <si>
    <t>Xây dựng đường hầm Sở chỉ huy cơ bản huyện Quế Sơn kết hợp Sở chỉ huy bổ trợ phía Bắc tỉnh Quảng Nam</t>
  </si>
  <si>
    <t>1773/QĐ-UBND</t>
  </si>
  <si>
    <t>Qũy phát triển đất</t>
  </si>
  <si>
    <t>Văn phòng HĐND tỉnh</t>
  </si>
  <si>
    <t>Văn phòng UBND tỉnh</t>
  </si>
  <si>
    <t>Sở Xây dựng</t>
  </si>
  <si>
    <t>Tỉnh Đoàn</t>
  </si>
  <si>
    <t>Sở GTVT</t>
  </si>
  <si>
    <t>Sở Tài chính</t>
  </si>
  <si>
    <t>Sở Tư pháp</t>
  </si>
  <si>
    <t>Thanh tra tỉnh</t>
  </si>
  <si>
    <t>Sở Ngoại vụ</t>
  </si>
  <si>
    <t>Hội Nông dân</t>
  </si>
  <si>
    <t>Ủy ban MTTQ Việt Nam</t>
  </si>
  <si>
    <t>Hội liên hiệp phụ nữ</t>
  </si>
  <si>
    <t>Hội Cựu chiến binh</t>
  </si>
  <si>
    <t>Trường Chính trị</t>
  </si>
  <si>
    <t>Hội Người mù</t>
  </si>
  <si>
    <t>Hội Luật gia</t>
  </si>
  <si>
    <t>Hội Cựu Thanh niên xung phong</t>
  </si>
  <si>
    <t>Hội Tù yêu nước</t>
  </si>
  <si>
    <t>Hội Nhà báo</t>
  </si>
  <si>
    <t>Hội Văn học - Nghệ thuật</t>
  </si>
  <si>
    <t>Liên hiệp các tổ chức hữu nghị</t>
  </si>
  <si>
    <t>Hội Đông y</t>
  </si>
  <si>
    <t>Hội Khuyến học</t>
  </si>
  <si>
    <t>Hội Làm vườn</t>
  </si>
  <si>
    <t>Hội Người khuyết tật</t>
  </si>
  <si>
    <t>Đoàn Luật sư</t>
  </si>
  <si>
    <t>Uỷ ban đoàn kết công giáo</t>
  </si>
  <si>
    <t>Hội cựu Giáo chức</t>
  </si>
  <si>
    <t>Hội Nghề cá</t>
  </si>
  <si>
    <t>Hiệp Hội doanh nghiệp</t>
  </si>
  <si>
    <t>Chi hoàn trả các khoản thu do KBNN tự hạch toán</t>
  </si>
  <si>
    <t xml:space="preserve">Chi trả nợ gốc từ nguồn bội thu, tăng thu, tiết kiệm, kết dư ngân sách cấp tỉnh </t>
  </si>
  <si>
    <t xml:space="preserve">Chi bổ sung cho ngân sách cấp dưới </t>
  </si>
  <si>
    <t xml:space="preserve">Thu từ quỹ dự trữ tài chính </t>
  </si>
  <si>
    <t>Chi nộp trả ngân sách cấp trên</t>
  </si>
  <si>
    <t>Thu vay</t>
  </si>
  <si>
    <t xml:space="preserve"> TỔNG HỢP CÁC QUỸ TÀI CHÍNH NHÀ NƯỚC NGOÀI NGÂN SÁCH DO ĐỊA PHƯƠNG QUẢN LÝ NĂM 2017</t>
  </si>
  <si>
    <t xml:space="preserve">                                                                                                                                                                                         Đơn vị: Triệu đồng</t>
  </si>
  <si>
    <t>TT</t>
  </si>
  <si>
    <t>Đơn vị</t>
  </si>
  <si>
    <t>Dư nguồn đến ngày 31/12/2016</t>
  </si>
  <si>
    <t>Kế hoạch năm 2017</t>
  </si>
  <si>
    <t>Thực hiện năm 2017</t>
  </si>
  <si>
    <t>Dư nguồn đến 31/12/2017</t>
  </si>
  <si>
    <t>Quỹ Hỗ trợ phát triển Hợp tác xã tỉnh Quảng Nam</t>
  </si>
  <si>
    <t>Quỹ Hỗ trợ ngư dân tỉnh Quảng Nam</t>
  </si>
  <si>
    <t>Quỹ Phát triển đất tỉnh</t>
  </si>
  <si>
    <t>Quỹ Bảo trì đường bộ Quảng Nam</t>
  </si>
  <si>
    <t>Quỹ Bảo vệ và phát triển rừng Quảng Nam</t>
  </si>
  <si>
    <t>Quỹ Hỗ trợ nông dân tỉnh Quảng Nam</t>
  </si>
  <si>
    <t xml:space="preserve">                                                                                                                                                                                                                                                                                                                                                                                                                                                                                                                                                                                                                                                                                                                                                                                                                                                                                                                             </t>
  </si>
  <si>
    <t>Quỹ Bảo lãnh tín dụng doanh nghiệp nhỏ và vừa tỉnh Quảng Nam</t>
  </si>
  <si>
    <t xml:space="preserve">               </t>
  </si>
  <si>
    <t xml:space="preserve">                                                            </t>
  </si>
  <si>
    <t>Quỹ Phòng chống thiên tai tỉnh Quảng Nam</t>
  </si>
  <si>
    <t xml:space="preserve">                                    </t>
  </si>
  <si>
    <t>Quỹ Khám chữa bệnh cho người nghèo tỉnh Quảng Nam</t>
  </si>
  <si>
    <t xml:space="preserve">Quỹ Cho vay hộ nghèo </t>
  </si>
  <si>
    <t>Quỹ đền ơn đáp nghĩa tỉnh</t>
  </si>
  <si>
    <t>Quỹ Bảo trợ trẻ em tỉnh Quảng Nam</t>
  </si>
  <si>
    <t xml:space="preserve">Quỹ vì người nghèo </t>
  </si>
  <si>
    <t>Quỹ học bổng đất Quảng</t>
  </si>
  <si>
    <t>Quỹ học bổng Chan Chu</t>
  </si>
  <si>
    <t>Quỹ khuyến học tỉnh</t>
  </si>
  <si>
    <t xml:space="preserve">Quỹ thắp sáng ước mơ tuổi trẻ </t>
  </si>
  <si>
    <t xml:space="preserve">                                                                    </t>
  </si>
  <si>
    <t>Tổng cộng</t>
  </si>
  <si>
    <t xml:space="preserve">                        </t>
  </si>
  <si>
    <t xml:space="preserve">             </t>
  </si>
  <si>
    <t xml:space="preserve">                                                                                                                                                                                                                                                           </t>
  </si>
  <si>
    <t xml:space="preserve">                                   </t>
  </si>
  <si>
    <t xml:space="preserve">                 </t>
  </si>
  <si>
    <t xml:space="preserve">                                 </t>
  </si>
  <si>
    <t xml:space="preserve">      </t>
  </si>
  <si>
    <t xml:space="preserve">    </t>
  </si>
  <si>
    <t>Ghi chú</t>
  </si>
  <si>
    <t>Giảm trừ trong năm (nếu có)</t>
  </si>
  <si>
    <t>DT</t>
  </si>
  <si>
    <t>LCT</t>
  </si>
  <si>
    <t>tạm ứng</t>
  </si>
  <si>
    <t>Sở Giáo dục và Đào tạo</t>
  </si>
  <si>
    <t>Tổng DT đầu năm</t>
  </si>
  <si>
    <t>Tổng số QT</t>
  </si>
  <si>
    <t>Chi hoạt động của cơ quan QLNN, đảng, đoàn thể</t>
  </si>
  <si>
    <t>ĐVT: Triệu đồng</t>
  </si>
  <si>
    <t>Ngân hàng Chính sách xã hội tỉnh Quảng Nam (Nguồn vốn ủy thác của ngân sách tỉnh)</t>
  </si>
  <si>
    <t>Qũy hỗ trợ nông dân</t>
  </si>
  <si>
    <t>DT giao đầu tư PT</t>
  </si>
  <si>
    <t>TWBS</t>
  </si>
  <si>
    <t>CTMTQG</t>
  </si>
  <si>
    <t>Vốn nước ngoài</t>
  </si>
  <si>
    <t>Cộng thêm</t>
  </si>
  <si>
    <t>Chi XDCB từ nguồn thu phí tham quan</t>
  </si>
  <si>
    <t>Chi từ nguồn thu đóng góp XDHT</t>
  </si>
  <si>
    <t>Chi từ nguồn thu yến sào</t>
  </si>
  <si>
    <t>1.1</t>
  </si>
  <si>
    <t>1.2</t>
  </si>
  <si>
    <t>Trừ đi số TWBS thì DT ĐTPT còn lại (=1-a)</t>
  </si>
  <si>
    <t>Trong đó: (a)</t>
  </si>
  <si>
    <t>Chi từ nguồn năm trước chuyển sang</t>
  </si>
  <si>
    <t>1.3</t>
  </si>
  <si>
    <t>Trừ trả nợ gốc vay</t>
  </si>
  <si>
    <t>Tổng số DT ĐTPT (1.1+1.2-1.3)</t>
  </si>
  <si>
    <t>Cơ cấu của dự toán chi ĐT PT năm 2017</t>
  </si>
  <si>
    <t>Cơ cấu của dự toán chi TX năm 2017</t>
  </si>
  <si>
    <t>DT chi TX</t>
  </si>
  <si>
    <t>Dự toán ĐTPT HĐND giao</t>
  </si>
  <si>
    <t>Trừ: chi trả nợ vay</t>
  </si>
  <si>
    <t>Dự toán TX HĐND tỉnh giao</t>
  </si>
  <si>
    <t>Cộng Chi từ nguồn thu học phí</t>
  </si>
  <si>
    <t>CL</t>
  </si>
  <si>
    <t>Kết dư NS cấp tỉnh</t>
  </si>
  <si>
    <t>Tỉnh</t>
  </si>
  <si>
    <t xml:space="preserve">Ngân sách trung ương </t>
  </si>
  <si>
    <t>Đơn vị: triệu đồng</t>
  </si>
  <si>
    <t>Sự nghiệp kinh tế</t>
  </si>
  <si>
    <t>Sự nghiệp môi trường</t>
  </si>
  <si>
    <t>Sự nghiệp đảm bảo xã hội</t>
  </si>
  <si>
    <t xml:space="preserve">Nội dung </t>
  </si>
  <si>
    <t>Huyện</t>
  </si>
  <si>
    <t>1.4</t>
  </si>
  <si>
    <t>2.1</t>
  </si>
  <si>
    <t>2.2</t>
  </si>
  <si>
    <t>2.3</t>
  </si>
  <si>
    <t>3.1</t>
  </si>
  <si>
    <t>3.2</t>
  </si>
  <si>
    <t>3.3</t>
  </si>
  <si>
    <t>3.4</t>
  </si>
  <si>
    <t>Thu huy động đóng góp</t>
  </si>
  <si>
    <t>Cộng thêm số TWBS</t>
  </si>
  <si>
    <t>VIII</t>
  </si>
  <si>
    <t>UBND thành phố Tam Kỳ</t>
  </si>
  <si>
    <t>UBND thành phố Hội An</t>
  </si>
  <si>
    <t>UBND thị xã Điện Bàn</t>
  </si>
  <si>
    <t>UBND huyện Đại Lộc</t>
  </si>
  <si>
    <t>UBND huyện Duy Xuyên</t>
  </si>
  <si>
    <t>UBND huyện Thăng Bình</t>
  </si>
  <si>
    <t>UBND huyện Phú Ninh</t>
  </si>
  <si>
    <t>UBND huyện Núi Thành</t>
  </si>
  <si>
    <t>UBND huyện Quế Sơn</t>
  </si>
  <si>
    <t>UBND huyện Nông Sơn</t>
  </si>
  <si>
    <t>UBND huyện Tiên Phước</t>
  </si>
  <si>
    <t>UBND huyện Phước Sơn</t>
  </si>
  <si>
    <t>UBND huyện Tây Giang</t>
  </si>
  <si>
    <t>UBND huyện Đông Giang</t>
  </si>
  <si>
    <t>UBND huyện Nam Giang</t>
  </si>
  <si>
    <t>UBND huyện Hiệp Đức</t>
  </si>
  <si>
    <t>UBND huyện Bắc Trà My</t>
  </si>
  <si>
    <t>UBND huyện Nam Trà My</t>
  </si>
  <si>
    <t>Đơn vị tính: Triệu đồng</t>
  </si>
  <si>
    <t>QUYẾT TOÁN THU NGÂN SÁCH HUYỆN NĂM 2017</t>
  </si>
  <si>
    <t>Chi NN, LN, thủy lợi, thủy sản</t>
  </si>
  <si>
    <t>Chi hoạt động của cơ quan QLNN, đảng, ĐT</t>
  </si>
  <si>
    <t xml:space="preserve"> Ban Đại diện người cao tuổi</t>
  </si>
  <si>
    <t>Sở Giao thông vận tải</t>
  </si>
  <si>
    <t xml:space="preserve">      SỞ TÀI CHÍNH</t>
  </si>
  <si>
    <t xml:space="preserve">       PHÒNG QLNS</t>
  </si>
  <si>
    <t>BÁO CÁO TÌNH HÌNH SỬ DỤNG NGUỒN TRUNG ƯƠNG BỔ SUNG CÓ MỤC TIÊU CHO NGÂN SÁCH TỈNH NĂM 2017</t>
  </si>
  <si>
    <t>Quyết định</t>
  </si>
  <si>
    <t>Đơn vị/Nội dung</t>
  </si>
  <si>
    <t xml:space="preserve">Số dư còn chưa sử dụng đến cuối năm 2017 còn trên NS tỉnh 
</t>
  </si>
  <si>
    <t>Số chuyển nguồn sang năm 2018</t>
  </si>
  <si>
    <t xml:space="preserve">Đơn vị sử dụng </t>
  </si>
  <si>
    <t xml:space="preserve">Ghi chú </t>
  </si>
  <si>
    <t xml:space="preserve">Số </t>
  </si>
  <si>
    <t>Ngày tháng</t>
  </si>
  <si>
    <t>Thường xuyên</t>
  </si>
  <si>
    <t>Đầu tư</t>
  </si>
  <si>
    <t>Chuyển nguồn sang 2018 tiếp tục thực hiện (CN trên NS tỉnh)</t>
  </si>
  <si>
    <t>Chuyển nguồn số dư dự toán tại đơn vị, địa phương</t>
  </si>
  <si>
    <t>Chuyển nguồn số dư tạm ứng tại đơn vị, địa phương</t>
  </si>
  <si>
    <t>5a</t>
  </si>
  <si>
    <t>6=1-2+3-4</t>
  </si>
  <si>
    <t>7a</t>
  </si>
  <si>
    <t>7b</t>
  </si>
  <si>
    <t>8a</t>
  </si>
  <si>
    <t>8b</t>
  </si>
  <si>
    <t>9a</t>
  </si>
  <si>
    <t>9b</t>
  </si>
  <si>
    <t>10a</t>
  </si>
  <si>
    <t>10b</t>
  </si>
  <si>
    <t>SNGD</t>
  </si>
  <si>
    <t>SNAN</t>
  </si>
  <si>
    <t>SNYT</t>
  </si>
  <si>
    <t>SNVH</t>
  </si>
  <si>
    <t>SNKT</t>
  </si>
  <si>
    <t>QLHC</t>
  </si>
  <si>
    <t>ĐBXH</t>
  </si>
  <si>
    <t xml:space="preserve">Kinh phí Chương trình mục tiêu phát triển lâm nghiệp bền vững </t>
  </si>
  <si>
    <t>Sở NN&amp;PTNT và các ĐP</t>
  </si>
  <si>
    <t>Kinh phí khoán bảo vệ rừng</t>
  </si>
  <si>
    <t xml:space="preserve">Kinh phí Chương trình mục tiêu giáo dục nghề nghiệp việc làm và an toàn lao động </t>
  </si>
  <si>
    <t>Sở LĐTB&amp;XH</t>
  </si>
  <si>
    <t>UBND TP Hội An</t>
  </si>
  <si>
    <t xml:space="preserve">640
890
</t>
  </si>
  <si>
    <t xml:space="preserve">2/3/2017
21/3/2017
</t>
  </si>
  <si>
    <t>Các huyện, TX, TP</t>
  </si>
  <si>
    <t>Đã bố trí trong DT đầu năm 2018</t>
  </si>
  <si>
    <t>640
1072</t>
  </si>
  <si>
    <t>2/3/2017
31/3/2017</t>
  </si>
  <si>
    <t xml:space="preserve">Kinh phí hỗ trợ tiền ăn trưa cho trẻ em 3-5 tuổi </t>
  </si>
  <si>
    <t xml:space="preserve">Kinh phí học bổng học sinh dân tộc nội trú </t>
  </si>
  <si>
    <t>640
890
1072</t>
  </si>
  <si>
    <t>2/3/2017
21/3/2017
31/3/2017</t>
  </si>
  <si>
    <t>Kinh phí thực hiện chi trả học bổng và hỗ trợ mua sắm phương tiện, đồ dùng học tập cho người khuyết tật theo Thông tư số 42/2013/TTLT-BGDĐT-BLĐTBXH-BTC</t>
  </si>
  <si>
    <t xml:space="preserve">Kinh phí hỗ trợ học tập đối với sinh viên là người dân tộc thểu số thuộc hộ nghèo, cận nghèo học tại các cơ sở giáo dục đại học </t>
  </si>
  <si>
    <t>Trương ĐH Quảng Nam</t>
  </si>
  <si>
    <t>Kinh phí trùng tu phố cổ Hội An</t>
  </si>
  <si>
    <t xml:space="preserve">Kinh phí thực hiện chính sách trợ giúp các đối tượng xã hội, người cao tuổi, người khuyết tật theo Nghị định 136/2013/NĐ-CP </t>
  </si>
  <si>
    <t>Kinh phí chi thưởng cho bà mẹ được tặng danh hiệu vinh dự Nhà nước "Bà mẹ Việt Nam anh hùng"</t>
  </si>
  <si>
    <t>Kinh phí hỗ trợ tiền điện cho hộ nghèo, hộ chính sách xã hội</t>
  </si>
  <si>
    <t>Kinh phí thực hiện chính sách đối với người có uy tín trong đồng bào dân tộc thiểu số</t>
  </si>
  <si>
    <t>Kinh phí trang phục công an xã</t>
  </si>
  <si>
    <t>Đã bố trí trong DT đầu năm 2018: 2 tỷ</t>
  </si>
  <si>
    <t>31/3/2017</t>
  </si>
  <si>
    <t>Kinh phí miễn thu thủy lợi phí</t>
  </si>
  <si>
    <t>Hội An, Núi Thành</t>
  </si>
  <si>
    <t>Kinh phí khắc phục lũ lụt, thiên tai Trung ương bổ sung</t>
  </si>
  <si>
    <t>21/3/2017</t>
  </si>
  <si>
    <t>Bảo hiểm XH tỉnh</t>
  </si>
  <si>
    <t>890
1072</t>
  </si>
  <si>
    <t>21/3/2017
31/3/2017</t>
  </si>
  <si>
    <t>Kinh phí thực hiện một số chính sách phát triển thủy sản theo Nghị định số 67/2014/NĐ-CP</t>
  </si>
  <si>
    <t>Công ty Bảo hiểm Bảo Việt Quảng Nam</t>
  </si>
  <si>
    <t>Kinh phí thực hiện chính sách bảo vệ và phát triển đất trồng lúa theo Nghị định số 35/2015/NĐ-CP</t>
  </si>
  <si>
    <t>Kinh phí thưc hiện tinh giản biến chế theo Nghị định số 108/2014/NĐ-CP</t>
  </si>
  <si>
    <t>Kinh phí thực hiện Chương trình mục tiêu y tế - Dân số</t>
  </si>
  <si>
    <t>Nguồn Trung ương bổ sung thực hiện dự án Trụ Sở làm việc Sở Tài chính chuyển sang năm 2017</t>
  </si>
  <si>
    <t>Chính sách trợ giúp pháp lý theo QĐ 32/2016/QĐ-TTg</t>
  </si>
  <si>
    <t>Kinh phí giải quyết chế độ, chính sách theo Nghị định số 26/2015/NĐ-CP năm 2016</t>
  </si>
  <si>
    <t>Qũy bảo trì đường bộ</t>
  </si>
  <si>
    <t>Kinh phí trợ cấp một lần theo quy định tại Quyết định số 24/2016/QĐ-TTg ngày 14/6/2016 của Thủ tướng Chính phủ</t>
  </si>
  <si>
    <t>Sở Lao động TB&amp;XH</t>
  </si>
  <si>
    <t>Các đơn vị và các huyện, TP</t>
  </si>
  <si>
    <t xml:space="preserve">Kinh phí đào tạo, bồi dưỡng cán bộ, công chức cấp cơ sở theo Quyết định số 124/QĐ-TTg năm 2016 </t>
  </si>
  <si>
    <t>Kinh phí thực hiện Quyết định số 48/2010/QĐ-TTg năm 2016, 2017</t>
  </si>
  <si>
    <t>Các huyện</t>
  </si>
  <si>
    <t>Kinh phí tổ chức các hoạt động kỷ niệm 140 năm ngày sinh Quyền Chủ tịch nước Huỳnh Thúc Kháng</t>
  </si>
  <si>
    <t>Bổ sung có mục tiêu kinh phí quản lý, bảo trì đường bộ năm 2017</t>
  </si>
  <si>
    <t>Kinh phí Hội văn học nghệ thuật, Hội nhà báo năm 2017</t>
  </si>
  <si>
    <t>Hội văn học nghệ thuật, Hội nhà báo</t>
  </si>
  <si>
    <t>Chương trình mục tiêu phát triển lâm nghiệp bền vững</t>
  </si>
  <si>
    <t>TW bổ sung ngày 05/10/2017</t>
  </si>
  <si>
    <t>KP mua vắc xin lỡ mồm long móng</t>
  </si>
  <si>
    <t xml:space="preserve">Chương trình mục tiêu phát triển hệ thống trợ giúp xã hội </t>
  </si>
  <si>
    <t>Các cơ quan, đơn vị, địa phương</t>
  </si>
  <si>
    <t xml:space="preserve">CT mục tiêu tái cơ cấu kinh tế nông nghiệp, phòng chống giảm nhẹ thiên tai, ổn định đời sống dân cư năm 2017 </t>
  </si>
  <si>
    <t xml:space="preserve">KP TW bổ sung mua thiết bị chiếu phim và ô tô chuyên dùng chiếu phim lưu động năm 2017 </t>
  </si>
  <si>
    <t>Sở VHTT</t>
  </si>
  <si>
    <t>KP hỗ trợ phụ nữ thuộc hộ nghèo là nưới dân tộc thiểu số sinh con đúng chính sách dân số năm 2015,2016</t>
  </si>
  <si>
    <t xml:space="preserve">Kinh phí thực hiện Chương trình mục tiêu y tế - Dân số </t>
  </si>
  <si>
    <t>phân bổ sau 30/9</t>
  </si>
  <si>
    <t xml:space="preserve">Kinh phí Chương trình mục tiêu giáo dục nghề nghiệp việc làm và an toàn lao động  </t>
  </si>
  <si>
    <t>Hỗ trợ KP hỗ trợ giống cây trồng, vật nuôi, thủy sản do thiên tai năm 2016</t>
  </si>
  <si>
    <t>TW bổ sung này 02/02/2018</t>
  </si>
  <si>
    <t>Tam Kỳ, ngày 14/8/2018</t>
  </si>
  <si>
    <t>Phó Trưởng Phòng QLNS</t>
  </si>
  <si>
    <t>Tổng Dự toán Trung ương bổ sung 2017 theo báo cáo này là</t>
  </si>
  <si>
    <t>Tổng DT thực rút tại KB là</t>
  </si>
  <si>
    <t>Chênh lệch</t>
  </si>
  <si>
    <t>Tổng DT Trung ương giao</t>
  </si>
  <si>
    <t>Trừu các khoản không rút DT</t>
  </si>
  <si>
    <t>Vốn đầu tư nước ngoài</t>
  </si>
  <si>
    <t>GTGC Dự án nâng cấp mạng lưới GT</t>
  </si>
  <si>
    <t>GTGC dự án hành lang bảo tồn đa dạng sinh học</t>
  </si>
  <si>
    <t>QĐ 995</t>
  </si>
  <si>
    <t>QĐ699</t>
  </si>
  <si>
    <t>QĐ 593</t>
  </si>
  <si>
    <t>QĐ 1083</t>
  </si>
  <si>
    <t>Tổng số GTGC 2017</t>
  </si>
  <si>
    <t>GTGC vốn đầu tư</t>
  </si>
  <si>
    <t>GTGC vốn TX</t>
  </si>
  <si>
    <t>Tổng số TW cho phép kéo dài</t>
  </si>
  <si>
    <t>Tổng số CN tại đơn vị dự toán</t>
  </si>
  <si>
    <t>SNMT</t>
  </si>
  <si>
    <t>Chi thuộc nhiệm vụ của ngân sách cấp huyện, xã</t>
  </si>
  <si>
    <t>NGÂN SÁCH HUYỆN, XÃ</t>
  </si>
  <si>
    <t>Kết dư NS cấp huyện, xã</t>
  </si>
  <si>
    <t xml:space="preserve">Kinh phí thực hiện chế độ hỗ trợ chi phí học tập theo Nghị định 86/2015/NĐ-CP </t>
  </si>
  <si>
    <t>Kinh phí hỗ trợ học sinh bán trú và trường phổ thông dân tộc bán trú theo Nghị định 116/2016/NĐ-CP</t>
  </si>
  <si>
    <t>Kinh phí thực hiện chính sách đối với huyện đảo, xã đảo</t>
  </si>
  <si>
    <t>Kinh phí thưực hiện hỗ trợ mua thẻ BHYT cho các đối tượng</t>
  </si>
  <si>
    <t>Trừ số TW bổ sung 2016 còn lại chuyển nguồn cân đối DT 2017</t>
  </si>
  <si>
    <t>Các chính sách thuộc sự nghiệp giáo dục</t>
  </si>
  <si>
    <t>Các chính sách thuộc sự nghiệp kinh tế</t>
  </si>
  <si>
    <t>Các chính sách thuộc sự nghiệp đảm bảo xã hội</t>
  </si>
  <si>
    <t>Tổng DT chi TX lên biểu 51 (=1+2-3)</t>
  </si>
  <si>
    <t>Chi từ nguồn thu phí BVMT (SNMT)</t>
  </si>
  <si>
    <t>Chi từ nguồn năm trước chuyển sang (SNKT)</t>
  </si>
  <si>
    <t>Chi từ nguồn thu yến sào (SNKT)</t>
  </si>
  <si>
    <t>Chi TX từ nguồn thu phí tham quan (SNVH)</t>
  </si>
  <si>
    <t>Chi từ nguồn thu học phí (SNGD)</t>
  </si>
  <si>
    <t>Dự toán ĐT chính thức (=1+2-3)</t>
  </si>
  <si>
    <t>Dự toán chi TX chính thức (=1+2+3+4+5)</t>
  </si>
  <si>
    <t>Cơ cấu Dự toán chi ĐT NS cấp tỉnh</t>
  </si>
  <si>
    <t>Cơ cấu Dự toán chi TX NS cấp tỉnh</t>
  </si>
  <si>
    <t>Cộng: chi từ huy động đóng góp</t>
  </si>
  <si>
    <t>CTMTQG (SNKT)</t>
  </si>
  <si>
    <t>Chi từ nguồn CN (SNKT)</t>
  </si>
  <si>
    <t>Sự nghiệp MT</t>
  </si>
  <si>
    <t>Sự nghiệp KT</t>
  </si>
  <si>
    <t>Sự nghiệp ĐBXH</t>
  </si>
  <si>
    <t>Sở Giáo dục và Đạo tạo</t>
  </si>
  <si>
    <t>KẾT DƯ NSĐP</t>
  </si>
  <si>
    <t>Từ nguồn tăng thu, tiết kiệm chi ngân sách cấp tỉnh</t>
  </si>
  <si>
    <t>SNQP</t>
  </si>
  <si>
    <t>Sở Văn hoá, Thể thao và du lịch</t>
  </si>
  <si>
    <t>Trường Đại học Quảng Nam</t>
  </si>
  <si>
    <t>Đài Phát thanh truyền hình</t>
  </si>
  <si>
    <t>Ban Đại diện người cao tuổi</t>
  </si>
  <si>
    <t xml:space="preserve">Hội Chữ thập đỏ </t>
  </si>
  <si>
    <t xml:space="preserve">Hội Từ thiện </t>
  </si>
  <si>
    <t>QUYẾT TOÁN CHI ĐẦU TƯ PHÁT TRIỂN CỦA NGÂN SÁCH CẤP TỈNH CHO TỪNG CƠ QUAN, TỔ CHỨC THEO LĨNH VỰC NĂM 2017</t>
  </si>
  <si>
    <r>
      <t xml:space="preserve">Dự toán </t>
    </r>
    <r>
      <rPr>
        <sz val="10"/>
        <rFont val="Times New Roman"/>
        <family val="1"/>
      </rPr>
      <t>(bao gồm số chuyển nguồn và số bổ sung trong năm)</t>
    </r>
  </si>
  <si>
    <t>Chi đầu tư khác (cấp vốn điều lệ cho các quỹ)</t>
  </si>
  <si>
    <t>Sở Văn hóa-Thể thao &amp;DL</t>
  </si>
  <si>
    <t>QUYẾT TOÁN CHI THƯỜNG XUYÊN CỦA NGÂN SÁCH CẤP TỈNH CHO TỪNG CƠ QUAN, TỔ CHỨC THEO LĨNH VỰC NĂM 2017</t>
  </si>
  <si>
    <t xml:space="preserve">Sở Y tế </t>
  </si>
  <si>
    <t xml:space="preserve">Liên hiệp các tổ chức hữu nghị </t>
  </si>
  <si>
    <t xml:space="preserve">Liên minh Hợp tác xã </t>
  </si>
  <si>
    <t>Sở Lao động - Thương binh &amp; Xã hội</t>
  </si>
  <si>
    <t>Ban Quản lý Khu Kinh tế mở Chu Lai</t>
  </si>
  <si>
    <t>BQL Đô thị mới Điện Nam-Điện Ngọc</t>
  </si>
  <si>
    <t>Ban Quản lý Các Khu công nghiệp</t>
  </si>
  <si>
    <t xml:space="preserve">Ban Quản lý Dự án BCC </t>
  </si>
  <si>
    <t>Trường Cao đẳng Y tế</t>
  </si>
  <si>
    <t>Trường Cao đẳng Nghề</t>
  </si>
  <si>
    <t>Trung tâm phát triển nguồn nhân lực chất lượng cao</t>
  </si>
  <si>
    <t>Trung tâm Hành chính công và Xúc tiến đầu tư tỉnh</t>
  </si>
  <si>
    <t>Ban Quản lý Dự án BCC</t>
  </si>
  <si>
    <t>Hội Bảo trợ Người khuyết tật, Quyền trẻ em và Bệnh nhân nghèo tỉnh Quảng Nam</t>
  </si>
  <si>
    <t>Liên hiệp các hội Khoa học kỹ thuật</t>
  </si>
  <si>
    <t>Đoàn Đại biểu quốc hội</t>
  </si>
  <si>
    <t>Ban chỉ huy Bộ đội biên phòng</t>
  </si>
  <si>
    <t>Ban Phòng chống thiên tai và Tìm kiếm cứu nạn</t>
  </si>
  <si>
    <t>Hội Nạn nhân chất độc da cam</t>
  </si>
  <si>
    <t>Các đơn vị khác (hỗ trợ bằng lệnh chi tiền)</t>
  </si>
  <si>
    <t>TỔNG HỢP QUYẾT TOÁN CHI THƯỜNG XUYÊN NGÂN SÁCH CẤP TỈNH CỦA TỪNG CƠ QUAN, TỔ CHỨC THEO NGUỒN VỐN NĂM 2017</t>
  </si>
  <si>
    <t>Sở Văn hoá - Thể thao và Du lịch</t>
  </si>
  <si>
    <t>Sở Lao động - Thương binh &amp; xã hội</t>
  </si>
  <si>
    <t>Sở Khoa học và công nghệ</t>
  </si>
  <si>
    <t>Ủy ban Mặt trận Tổ quốc Việt Nam</t>
  </si>
  <si>
    <t>Ban quản lý Đô thị mới Điện Nam - Điện Ngọc</t>
  </si>
  <si>
    <t>Trường Cao đẳng kinh tế kỹ thuật</t>
  </si>
  <si>
    <t>Trường Cao đẳng Kinh tế kỹ thuật</t>
  </si>
  <si>
    <t>Bộ chỉ huy Bộ đội biên phòng</t>
  </si>
  <si>
    <t>Sở Nông nghiệp &amp; Phát triển nông thôn</t>
  </si>
  <si>
    <t>Thu bổ sung có mục tiêu từ ngân sách cấp trên</t>
  </si>
  <si>
    <t>Sở Nông nghiệp và Phát triển nông thôn</t>
  </si>
  <si>
    <t>Trung tâm Nuôi dưỡng, điều dưỡng người có công QNam</t>
  </si>
  <si>
    <t>Trung tâm Hành chính công &amp;XTĐT Tỉnh</t>
  </si>
  <si>
    <t>Ban quản lý dự án ĐTXD các công trình giao thông</t>
  </si>
  <si>
    <t>Ban quản lý dự án ĐTXD các công trình NN&amp;PTNT tỉnh</t>
  </si>
  <si>
    <t>Ban quản lý Khu Kinh tế mở Chu Lai</t>
  </si>
  <si>
    <t>Thu từ NS cấp dưới nộp lên</t>
  </si>
  <si>
    <t>1=2+…+8</t>
  </si>
  <si>
    <t>QUYẾT TOÁN CÂN ĐỐI NGUỒN THU, CHI NGÂN SÁCH CẤP TỈNH 
VÀ NGÂN SÁCH CẤP HUYỆN, XÃ NĂM 2017</t>
  </si>
  <si>
    <t>10=1+9</t>
  </si>
  <si>
    <t>Ban cứu trợ thiên tai, hỏa hoạn, sự cố nghiêm trọng các bệnh nhân mắc bệnh hiểm nghèo</t>
  </si>
  <si>
    <t>2=3+…+17</t>
  </si>
  <si>
    <t>UBMT Tổ quốc Việt Nam Tỉnh</t>
  </si>
  <si>
    <t>Sở Lao động-Thương binh &amp;XH</t>
  </si>
  <si>
    <t>Văm phòng Chi cục Dân số và Kế hoạch hóa gia đình tỉnh</t>
  </si>
  <si>
    <t>Quỹ chất độc da cam/đioxin</t>
  </si>
  <si>
    <t>IX</t>
  </si>
  <si>
    <t>Chi điều chỉnh tiền lương và thực hiện các chính sách an sinh xã hội từ nguồn cải cách tiền lương</t>
  </si>
  <si>
    <r>
      <t xml:space="preserve">Dự toán </t>
    </r>
    <r>
      <rPr>
        <sz val="12"/>
        <rFont val="Times New Roman"/>
        <family val="1"/>
      </rPr>
      <t>(bao gồm số chuyển nguồn năm trước sang và số bổ sung, điều chỉnh trong năm)</t>
    </r>
  </si>
  <si>
    <r>
      <rPr>
        <b/>
        <i/>
        <sz val="12"/>
        <rFont val="Times New Roman"/>
        <family val="1"/>
      </rPr>
      <t xml:space="preserve">Ghi chú: </t>
    </r>
    <r>
      <rPr>
        <i/>
        <sz val="12"/>
        <rFont val="Times New Roman"/>
        <family val="1"/>
      </rPr>
      <t>Tổng số dự toán và quyết toán chi của các đơn vị bao gồm cả số ghi thu, ghi chi</t>
    </r>
  </si>
  <si>
    <t>Bổ sung trong năm (kể cả năm trước chuyển sang và số ghi thu, ghi chi)</t>
  </si>
  <si>
    <t>giảm kết dư, tăng chuyển nguồn</t>
  </si>
  <si>
    <t>Tăng ghi thu, ghi chi</t>
  </si>
  <si>
    <t>QUYẾT TOÁN VỐN ĐẦU TƯ CÁC CHƯƠNG TRÌNH, DỰ ÁN SỬ DỤNG VỐN NGÂN SÁCH NHÀ NƯỚC KHỐI TỈNH  NĂM 2017</t>
  </si>
  <si>
    <r>
      <t>DỰ TOÁN</t>
    </r>
    <r>
      <rPr>
        <sz val="9"/>
        <rFont val="Times New Roman"/>
        <family val="1"/>
      </rPr>
      <t xml:space="preserve"> (Bao gồm số chuyển nguồn và số bổ sung trong năm)</t>
    </r>
  </si>
  <si>
    <t>Tổng thu biểu số 48</t>
  </si>
  <si>
    <t>Tổng thu NS cấp tỉnh</t>
  </si>
  <si>
    <t>Tổng thu NS cấp huyện</t>
  </si>
  <si>
    <t>Tổng thu NS cấp huyện sau khi loại trừ số thu bổ sung từ NS cấp trên: 7.654.865trđ</t>
  </si>
  <si>
    <t>Tổng thu biểu 49 (=2.1+2.3)</t>
  </si>
  <si>
    <t>Tổng thu tại biểu 50</t>
  </si>
  <si>
    <t>VỀ THU</t>
  </si>
  <si>
    <t>VỀ CHI</t>
  </si>
  <si>
    <t>Tổng chi tại biểu 48</t>
  </si>
  <si>
    <t>Tổng chi cân đối</t>
  </si>
  <si>
    <t>NS cấp tỉnh chi</t>
  </si>
  <si>
    <t>NS cấp huyện chi</t>
  </si>
  <si>
    <t>NS cấp tỉnh chi sau khi loại trừ số chi BS cho NS cấp huyện: 7.654.865</t>
  </si>
  <si>
    <t>Chi đầu tư PT</t>
  </si>
  <si>
    <t>Chi Đầu tư PT</t>
  </si>
  <si>
    <t>5.1</t>
  </si>
  <si>
    <t>5.2</t>
  </si>
  <si>
    <t>Tổng số tại cột số 7</t>
  </si>
  <si>
    <t>Chi nộp trả NS cấp trên tại cột số 14</t>
  </si>
  <si>
    <t>Chi chuyển nguồn tại cột số 15</t>
  </si>
  <si>
    <t>Tổng số quyết toán chi NS cấp tỉnh cho từng cơ quan đơn vị tại biểu 54</t>
  </si>
  <si>
    <t>Chênh lệch với biểu số 53</t>
  </si>
  <si>
    <r>
      <t>Tổng QT chi TX cấp tỉnh tại biểu 56</t>
    </r>
    <r>
      <rPr>
        <sz val="11"/>
        <color theme="1"/>
        <rFont val="Times New Roman"/>
        <family val="1"/>
      </rPr>
      <t xml:space="preserve"> </t>
    </r>
  </si>
  <si>
    <t xml:space="preserve">Tổng số QT chi TX cấp tỉnh tại biểu 57 </t>
  </si>
  <si>
    <t xml:space="preserve">Bằng biểu 56 </t>
  </si>
  <si>
    <t xml:space="preserve">Tổng số QT chi đầu tư PT của NS cấp tỉnh tại biểu 55 </t>
  </si>
  <si>
    <t>Bằng số QT chi ĐTPT tại biểu số 52 và bằng mục I, cột số 8, biểu số 54</t>
  </si>
  <si>
    <t xml:space="preserve">NS cấp tỉnh chi </t>
  </si>
  <si>
    <t>Bằng biểu 49</t>
  </si>
  <si>
    <t>Bằng biểu 49 sau khi loại trừ số chi BS cho NS cấp huyện: 7.654.865trđ</t>
  </si>
  <si>
    <t xml:space="preserve">Tổng chi tại biểu 53 </t>
  </si>
  <si>
    <t>Bằng biểu 48,49</t>
  </si>
  <si>
    <r>
      <t>Tổng chi NS cấp tỉnh tại biểu 52</t>
    </r>
    <r>
      <rPr>
        <sz val="11"/>
        <color theme="1"/>
        <rFont val="Times New Roman"/>
        <family val="1"/>
      </rPr>
      <t xml:space="preserve"> </t>
    </r>
  </si>
  <si>
    <t>Bằng tổng chi NS cấp tỉnh tại biểu 49</t>
  </si>
  <si>
    <t xml:space="preserve">Chi các chương trình mục tiêu </t>
  </si>
  <si>
    <t xml:space="preserve">Chi nộp trả ngân sách cấp trên </t>
  </si>
  <si>
    <t>Bằng chi biểu 48</t>
  </si>
  <si>
    <t xml:space="preserve">Chênh lệch so với biểu 48,49 </t>
  </si>
  <si>
    <t xml:space="preserve">Tổng chi tại biểu 51 </t>
  </si>
  <si>
    <t xml:space="preserve">Tổng chi cân đối </t>
  </si>
  <si>
    <t>Tổng số QT chi NSĐP từng huyện, xã tại biểu 58</t>
  </si>
  <si>
    <t>Bằng chi cấp huyện tại biểu 49</t>
  </si>
  <si>
    <t>Chi cho đầu tư và TX</t>
  </si>
  <si>
    <t>Bằng chi thuộc nhiệm vụ vụ NS cấp huyện tại biểu 49</t>
  </si>
  <si>
    <t>Chi nộp trả NS cấp trên tại cột số 18</t>
  </si>
  <si>
    <t>Chi huyển nguồn sang năm sau tại cột 17</t>
  </si>
  <si>
    <t>Tổng QT thu NS cấp huyện tại biểu 60</t>
  </si>
  <si>
    <t>Bằng thu NS cấp huyện tại biểu 49</t>
  </si>
  <si>
    <t>Tổng QT chi CT mục tiêu quốc gia tại biểu 61</t>
  </si>
  <si>
    <t>Bằng mục QT chi CTMTQG tại biểu 51</t>
  </si>
  <si>
    <t>QT vốn đầu tư dự án khối tỉnh tại biểu 62</t>
  </si>
  <si>
    <t>Chênh lêch với QT vốn ĐTPT tại biểu 55</t>
  </si>
  <si>
    <t>Do tại biểu này quyết toán chi dự án nên không có KP bổ sung vốn điều lệ cho các quỹ</t>
  </si>
  <si>
    <t>440/QĐ-UB ngày 8/10/2002;2427/QĐ-UBND ngày 4/7/2017</t>
  </si>
  <si>
    <t>Chi dự phòng ngân sách</t>
  </si>
  <si>
    <t>Tỉnh chi</t>
  </si>
  <si>
    <t>Tỉnh thu</t>
  </si>
  <si>
    <t>huyện thu</t>
  </si>
  <si>
    <t>huyện chi</t>
  </si>
  <si>
    <t>Do tại biểu 50 không có Thu từ TW BS cho NS cấp tỉnh: 3.261.466trđ</t>
  </si>
  <si>
    <t>Tổng chi tại biểu 49</t>
  </si>
  <si>
    <t>Bằng biểu 48</t>
  </si>
  <si>
    <t>Biểu 54 có chi BSMT cho NS cấp dưới và không có 160 tỷ trả nợ vay</t>
  </si>
  <si>
    <t>Bằng QT chi TX + Chi Dự phòng NS + chi từ nguồn CCTL tại biểu 52 và bằng biểu 57</t>
  </si>
  <si>
    <t>CL với biểu 48: 692.966trđ thu từ NS cấp dưới nộp lên</t>
  </si>
  <si>
    <t>TỔNG HỢP THU DỊCH VỤ CỦA ĐƠN VỊ SỰ NGHIỆP CÔNG  CỦA CẤP TỈNH NĂM 2017 (KHÔNG BAO GỒM NGUỒN 
NGÂN SÁCH NHÀ NƯỚC)</t>
  </si>
  <si>
    <t>Sự nghiệp văn hóa</t>
  </si>
  <si>
    <t>Trong đó: Hỗ trợ từ NSĐP (nếu có)</t>
  </si>
  <si>
    <t>Biểu số 62/CK-NSNN</t>
  </si>
  <si>
    <t>UBND TỈNH QUẢNG NAM</t>
  </si>
  <si>
    <t>CÂN ĐỐI  NGÂN SÁCH ĐỊA PHƯƠNG NĂM 2017</t>
  </si>
  <si>
    <t>Đ</t>
  </si>
  <si>
    <t>(Quyết toán đã được Hội đồng nhân dân tỉnh phê chuẩn)</t>
  </si>
</sst>
</file>

<file path=xl/styles.xml><?xml version="1.0" encoding="utf-8"?>
<styleSheet xmlns="http://schemas.openxmlformats.org/spreadsheetml/2006/main" xmlns:mc="http://schemas.openxmlformats.org/markup-compatibility/2006" xmlns:x14ac="http://schemas.microsoft.com/office/spreadsheetml/2009/9/ac" mc:Ignorable="x14ac">
  <numFmts count="208">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 _₫_-;\-* #,##0\ _₫_-;_-* &quot;-&quot;\ _₫_-;_-@_-"/>
    <numFmt numFmtId="165" formatCode="_-* #,##0.00\ _₫_-;\-* #,##0.00\ _₫_-;_-* &quot;-&quot;??\ _₫_-;_-@_-"/>
    <numFmt numFmtId="166" formatCode="_(* #,##0_);_(* \(#,##0\);_(* &quot;-&quot;??_);_(@_)"/>
    <numFmt numFmtId="167" formatCode="_-* #,##0_-;\-* #,##0_-;_-* &quot;-&quot;??_-;_-@_-"/>
    <numFmt numFmtId="168" formatCode="0.0%"/>
    <numFmt numFmtId="169" formatCode="#,##0.000000"/>
    <numFmt numFmtId="170" formatCode="#,##0.0"/>
    <numFmt numFmtId="171" formatCode="_-* #,##0.00\ _€_-;\-* #,##0.00\ _€_-;_-* &quot;-&quot;??\ _€_-;_-@_-"/>
    <numFmt numFmtId="172" formatCode="_-* #,##0\ _€_-;\-* #,##0\ _€_-;_-* &quot;-&quot;??\ _€_-;_-@_-"/>
    <numFmt numFmtId="173" formatCode="0.0000"/>
    <numFmt numFmtId="174" formatCode="#,##0.00\ &quot;€&quot;;[Red]\-#,##0.00\ &quot;€&quot;"/>
    <numFmt numFmtId="175" formatCode="\$#,##0\ ;\(\$#,##0\)"/>
    <numFmt numFmtId="176" formatCode="&quot;VND&quot;#,##0_);[Red]\(&quot;VND&quot;#,##0\)"/>
    <numFmt numFmtId="177" formatCode="#,##0\ &quot;DM&quot;;\-#,##0\ &quot;DM&quot;"/>
    <numFmt numFmtId="178" formatCode="0.000%"/>
    <numFmt numFmtId="179" formatCode="_-* #,##0_-;\-* #,##0_-;_-* &quot;-&quot;_-;_-@_-"/>
    <numFmt numFmtId="180" formatCode="_-* #,##0.00_-;\-* #,##0.00_-;_-* &quot;-&quot;??_-;_-@_-"/>
    <numFmt numFmtId="181" formatCode="_-&quot;$&quot;* #,##0_-;\-&quot;$&quot;* #,##0_-;_-&quot;$&quot;* &quot;-&quot;_-;_-@_-"/>
    <numFmt numFmtId="182" formatCode="_-&quot;$&quot;* #,##0.00_-;\-&quot;$&quot;* #,##0.00_-;_-&quot;$&quot;* &quot;-&quot;??_-;_-@_-"/>
    <numFmt numFmtId="183" formatCode="_-* #,##0.00\ _V_N_D_-;\-* #,##0.00\ _V_N_D_-;_-* &quot;-&quot;??\ _V_N_D_-;_-@_-"/>
    <numFmt numFmtId="184" formatCode="_-&quot;€&quot;* #,##0_-;\-&quot;€&quot;* #,##0_-;_-&quot;€&quot;* &quot;-&quot;_-;_-@_-"/>
    <numFmt numFmtId="185" formatCode="#.##00"/>
    <numFmt numFmtId="186" formatCode="_ * #,##0_)\ &quot;$&quot;_ ;_ * \(#,##0\)\ &quot;$&quot;_ ;_ * &quot;-&quot;_)\ &quot;$&quot;_ ;_ @_ "/>
    <numFmt numFmtId="187" formatCode="_-* #,##0\ _F_-;\-* #,##0\ _F_-;_-* &quot;-&quot;\ _F_-;_-@_-"/>
    <numFmt numFmtId="188" formatCode="_-* #,##0\ &quot;F&quot;_-;\-* #,##0\ &quot;F&quot;_-;_-* &quot;-&quot;\ &quot;F&quot;_-;_-@_-"/>
    <numFmt numFmtId="189" formatCode="_-* #,##0\ &quot;€&quot;_-;\-* #,##0\ &quot;€&quot;_-;_-* &quot;-&quot;\ &quot;€&quot;_-;_-@_-"/>
    <numFmt numFmtId="190" formatCode="_-* #,##0\ &quot;$&quot;_-;\-* #,##0\ &quot;$&quot;_-;_-* &quot;-&quot;\ &quot;$&quot;_-;_-@_-"/>
    <numFmt numFmtId="191" formatCode="_ * #,##0_)&quot;$&quot;_ ;_ * \(#,##0\)&quot;$&quot;_ ;_ * &quot;-&quot;_)&quot;$&quot;_ ;_ @_ "/>
    <numFmt numFmtId="192" formatCode="_-&quot;ñ&quot;* #,##0_-;\-&quot;ñ&quot;* #,##0_-;_-&quot;ñ&quot;* &quot;-&quot;_-;_-@_-"/>
    <numFmt numFmtId="193" formatCode="_-* ###,0&quot;.&quot;00_-;\-* ###,0&quot;.&quot;00_-;_-* &quot;-&quot;??_-;_-@_-"/>
    <numFmt numFmtId="194" formatCode="_ * #,##0.00_ ;_ * \-#,##0.00_ ;_ * &quot;-&quot;??_ ;_ @_ "/>
    <numFmt numFmtId="195" formatCode="_-* #,##0.00\ _F_-;\-* #,##0.00\ _F_-;_-* &quot;-&quot;??\ _F_-;_-@_-"/>
    <numFmt numFmtId="196" formatCode="_ * #,##0.00_)\ _$_ ;_ * \(#,##0.00\)\ _$_ ;_ * &quot;-&quot;??_)\ _$_ ;_ @_ "/>
    <numFmt numFmtId="197" formatCode="_ * #,##0.00_)_$_ ;_ * \(#,##0.00\)_$_ ;_ * &quot;-&quot;??_)_$_ ;_ @_ "/>
    <numFmt numFmtId="198" formatCode="_(* ###,0&quot;.&quot;00_);_(* \(###,0&quot;.&quot;00\);_(* &quot;-&quot;??_);_(@_)"/>
    <numFmt numFmtId="199" formatCode="_-* #,##0.00\ _ñ_-;\-* #,##0.00\ _ñ_-;_-* &quot;-&quot;??\ _ñ_-;_-@_-"/>
    <numFmt numFmtId="200" formatCode="_-* #,##0.00\ _ñ_-;_-* #,##0.00\ _ñ\-;_-* &quot;-&quot;??\ _ñ_-;_-@_-"/>
    <numFmt numFmtId="201" formatCode="_(&quot;$&quot;\ * #,##0_);_(&quot;$&quot;\ * \(#,##0\);_(&quot;$&quot;\ * &quot;-&quot;_);_(@_)"/>
    <numFmt numFmtId="202" formatCode="_-* #,##0.00000000_-;\-* #,##0.00000000_-;_-* &quot;-&quot;??_-;_-@_-"/>
    <numFmt numFmtId="203" formatCode="_(&quot;€&quot;\ * #,##0_);_(&quot;€&quot;\ * \(#,##0\);_(&quot;€&quot;\ * &quot;-&quot;_);_(@_)"/>
    <numFmt numFmtId="204" formatCode="_-* #,##0\ &quot;ñ&quot;_-;\-* #,##0\ &quot;ñ&quot;_-;_-* &quot;-&quot;\ &quot;ñ&quot;_-;_-@_-"/>
    <numFmt numFmtId="205" formatCode="_(&quot;€&quot;* #,##0_);_(&quot;€&quot;* \(#,##0\);_(&quot;€&quot;* &quot;-&quot;_);_(@_)"/>
    <numFmt numFmtId="206" formatCode="_-* #,##0\ _€_-;\-* #,##0\ _€_-;_-* &quot;-&quot;\ _€_-;_-@_-"/>
    <numFmt numFmtId="207" formatCode="_ * #,##0_ ;_ * \-#,##0_ ;_ * &quot;-&quot;_ ;_ @_ "/>
    <numFmt numFmtId="208" formatCode="_-* #,##0\ _V_N_D_-;\-* #,##0\ _V_N_D_-;_-* &quot;-&quot;\ _V_N_D_-;_-@_-"/>
    <numFmt numFmtId="209" formatCode="_ * #,##0_)\ _$_ ;_ * \(#,##0\)\ _$_ ;_ * &quot;-&quot;_)\ _$_ ;_ @_ "/>
    <numFmt numFmtId="210" formatCode="_ * #,##0_)_$_ ;_ * \(#,##0\)_$_ ;_ * &quot;-&quot;_)_$_ ;_ @_ "/>
    <numFmt numFmtId="211" formatCode="_-* #,##0\ _$_-;\-* #,##0\ _$_-;_-* &quot;-&quot;\ _$_-;_-@_-"/>
    <numFmt numFmtId="212" formatCode="_-* #,##0\ _m_k_-;\-* #,##0\ _m_k_-;_-* &quot;-&quot;\ _m_k_-;_-@_-"/>
    <numFmt numFmtId="213" formatCode="_-* #,##0\ _ñ_-;\-* #,##0\ _ñ_-;_-* &quot;-&quot;\ _ñ_-;_-@_-"/>
    <numFmt numFmtId="214" formatCode="_-* #,##0\ _ñ_-;_-* #,##0\ _ñ\-;_-* &quot;-&quot;\ _ñ_-;_-@_-"/>
    <numFmt numFmtId="215" formatCode="_ &quot;\&quot;* #,##0_ ;_ &quot;\&quot;* \-#,##0_ ;_ &quot;\&quot;* &quot;-&quot;_ ;_ @_ "/>
    <numFmt numFmtId="216" formatCode="&quot;\&quot;#,##0.00;[Red]&quot;\&quot;\-#,##0.00"/>
    <numFmt numFmtId="217" formatCode="&quot;\&quot;#,##0;[Red]&quot;\&quot;\-#,##0"/>
    <numFmt numFmtId="218" formatCode="&quot;SFr.&quot;\ #,##0.00;[Red]&quot;SFr.&quot;\ \-#,##0.00"/>
    <numFmt numFmtId="219" formatCode="&quot;SFr.&quot;\ #,##0.00;&quot;SFr.&quot;\ \-#,##0.00"/>
    <numFmt numFmtId="220" formatCode="_ &quot;SFr.&quot;\ * #,##0_ ;_ &quot;SFr.&quot;\ * \-#,##0_ ;_ &quot;SFr.&quot;\ * &quot;-&quot;_ ;_ @_ "/>
    <numFmt numFmtId="221" formatCode="#\ ###\ ##0"/>
    <numFmt numFmtId="222" formatCode=".\ ##;000000000000000000000000000000000000000000000000000000000000000000000000000000000000000000000000000000000000"/>
    <numFmt numFmtId="223" formatCode="\$#,##0_);\(\$#,##0\)"/>
    <numFmt numFmtId="224" formatCode="_ * #,##0.00_)&quot;€&quot;_ ;_ * \(#,##0.00\)&quot;€&quot;_ ;_ * &quot;-&quot;??_)&quot;€&quot;_ ;_ @_ "/>
    <numFmt numFmtId="225" formatCode="&quot;€&quot;###,0&quot;.&quot;00_);[Red]\(&quot;€&quot;###,0&quot;.&quot;00\)"/>
    <numFmt numFmtId="226" formatCode="_ &quot;\&quot;* #,##0.00_ ;_ &quot;\&quot;* &quot;\&quot;&quot;\&quot;&quot;\&quot;&quot;\&quot;&quot;\&quot;&quot;\&quot;&quot;\&quot;&quot;\&quot;&quot;\&quot;&quot;\&quot;&quot;\&quot;&quot;\&quot;\-#,##0.00_ ;_ &quot;\&quot;* &quot;-&quot;??_ ;_ @_ "/>
    <numFmt numFmtId="227" formatCode="0&quot;.&quot;000"/>
    <numFmt numFmtId="228" formatCode="_ * #,##0.00_ ;_ * &quot;\&quot;&quot;\&quot;&quot;\&quot;&quot;\&quot;&quot;\&quot;&quot;\&quot;&quot;\&quot;&quot;\&quot;&quot;\&quot;&quot;\&quot;&quot;\&quot;&quot;\&quot;\-#,##0.00_ ;_ * &quot;-&quot;??_ ;_ @_ "/>
    <numFmt numFmtId="229" formatCode="#,##0\ &quot;$&quot;_);[Red]\(#,##0\ &quot;$&quot;\)"/>
    <numFmt numFmtId="230" formatCode="&quot;\&quot;#,##0;&quot;\&quot;&quot;\&quot;&quot;\&quot;&quot;\&quot;&quot;\&quot;&quot;\&quot;&quot;\&quot;&quot;\&quot;&quot;\&quot;&quot;\&quot;&quot;\&quot;&quot;\&quot;&quot;\&quot;&quot;\&quot;\-#,##0"/>
    <numFmt numFmtId="231" formatCode="###,0&quot;.&quot;00\ &quot;$&quot;_);\(###,0&quot;.&quot;00\ &quot;$&quot;\)"/>
    <numFmt numFmtId="232" formatCode="&quot;\&quot;#,##0;[Red]&quot;\&quot;&quot;\&quot;&quot;\&quot;&quot;\&quot;&quot;\&quot;&quot;\&quot;&quot;\&quot;&quot;\&quot;&quot;\&quot;&quot;\&quot;&quot;\&quot;&quot;\&quot;&quot;\&quot;&quot;\&quot;\-#,##0"/>
    <numFmt numFmtId="233" formatCode="#,##0\ &quot;$&quot;_);\(#,##0\ &quot;$&quot;\)"/>
    <numFmt numFmtId="234" formatCode="_ * #,##0_ ;_ * &quot;\&quot;&quot;\&quot;&quot;\&quot;&quot;\&quot;&quot;\&quot;&quot;\&quot;&quot;\&quot;&quot;\&quot;&quot;\&quot;&quot;\&quot;&quot;\&quot;&quot;\&quot;\-#,##0_ ;_ * &quot;-&quot;_ ;_ @_ "/>
    <numFmt numFmtId="235" formatCode="###,0&quot;.&quot;00\ &quot;$&quot;_);[Red]\(###,0&quot;.&quot;00\ &quot;$&quot;\)"/>
    <numFmt numFmtId="236" formatCode="&quot;\&quot;#,##0.00;&quot;\&quot;&quot;\&quot;&quot;\&quot;&quot;\&quot;&quot;\&quot;&quot;\&quot;&quot;\&quot;&quot;\&quot;&quot;\&quot;&quot;\&quot;&quot;\&quot;&quot;\&quot;&quot;\&quot;&quot;\&quot;\-#,##0.00"/>
    <numFmt numFmtId="237" formatCode="_-* #,##0.00\ &quot;F&quot;_-;\-* #,##0.00\ &quot;F&quot;_-;_-* &quot;-&quot;??\ &quot;F&quot;_-;_-@_-"/>
    <numFmt numFmtId="238" formatCode="0.000_)"/>
    <numFmt numFmtId="239" formatCode="#,##0_)_%;\(#,##0\)_%;"/>
    <numFmt numFmtId="240" formatCode="_(* #,##0.0_);_(* \(#,##0.0\);_(* &quot;-&quot;??_);_(@_)"/>
    <numFmt numFmtId="241" formatCode="_._.* #,##0.0_)_%;_._.* \(#,##0.0\)_%"/>
    <numFmt numFmtId="242" formatCode="#,##0.0_)_%;\(#,##0.0\)_%;\ \ .0_)_%"/>
    <numFmt numFmtId="243" formatCode="_._.* #,##0.00_)_%;_._.* \(#,##0.00\)_%"/>
    <numFmt numFmtId="244" formatCode="#,##0.00_)_%;\(#,##0.00\)_%;\ \ .00_)_%"/>
    <numFmt numFmtId="245" formatCode="_._.* #,##0.000_)_%;_._.* \(#,##0.000\)_%"/>
    <numFmt numFmtId="246" formatCode="#,##0.000_)_%;\(#,##0.000\)_%;\ \ .000_)_%"/>
    <numFmt numFmtId="247" formatCode="_(* #,##0.00_);_(* \(#,##0.00\);_(* &quot;-&quot;&quot;?&quot;&quot;?&quot;_);_(@_)"/>
    <numFmt numFmtId="248" formatCode="&quot;Rp&quot;#,##0_);[Red]\(&quot;Rp&quot;#,##0\)"/>
    <numFmt numFmtId="249" formatCode="_-* #,##0\ &quot;þ&quot;_-;\-* #,##0\ &quot;þ&quot;_-;_-* &quot;-&quot;\ &quot;þ&quot;_-;_-@_-"/>
    <numFmt numFmtId="250" formatCode="0.000"/>
    <numFmt numFmtId="251" formatCode="_ * #,##0.0_)_$_ ;_ * \(#,##0.0\)_$_ ;_ * &quot;-&quot;??_)_$_ ;_ @_ "/>
    <numFmt numFmtId="252" formatCode="_-* #,##0.00\ _þ_-;\-* #,##0.00\ _þ_-;_-* &quot;-&quot;??\ _þ_-;_-@_-"/>
    <numFmt numFmtId="253" formatCode="_-* #,##0\ _₫_-;\-* #,##0\ _₫_-;_-* &quot;-&quot;??\ _₫_-;_-@_-"/>
    <numFmt numFmtId="254" formatCode="\t#\ ??/??"/>
    <numFmt numFmtId="255" formatCode="_-* #,##0.00\ _$_-;\-* #,##0.00\ _$_-;_-* &quot;-&quot;??\ _$_-;_-@_-"/>
    <numFmt numFmtId="256" formatCode="&quot;True&quot;;&quot;True&quot;;&quot;False&quot;"/>
    <numFmt numFmtId="257" formatCode="_(* #,##0.0_);_(* \(#,##0.0\);_(* &quot;-&quot;?_);_(@_)"/>
    <numFmt numFmtId="258" formatCode="#,##0.0_);\(#,##0.0\)"/>
    <numFmt numFmtId="259" formatCode="&quot;\&quot;#&quot;,&quot;##0&quot;.&quot;00;[Red]&quot;\&quot;\-#&quot;,&quot;##0&quot;.&quot;00"/>
    <numFmt numFmtId="260" formatCode="#,###\ &quot;CT&quot;"/>
    <numFmt numFmtId="261" formatCode="#\ ###\ ###"/>
    <numFmt numFmtId="262" formatCode="_._.* \(#,##0\)_%;_._.* #,##0_)_%;_._.* 0_)_%;_._.@_)_%"/>
    <numFmt numFmtId="263" formatCode="_._.&quot;€&quot;* \(#,##0\)_%;_._.&quot;€&quot;* #,##0_)_%;_._.&quot;€&quot;* 0_)_%;_._.@_)_%"/>
    <numFmt numFmtId="264" formatCode="* \(#,##0\);* #,##0_);&quot;-&quot;??_);@"/>
    <numFmt numFmtId="265" formatCode="_ &quot;R&quot;\ * #,##0_ ;_ &quot;R&quot;\ * \-#,##0_ ;_ &quot;R&quot;\ * &quot;-&quot;_ ;_ @_ "/>
    <numFmt numFmtId="266" formatCode="_ * #,##0.00_ ;_ * &quot;\&quot;&quot;\&quot;&quot;\&quot;&quot;\&quot;&quot;\&quot;&quot;\&quot;\-#,##0.00_ ;_ * &quot;-&quot;??_ ;_ @_ "/>
    <numFmt numFmtId="267" formatCode="&quot;€&quot;* #,##0_)_%;&quot;€&quot;* \(#,##0\)_%;&quot;€&quot;* &quot;-&quot;??_)_%;@_)_%"/>
    <numFmt numFmtId="268" formatCode="&quot;$&quot;* #,##0_)_%;&quot;$&quot;* \(#,##0\)_%;&quot;$&quot;* &quot;-&quot;??_)_%;@_)_%"/>
    <numFmt numFmtId="269" formatCode="&quot;\&quot;#,##0.00;&quot;\&quot;&quot;\&quot;&quot;\&quot;&quot;\&quot;&quot;\&quot;&quot;\&quot;&quot;\&quot;&quot;\&quot;\-#,##0.00"/>
    <numFmt numFmtId="270" formatCode="_._.&quot;€&quot;* #,##0.0_)_%;_._.&quot;€&quot;* \(#,##0.0\)_%"/>
    <numFmt numFmtId="271" formatCode="&quot;€&quot;* #,##0.0_)_%;&quot;€&quot;* \(#,##0.0\)_%;&quot;€&quot;* \ .0_)_%"/>
    <numFmt numFmtId="272" formatCode="_._.&quot;$&quot;* #,##0.0_)_%;_._.&quot;$&quot;* \(#,##0.0\)_%"/>
    <numFmt numFmtId="273" formatCode="_._.&quot;€&quot;* #,##0.00_)_%;_._.&quot;€&quot;* \(#,##0.00\)_%"/>
    <numFmt numFmtId="274" formatCode="&quot;€&quot;* #,##0.00_)_%;&quot;€&quot;* \(#,##0.00\)_%;&quot;€&quot;* \ .00_)_%"/>
    <numFmt numFmtId="275" formatCode="_._.&quot;$&quot;* #,##0.00_)_%;_._.&quot;$&quot;* \(#,##0.00\)_%"/>
    <numFmt numFmtId="276" formatCode="_._.&quot;€&quot;* #,##0.000_)_%;_._.&quot;€&quot;* \(#,##0.000\)_%"/>
    <numFmt numFmtId="277" formatCode="&quot;€&quot;* #,##0.000_)_%;&quot;€&quot;* \(#,##0.000\)_%;&quot;€&quot;* \ .000_)_%"/>
    <numFmt numFmtId="278" formatCode="_._.&quot;$&quot;* #,##0.000_)_%;_._.&quot;$&quot;* \(#,##0.000\)_%"/>
    <numFmt numFmtId="279" formatCode="_-* #,##0.00\ &quot;€&quot;_-;\-* #,##0.00\ &quot;€&quot;_-;_-* &quot;-&quot;??\ &quot;€&quot;_-;_-@_-"/>
    <numFmt numFmtId="280" formatCode="_ * #,##0_ ;_ * &quot;\&quot;&quot;\&quot;&quot;\&quot;&quot;\&quot;&quot;\&quot;&quot;\&quot;\-#,##0_ ;_ * &quot;-&quot;_ ;_ @_ "/>
    <numFmt numFmtId="281" formatCode="&quot;$&quot;#,##0\ ;\(&quot;$&quot;#,##0\)"/>
    <numFmt numFmtId="282" formatCode="#\ ###\ ##0.0"/>
    <numFmt numFmtId="283" formatCode="\t0.00%"/>
    <numFmt numFmtId="284" formatCode="* #,##0_);* \(#,##0\);&quot;-&quot;??_);@"/>
    <numFmt numFmtId="285" formatCode="\U\S\$#,##0.00;\(\U\S\$#,##0.00\)"/>
    <numFmt numFmtId="286" formatCode="_(\§\g\ #,##0_);_(\§\g\ \(#,##0\);_(\§\g\ &quot;-&quot;??_);_(@_)"/>
    <numFmt numFmtId="287" formatCode="_(\§\g\ #,##0_);_(\§\g\ \(#,##0\);_(\§\g\ &quot;-&quot;_);_(@_)"/>
    <numFmt numFmtId="288" formatCode="#\ ###\ ###\ .00"/>
    <numFmt numFmtId="289" formatCode="\§\g#,##0_);\(\§\g#,##0\)"/>
    <numFmt numFmtId="290" formatCode="_-&quot;VND&quot;* #,##0_-;\-&quot;VND&quot;* #,##0_-;_-&quot;VND&quot;* &quot;-&quot;_-;_-@_-"/>
    <numFmt numFmtId="291" formatCode="_(&quot;Rp&quot;* #,##0.00_);_(&quot;Rp&quot;* \(#,##0.00\);_(&quot;Rp&quot;* &quot;-&quot;??_);_(@_)"/>
    <numFmt numFmtId="292" formatCode="#,##0.00\ &quot;FB&quot;;[Red]\-#,##0.00\ &quot;FB&quot;"/>
    <numFmt numFmtId="293" formatCode="#,##0\ &quot;$&quot;;\-#,##0\ &quot;$&quot;"/>
    <numFmt numFmtId="294" formatCode="&quot;$&quot;#,##0;\-&quot;$&quot;#,##0"/>
    <numFmt numFmtId="295" formatCode="_-* #,##0\ _F_B_-;\-* #,##0\ _F_B_-;_-* &quot;-&quot;\ _F_B_-;_-@_-"/>
    <numFmt numFmtId="296" formatCode="_-[$€]* #,##0.00_-;\-[$€]* #,##0.00_-;_-[$€]* &quot;-&quot;??_-;_-@_-"/>
    <numFmt numFmtId="297" formatCode="_ * #,##0.00_)_d_ ;_ * \(#,##0.00\)_d_ ;_ * &quot;-&quot;??_)_d_ ;_ @_ "/>
    <numFmt numFmtId="298" formatCode="#,##0_);\-#,##0_)"/>
    <numFmt numFmtId="299" formatCode="#,###;\-#,###;&quot;&quot;;_(@_)"/>
    <numFmt numFmtId="300" formatCode="#."/>
    <numFmt numFmtId="301" formatCode="&quot;€&quot;#,##0;\-&quot;€&quot;#,##0"/>
    <numFmt numFmtId="302" formatCode="#,###"/>
    <numFmt numFmtId="303" formatCode="_-&quot;£&quot;* #,##0_-;\-&quot;£&quot;* #,##0_-;_-&quot;£&quot;* &quot;-&quot;_-;_-@_-"/>
    <numFmt numFmtId="304" formatCode="&quot;$&quot;###,0&quot;.&quot;00_);[Red]\(&quot;$&quot;###,0&quot;.&quot;00\)"/>
    <numFmt numFmtId="305" formatCode="&quot;\&quot;#,##0;[Red]\-&quot;\&quot;#,##0"/>
    <numFmt numFmtId="306" formatCode="&quot;\&quot;#,##0.00;\-&quot;\&quot;#,##0.00"/>
    <numFmt numFmtId="307" formatCode="#,##0.00_);\-#,##0.00_)"/>
    <numFmt numFmtId="308" formatCode="0_)%;\(0\)%"/>
    <numFmt numFmtId="309" formatCode="_._._(* 0_)%;_._.* \(0\)%"/>
    <numFmt numFmtId="310" formatCode="_(0_)%;\(0\)%"/>
    <numFmt numFmtId="311" formatCode="0%_);\(0%\)"/>
    <numFmt numFmtId="312" formatCode="_ * #,##0.00_)&quot;£&quot;_ ;_ * \(#,##0.00\)&quot;£&quot;_ ;_ * &quot;-&quot;??_)&quot;£&quot;_ ;_ @_ "/>
    <numFmt numFmtId="313" formatCode="#,##0.000_);\(#,##0.000\)"/>
    <numFmt numFmtId="314" formatCode="_ &quot;\&quot;* #,##0_ ;_ &quot;\&quot;* &quot;\&quot;&quot;\&quot;&quot;\&quot;&quot;\&quot;&quot;\&quot;&quot;\&quot;&quot;\&quot;&quot;\&quot;&quot;\&quot;&quot;\&quot;&quot;\&quot;&quot;\&quot;&quot;\&quot;&quot;\&quot;\-#,##0_ ;_ &quot;\&quot;* &quot;-&quot;_ ;_ @_ "/>
    <numFmt numFmtId="315" formatCode="_(0.0_)%;\(0.0\)%"/>
    <numFmt numFmtId="316" formatCode="_._._(* 0.0_)%;_._.* \(0.0\)%"/>
    <numFmt numFmtId="317" formatCode="_(0.00_)%;\(0.00\)%"/>
    <numFmt numFmtId="318" formatCode="_._._(* 0.00_)%;_._.* \(0.00\)%"/>
    <numFmt numFmtId="319" formatCode="_(0.000_)%;\(0.000\)%"/>
    <numFmt numFmtId="320" formatCode="_._._(* 0.000_)%;_._.* \(0.000\)%"/>
    <numFmt numFmtId="321" formatCode="0.0%;\(0.0%\)"/>
    <numFmt numFmtId="322" formatCode="#"/>
    <numFmt numFmtId="323" formatCode="&quot;¡Ì&quot;#,##0;[Red]\-&quot;¡Ì&quot;#,##0"/>
    <numFmt numFmtId="324" formatCode="#,##0.00\ &quot;F&quot;;[Red]\-#,##0.00\ &quot;F&quot;"/>
    <numFmt numFmtId="325" formatCode="&quot;£&quot;#,##0;[Red]\-&quot;£&quot;#,##0"/>
    <numFmt numFmtId="326" formatCode="#,##0.00\ \ "/>
    <numFmt numFmtId="327" formatCode="_-* #,##0.0\ _F_-;\-* #,##0.0\ _F_-;_-* &quot;-&quot;??\ _F_-;_-@_-"/>
    <numFmt numFmtId="328" formatCode="0.00000000000E+00;\?"/>
    <numFmt numFmtId="329" formatCode="_-* ###,0&quot;.&quot;00\ _F_B_-;\-* ###,0&quot;.&quot;00\ _F_B_-;_-* &quot;-&quot;??\ _F_B_-;_-@_-"/>
    <numFmt numFmtId="330" formatCode="_ * #,##0_ ;_ * \-#,##0_ ;_ * &quot;-&quot;??_ ;_ @_ "/>
    <numFmt numFmtId="331" formatCode="_-&quot;£&quot;* #,##0.00_-;\-&quot;£&quot;* #,##0.00_-;_-&quot;£&quot;* &quot;-&quot;??_-;_-@_-"/>
    <numFmt numFmtId="332" formatCode="0.00000"/>
    <numFmt numFmtId="333" formatCode="0.00000000"/>
    <numFmt numFmtId="334" formatCode="_(* #.##0.00_);_(* \(#.##0.00\);_(* &quot;-&quot;??_);_(@_)"/>
    <numFmt numFmtId="335" formatCode="#,##0.00\ \ \ \ "/>
    <numFmt numFmtId="336" formatCode="&quot;£&quot;#,##0;\-&quot;£&quot;#,##0"/>
    <numFmt numFmtId="337" formatCode="&quot;\&quot;#,##0;&quot;\&quot;\-#,##0"/>
    <numFmt numFmtId="338" formatCode="&quot;$&quot;#,##0;[Red]\-&quot;$&quot;#,##0"/>
    <numFmt numFmtId="339" formatCode="#,##0\ &quot;F&quot;;[Red]\-#,##0\ &quot;F&quot;"/>
    <numFmt numFmtId="340" formatCode="#,##0.00\ &quot;F&quot;;\-#,##0.00\ &quot;F&quot;"/>
    <numFmt numFmtId="341" formatCode="_ * #.##._ ;_ * \-#.##._ ;_ * &quot;-&quot;??_ ;_ @_ⴆ"/>
    <numFmt numFmtId="342" formatCode="#,##0\ &quot;F&quot;;\-#,##0\ &quot;F&quot;"/>
    <numFmt numFmtId="343" formatCode="&quot;\&quot;#,##0.00;[Red]&quot;\&quot;&quot;\&quot;&quot;\&quot;&quot;\&quot;&quot;\&quot;&quot;\&quot;&quot;\&quot;&quot;\&quot;&quot;\&quot;&quot;\&quot;&quot;\&quot;&quot;\&quot;&quot;\&quot;&quot;\&quot;\-#,##0.00"/>
    <numFmt numFmtId="344" formatCode="_ &quot;\&quot;* #,##0_ ;_ &quot;\&quot;* &quot;\&quot;&quot;\&quot;&quot;\&quot;&quot;\&quot;&quot;\&quot;&quot;\&quot;&quot;\&quot;&quot;\&quot;&quot;\&quot;&quot;\&quot;&quot;\&quot;&quot;\&quot;&quot;\&quot;\-#,##0_ ;_ &quot;\&quot;* &quot;-&quot;_ ;_ @_ "/>
    <numFmt numFmtId="345" formatCode="_-* #,##0\ _F_-;\-* #,##0\ _F_-;_-* &quot;-&quot;??\ _F_-;_-@_-"/>
    <numFmt numFmtId="346" formatCode="#.00\ ##0"/>
    <numFmt numFmtId="347" formatCode="#.\ ##0"/>
    <numFmt numFmtId="348" formatCode="&quot;€&quot;#,##0;[Red]\-&quot;€&quot;#,##0"/>
    <numFmt numFmtId="349" formatCode="_-* #,##0\ &quot;DM&quot;_-;\-* #,##0\ &quot;DM&quot;_-;_-* &quot;-&quot;\ &quot;DM&quot;_-;_-@_-"/>
    <numFmt numFmtId="350" formatCode="_-* #,##0.00\ &quot;DM&quot;_-;\-* #,##0.00\ &quot;DM&quot;_-;_-* &quot;-&quot;??\ &quot;DM&quot;_-;_-@_-"/>
    <numFmt numFmtId="351" formatCode="#,##0.000"/>
    <numFmt numFmtId="352" formatCode="&quot;\&quot;#,##0;[Red]&quot;\&quot;&quot;\&quot;\-#,##0"/>
    <numFmt numFmtId="353" formatCode="&quot;\&quot;#,##0.00;[Red]&quot;\&quot;&quot;\&quot;&quot;\&quot;&quot;\&quot;&quot;\&quot;&quot;\&quot;\-#,##0.00"/>
    <numFmt numFmtId="354" formatCode="_ &quot;$&quot;* #,##0_ ;_ &quot;$&quot;* \-#,##0_ ;_ &quot;$&quot;* &quot;-&quot;_ ;_ @_ "/>
    <numFmt numFmtId="355" formatCode="###0"/>
    <numFmt numFmtId="356" formatCode="#,##0&quot;$&quot;_);[Red]\(#,##0&quot;$&quot;\)"/>
    <numFmt numFmtId="357" formatCode="&quot;$&quot;#&quot;$&quot;##0_);\(&quot;$&quot;#&quot;$&quot;##0\)"/>
    <numFmt numFmtId="358" formatCode="&quot;$&quot;#,##0.000_);[Red]\(&quot;$&quot;#,##0.00\)"/>
    <numFmt numFmtId="359" formatCode="_ * #,##0_ ;_ * &quot;\&quot;&quot;\&quot;&quot;\&quot;&quot;\&quot;&quot;\&quot;&quot;\&quot;&quot;\&quot;\-#,##0_ ;_ * &quot;-&quot;_ ;_ @_ "/>
    <numFmt numFmtId="360" formatCode="_-&quot;F&quot;\ * #,##0.0_-;_-&quot;F&quot;\ * #,##0.0\-;_-&quot;F&quot;\ * &quot;-&quot;??_-;_-@_-"/>
    <numFmt numFmtId="361" formatCode="_(* #,##0.000000_);_(* \(#,##0.000000\);_(* &quot;-&quot;??_);_(@_)"/>
    <numFmt numFmtId="362" formatCode="_(* #,##0.000_);_(* \(#,##0.000\);_(* &quot;-&quot;??_);_(@_)"/>
    <numFmt numFmtId="363" formatCode="_(* #,##0.0000_);_(* \(#,##0.0000\);_(* &quot;-&quot;??_);_(@_)"/>
    <numFmt numFmtId="364" formatCode="_(* #,##0.0000000_);_(* \(#,##0.0000000\);_(* &quot;-&quot;??_);_(@_)"/>
    <numFmt numFmtId="365" formatCode="_(* #,##0.00000000_);_(* \(#,##0.00000000\);_(* &quot;-&quot;??_);_(@_)"/>
  </numFmts>
  <fonts count="294">
    <font>
      <sz val="11"/>
      <color theme="1"/>
      <name val="times new roman"/>
      <family val="2"/>
      <charset val="163"/>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rgb="FF000000"/>
      <name val="Times New Roman"/>
      <family val="1"/>
    </font>
    <font>
      <i/>
      <sz val="12"/>
      <color rgb="FF000000"/>
      <name val="Times New Roman"/>
      <family val="1"/>
    </font>
    <font>
      <sz val="12"/>
      <color rgb="FF000000"/>
      <name val="Times New Roman"/>
      <family val="1"/>
    </font>
    <font>
      <sz val="10"/>
      <color theme="1"/>
      <name val="Times New Roman"/>
      <family val="1"/>
    </font>
    <font>
      <sz val="11"/>
      <color theme="1"/>
      <name val="Calibri"/>
      <family val="2"/>
      <charset val="163"/>
      <scheme val="minor"/>
    </font>
    <font>
      <b/>
      <sz val="12"/>
      <name val="Times New Roman"/>
      <family val="1"/>
    </font>
    <font>
      <sz val="12"/>
      <name val="Times New Roman"/>
      <family val="1"/>
    </font>
    <font>
      <b/>
      <sz val="11"/>
      <name val="Times New Roman"/>
      <family val="1"/>
    </font>
    <font>
      <sz val="11"/>
      <name val="Times New Roman"/>
      <family val="1"/>
    </font>
    <font>
      <sz val="13"/>
      <name val="Times New Roman"/>
      <family val="1"/>
    </font>
    <font>
      <sz val="11"/>
      <color theme="1"/>
      <name val="times new roman"/>
      <family val="2"/>
      <charset val="163"/>
    </font>
    <font>
      <sz val="10"/>
      <name val="Arial"/>
      <family val="2"/>
    </font>
    <font>
      <sz val="12"/>
      <color theme="1"/>
      <name val="Times New Roman"/>
      <family val="1"/>
    </font>
    <font>
      <sz val="10"/>
      <name val=".VnTime"/>
      <family val="2"/>
    </font>
    <font>
      <sz val="10"/>
      <name val="Times New Roman"/>
      <family val="1"/>
    </font>
    <font>
      <sz val="11"/>
      <color indexed="8"/>
      <name val="Calibri"/>
      <family val="2"/>
    </font>
    <font>
      <sz val="11"/>
      <color theme="1"/>
      <name val="Arial"/>
      <family val="2"/>
    </font>
    <font>
      <sz val="14"/>
      <name val="Times New Roman"/>
      <family val="1"/>
    </font>
    <font>
      <sz val="12"/>
      <name val="¹UAAA¼"/>
      <family val="3"/>
      <charset val="129"/>
    </font>
    <font>
      <sz val="11"/>
      <name val="UVnTime"/>
    </font>
    <font>
      <sz val="9"/>
      <name val="Arial"/>
      <family val="2"/>
    </font>
    <font>
      <sz val="12"/>
      <name val=".VnTime"/>
      <family val="2"/>
    </font>
    <font>
      <b/>
      <sz val="12"/>
      <name val="Arial"/>
      <family val="2"/>
    </font>
    <font>
      <sz val="12"/>
      <name val="Arial"/>
      <family val="2"/>
    </font>
    <font>
      <sz val="10"/>
      <name val="VNtimes new roman"/>
      <family val="2"/>
    </font>
    <font>
      <sz val="11"/>
      <name val=".VnArial"/>
      <family val="2"/>
    </font>
    <font>
      <sz val="10"/>
      <name val="Helv"/>
    </font>
    <font>
      <sz val="10"/>
      <name val=" "/>
      <family val="1"/>
      <charset val="136"/>
    </font>
    <font>
      <sz val="14"/>
      <name val="뼻뮝"/>
      <family val="3"/>
    </font>
    <font>
      <sz val="12"/>
      <name val="뼻뮝"/>
      <family val="3"/>
    </font>
    <font>
      <sz val="12"/>
      <name val="Courier"/>
      <family val="3"/>
    </font>
    <font>
      <sz val="12"/>
      <name val="VNI-Times"/>
    </font>
    <font>
      <sz val="10"/>
      <color indexed="8"/>
      <name val="MS Sans Serif"/>
      <family val="2"/>
    </font>
    <font>
      <sz val="12"/>
      <name val="돋움체"/>
      <family val="3"/>
      <charset val="129"/>
    </font>
    <font>
      <sz val="12"/>
      <name val="VNtimes new roman"/>
      <family val="2"/>
    </font>
    <font>
      <sz val="10"/>
      <name val="Helv"/>
      <family val="2"/>
    </font>
    <font>
      <sz val="11"/>
      <name val="??"/>
      <family val="3"/>
    </font>
    <font>
      <sz val="12"/>
      <name val=".VnArial"/>
      <family val="2"/>
    </font>
    <font>
      <sz val="10"/>
      <name val="??"/>
      <family val="3"/>
      <charset val="129"/>
    </font>
    <font>
      <sz val="12"/>
      <name val="????"/>
      <family val="1"/>
      <charset val="136"/>
    </font>
    <font>
      <sz val="10"/>
      <name val="AngsanaUPC"/>
      <family val="1"/>
    </font>
    <font>
      <sz val="10"/>
      <name val="Arial"/>
      <family val="2"/>
      <charset val="1"/>
    </font>
    <font>
      <sz val="12"/>
      <name val="|??¢¥¢¬¨Ï"/>
      <family val="1"/>
      <charset val="129"/>
    </font>
    <font>
      <sz val="10"/>
      <name val="VNI-Times"/>
    </font>
    <font>
      <sz val="10"/>
      <color indexed="8"/>
      <name val="Arial"/>
      <family val="2"/>
    </font>
    <font>
      <sz val="10"/>
      <color indexed="8"/>
      <name val="Arial"/>
      <family val="2"/>
      <charset val="163"/>
    </font>
    <font>
      <sz val="10"/>
      <name val="MS Sans Serif"/>
      <family val="2"/>
    </font>
    <font>
      <sz val="12"/>
      <name val="VNI-Helve"/>
    </font>
    <font>
      <sz val="12"/>
      <name val="???"/>
    </font>
    <font>
      <sz val="11"/>
      <name val="‚l‚r ‚oƒSƒVƒbƒN"/>
      <family val="3"/>
      <charset val="128"/>
    </font>
    <font>
      <sz val="11"/>
      <name val="–¾’©"/>
      <family val="1"/>
      <charset val="128"/>
    </font>
    <font>
      <sz val="14"/>
      <name val="VNTime"/>
    </font>
    <font>
      <sz val="10"/>
      <name val=".VnArial"/>
      <family val="2"/>
    </font>
    <font>
      <sz val="10"/>
      <name val=".VnArial NarrowH"/>
      <family val="2"/>
    </font>
    <font>
      <b/>
      <u/>
      <sz val="14"/>
      <color indexed="8"/>
      <name val=".VnBook-AntiquaH"/>
      <family val="2"/>
    </font>
    <font>
      <sz val="11"/>
      <name val=".VnTime"/>
      <family val="2"/>
    </font>
    <font>
      <b/>
      <sz val="10"/>
      <name val=".VnTimeH"/>
      <family val="2"/>
    </font>
    <font>
      <b/>
      <u/>
      <sz val="10"/>
      <name val="VNI-Times"/>
    </font>
    <font>
      <b/>
      <sz val="10"/>
      <name val=".VnArial"/>
      <family val="2"/>
    </font>
    <font>
      <sz val="10"/>
      <name val="VnTimes"/>
    </font>
    <font>
      <sz val="12"/>
      <color indexed="10"/>
      <name val=".VnArial Narrow"/>
      <family val="2"/>
    </font>
    <font>
      <sz val="12"/>
      <color indexed="8"/>
      <name val="¹ÙÅÁÃ¼"/>
      <family val="1"/>
      <charset val="129"/>
    </font>
    <font>
      <i/>
      <sz val="12"/>
      <color indexed="8"/>
      <name val=".VnBook-AntiquaH"/>
      <family val="2"/>
    </font>
    <font>
      <sz val="11"/>
      <color indexed="8"/>
      <name val="Calibri"/>
      <family val="2"/>
      <charset val="163"/>
    </font>
    <font>
      <b/>
      <sz val="12"/>
      <color indexed="8"/>
      <name val=".VnBook-Antiqua"/>
      <family val="2"/>
    </font>
    <font>
      <i/>
      <sz val="12"/>
      <color indexed="8"/>
      <name val=".VnBook-Antiqua"/>
      <family val="2"/>
    </font>
    <font>
      <sz val="14"/>
      <name val=".VnTimeH"/>
      <family val="2"/>
    </font>
    <font>
      <sz val="11"/>
      <color indexed="9"/>
      <name val="Calibri"/>
      <family val="2"/>
      <charset val="163"/>
    </font>
    <font>
      <sz val="11"/>
      <color indexed="9"/>
      <name val="Calibri"/>
      <family val="2"/>
    </font>
    <font>
      <sz val="14"/>
      <name val=".VnTime"/>
      <family val="2"/>
    </font>
    <font>
      <sz val="8"/>
      <name val="Times New Roman"/>
      <family val="1"/>
    </font>
    <font>
      <b/>
      <sz val="12"/>
      <color indexed="63"/>
      <name val="VNI-Times"/>
    </font>
    <font>
      <sz val="12"/>
      <name val="¹ÙÅÁÃ¼"/>
      <charset val="129"/>
    </font>
    <font>
      <sz val="11"/>
      <color indexed="20"/>
      <name val="Calibri"/>
      <family val="2"/>
      <charset val="163"/>
    </font>
    <font>
      <sz val="12"/>
      <name val="Tms Rmn"/>
    </font>
    <font>
      <sz val="13"/>
      <name val=".VnTime"/>
      <family val="2"/>
    </font>
    <font>
      <sz val="11"/>
      <name val="µ¸¿ò"/>
      <charset val="129"/>
    </font>
    <font>
      <sz val="12"/>
      <name val="¹ÙÅÁÃ¼"/>
      <family val="1"/>
      <charset val="129"/>
    </font>
    <font>
      <sz val="9"/>
      <name val="Times New Roman"/>
      <family val="1"/>
    </font>
    <font>
      <b/>
      <sz val="11"/>
      <color indexed="52"/>
      <name val="Calibri"/>
      <family val="2"/>
      <charset val="163"/>
    </font>
    <font>
      <b/>
      <sz val="10"/>
      <name val="Helv"/>
    </font>
    <font>
      <b/>
      <sz val="10"/>
      <name val="Helv"/>
      <family val="2"/>
    </font>
    <font>
      <b/>
      <sz val="11"/>
      <name val="Arial"/>
      <family val="2"/>
    </font>
    <font>
      <b/>
      <sz val="11"/>
      <color indexed="9"/>
      <name val="Calibri"/>
      <family val="2"/>
      <charset val="163"/>
    </font>
    <font>
      <sz val="11"/>
      <name val="VNbook-Antiqua"/>
      <family val="2"/>
    </font>
    <font>
      <sz val="10"/>
      <name val="VNI-Aptima"/>
    </font>
    <font>
      <b/>
      <sz val="8"/>
      <name val="Arial"/>
      <family val="2"/>
    </font>
    <font>
      <sz val="11"/>
      <name val="Tms Rmn"/>
    </font>
    <font>
      <sz val="12"/>
      <color theme="1"/>
      <name val="Calibri"/>
      <family val="2"/>
      <scheme val="minor"/>
    </font>
    <font>
      <u val="singleAccounting"/>
      <sz val="11"/>
      <name val="Times New Roman"/>
      <family val="1"/>
    </font>
    <font>
      <sz val="11"/>
      <color indexed="8"/>
      <name val="Times New Roman"/>
      <family val="2"/>
    </font>
    <font>
      <sz val="14"/>
      <color indexed="8"/>
      <name val="Times New Roman"/>
      <family val="2"/>
    </font>
    <font>
      <sz val="12"/>
      <color indexed="8"/>
      <name val="Times New Roman"/>
      <family val="2"/>
    </font>
    <font>
      <sz val="10"/>
      <color indexed="8"/>
      <name val="Times New Roman"/>
      <family val="2"/>
    </font>
    <font>
      <sz val="12"/>
      <name val="VNI-Aptima"/>
    </font>
    <font>
      <sz val="10"/>
      <name val="BERNHARD"/>
    </font>
    <font>
      <b/>
      <sz val="16"/>
      <name val="Times New Roman"/>
      <family val="1"/>
    </font>
    <font>
      <b/>
      <sz val="12"/>
      <name val="VNTime"/>
      <family val="2"/>
    </font>
    <font>
      <sz val="10"/>
      <name val="MS Serif"/>
      <family val="1"/>
    </font>
    <font>
      <sz val="11"/>
      <name val="VNtimes new roman"/>
      <family val="2"/>
    </font>
    <font>
      <sz val="11"/>
      <color indexed="12"/>
      <name val="Times New Roman"/>
      <family val="1"/>
    </font>
    <font>
      <sz val="12"/>
      <name val="???"/>
      <family val="3"/>
      <charset val="129"/>
    </font>
    <font>
      <b/>
      <sz val="11"/>
      <color indexed="63"/>
      <name val="Calibri"/>
      <family val="2"/>
    </font>
    <font>
      <sz val="11"/>
      <color indexed="62"/>
      <name val="Calibri"/>
      <family val="2"/>
    </font>
    <font>
      <b/>
      <sz val="12"/>
      <name val="VNTimeH"/>
      <family val="2"/>
    </font>
    <font>
      <b/>
      <sz val="15"/>
      <color indexed="56"/>
      <name val="Calibri"/>
      <family val="2"/>
    </font>
    <font>
      <b/>
      <sz val="13"/>
      <color indexed="56"/>
      <name val="Calibri"/>
      <family val="2"/>
    </font>
    <font>
      <b/>
      <sz val="11"/>
      <color indexed="56"/>
      <name val="Calibri"/>
      <family val="2"/>
    </font>
    <font>
      <sz val="1"/>
      <color indexed="8"/>
      <name val="Courier"/>
      <family val="1"/>
    </font>
    <font>
      <sz val="10"/>
      <name val="Arial CE"/>
      <charset val="238"/>
    </font>
    <font>
      <sz val="10"/>
      <name val="Arial CE"/>
    </font>
    <font>
      <b/>
      <sz val="1"/>
      <color indexed="8"/>
      <name val="Courier"/>
      <family val="1"/>
    </font>
    <font>
      <sz val="10"/>
      <color indexed="16"/>
      <name val="MS Serif"/>
      <family val="1"/>
    </font>
    <font>
      <sz val="10"/>
      <name val="VNI-Helve-Condense"/>
    </font>
    <font>
      <sz val="11"/>
      <color indexed="8"/>
      <name val="Calibri"/>
      <family val="2"/>
      <charset val="1"/>
    </font>
    <font>
      <i/>
      <sz val="11"/>
      <color indexed="23"/>
      <name val="Calibri"/>
      <family val="2"/>
      <charset val="163"/>
    </font>
    <font>
      <b/>
      <sz val="16"/>
      <name val="VNbritannic"/>
      <family val="2"/>
    </font>
    <font>
      <b/>
      <sz val="18"/>
      <color indexed="12"/>
      <name val="VNbritannic"/>
      <family val="2"/>
    </font>
    <font>
      <b/>
      <sz val="18"/>
      <name val="VNnew Century Cond"/>
      <family val="2"/>
    </font>
    <font>
      <b/>
      <sz val="20"/>
      <color indexed="12"/>
      <name val="VNnew Century Cond"/>
      <family val="2"/>
    </font>
    <font>
      <b/>
      <sz val="16"/>
      <name val="VNlucida sans"/>
      <family val="2"/>
    </font>
    <font>
      <b/>
      <sz val="14"/>
      <color indexed="14"/>
      <name val="VNottawa"/>
      <family val="2"/>
    </font>
    <font>
      <b/>
      <sz val="16"/>
      <name val="VNottawa"/>
      <family val="2"/>
    </font>
    <font>
      <sz val="8"/>
      <color indexed="8"/>
      <name val="Helvetica"/>
    </font>
    <font>
      <sz val="12"/>
      <name val="VNTime"/>
      <family val="2"/>
    </font>
    <font>
      <sz val="11"/>
      <color indexed="17"/>
      <name val="Calibri"/>
      <family val="2"/>
      <charset val="163"/>
    </font>
    <font>
      <sz val="8"/>
      <name val="Arial"/>
      <family val="2"/>
    </font>
    <font>
      <sz val="10"/>
      <name val=".VnArialH"/>
      <family val="2"/>
    </font>
    <font>
      <b/>
      <sz val="12"/>
      <name val=".VnBook-AntiquaH"/>
      <family val="2"/>
    </font>
    <font>
      <b/>
      <sz val="12"/>
      <color indexed="9"/>
      <name val="Tms Rmn"/>
    </font>
    <font>
      <b/>
      <sz val="12"/>
      <name val="Helv"/>
    </font>
    <font>
      <b/>
      <sz val="12"/>
      <name val="Helv"/>
      <family val="2"/>
    </font>
    <font>
      <b/>
      <sz val="10"/>
      <name val="Arial"/>
      <family val="2"/>
    </font>
    <font>
      <b/>
      <sz val="15"/>
      <color indexed="56"/>
      <name val="Calibri"/>
      <family val="2"/>
      <charset val="163"/>
    </font>
    <font>
      <b/>
      <sz val="13"/>
      <color indexed="56"/>
      <name val="Calibri"/>
      <family val="2"/>
      <charset val="163"/>
    </font>
    <font>
      <b/>
      <sz val="11"/>
      <color indexed="56"/>
      <name val="Calibri"/>
      <family val="2"/>
      <charset val="163"/>
    </font>
    <font>
      <b/>
      <sz val="8"/>
      <name val="MS Sans Serif"/>
      <family val="2"/>
    </font>
    <font>
      <b/>
      <sz val="10"/>
      <name val=".VnTime"/>
      <family val="2"/>
    </font>
    <font>
      <sz val="10"/>
      <name val="vnTimesRoman"/>
    </font>
    <font>
      <b/>
      <sz val="14"/>
      <name val=".VnTimeH"/>
      <family val="2"/>
    </font>
    <font>
      <sz val="12"/>
      <name val="±¼¸²Ã¼"/>
      <family val="3"/>
      <charset val="129"/>
    </font>
    <font>
      <sz val="11"/>
      <color indexed="62"/>
      <name val="Calibri"/>
      <family val="2"/>
      <charset val="163"/>
    </font>
    <font>
      <sz val="10"/>
      <name val="VNI-Helve"/>
    </font>
    <font>
      <u/>
      <sz val="10"/>
      <color indexed="12"/>
      <name val=".VnTime"/>
      <family val="2"/>
    </font>
    <font>
      <u/>
      <sz val="12"/>
      <color indexed="12"/>
      <name val=".VnTime"/>
      <family val="2"/>
    </font>
    <font>
      <u/>
      <sz val="12"/>
      <color indexed="12"/>
      <name val="Arial"/>
      <family val="2"/>
    </font>
    <font>
      <sz val="10"/>
      <name val="VNI-Avo"/>
    </font>
    <font>
      <b/>
      <sz val="11"/>
      <color indexed="9"/>
      <name val="Calibri"/>
      <family val="2"/>
    </font>
    <font>
      <b/>
      <sz val="14"/>
      <name val=".VnArialH"/>
      <family val="2"/>
    </font>
    <font>
      <sz val="11"/>
      <color indexed="52"/>
      <name val="Calibri"/>
      <family val="2"/>
      <charset val="163"/>
    </font>
    <font>
      <i/>
      <sz val="10"/>
      <name val=".VnTime"/>
      <family val="2"/>
    </font>
    <font>
      <sz val="8"/>
      <name val="VNarial"/>
      <family val="2"/>
    </font>
    <font>
      <b/>
      <sz val="11"/>
      <name val="Helv"/>
    </font>
    <font>
      <b/>
      <sz val="11"/>
      <name val="Helv"/>
      <family val="2"/>
    </font>
    <font>
      <sz val="10"/>
      <name val=".VnAvant"/>
      <family val="2"/>
    </font>
    <font>
      <sz val="10"/>
      <name val="Arial"/>
      <family val="2"/>
      <charset val="163"/>
    </font>
    <font>
      <sz val="11"/>
      <color indexed="60"/>
      <name val="Calibri"/>
      <family val="2"/>
      <charset val="163"/>
    </font>
    <font>
      <sz val="7"/>
      <name val="Small Fonts"/>
      <family val="2"/>
    </font>
    <font>
      <b/>
      <sz val="12"/>
      <name val="VN-NTime"/>
    </font>
    <font>
      <sz val="12"/>
      <name val="???"/>
      <family val="1"/>
      <charset val="129"/>
    </font>
    <font>
      <b/>
      <i/>
      <sz val="16"/>
      <name val="Helv"/>
      <family val="2"/>
    </font>
    <font>
      <b/>
      <i/>
      <sz val="16"/>
      <name val="Helv"/>
    </font>
    <font>
      <sz val="12"/>
      <name val="바탕체"/>
      <family val="1"/>
      <charset val="129"/>
    </font>
    <font>
      <sz val="11"/>
      <color indexed="8"/>
      <name val="Arial"/>
      <family val="2"/>
    </font>
    <font>
      <sz val="11"/>
      <color theme="1"/>
      <name val="Times New Roman"/>
      <family val="2"/>
    </font>
    <font>
      <sz val="12"/>
      <name val="Times New Roman"/>
      <family val="1"/>
      <charset val="163"/>
    </font>
    <font>
      <sz val="12"/>
      <name val="timesnewroman"/>
    </font>
    <font>
      <sz val="12"/>
      <color theme="1"/>
      <name val="Times New Roman"/>
      <family val="2"/>
      <charset val="163"/>
    </font>
    <font>
      <sz val="11"/>
      <color indexed="8"/>
      <name val="Helvetica Neue"/>
    </font>
    <font>
      <sz val="10"/>
      <name val="VNlucida sans"/>
      <family val="2"/>
    </font>
    <font>
      <sz val="11"/>
      <name val="VNI-Aptima"/>
    </font>
    <font>
      <sz val="11"/>
      <color indexed="52"/>
      <name val="Calibri"/>
      <family val="2"/>
    </font>
    <font>
      <b/>
      <sz val="11"/>
      <color indexed="63"/>
      <name val="Calibri"/>
      <family val="2"/>
      <charset val="163"/>
    </font>
    <font>
      <sz val="14"/>
      <name val=".VnArial Narrow"/>
      <family val="2"/>
    </font>
    <font>
      <sz val="12"/>
      <color indexed="8"/>
      <name val="Times New Roman"/>
      <family val="1"/>
    </font>
    <font>
      <sz val="12"/>
      <name val="Helv"/>
    </font>
    <font>
      <sz val="12"/>
      <name val="Helv"/>
      <family val="2"/>
    </font>
    <font>
      <b/>
      <sz val="10"/>
      <name val="MS Sans Serif"/>
      <family val="2"/>
    </font>
    <font>
      <sz val="8"/>
      <name val="Wingdings"/>
      <charset val="2"/>
    </font>
    <font>
      <sz val="8"/>
      <name val="Helv"/>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sz val="11"/>
      <name val="3C_Times_T"/>
    </font>
    <font>
      <sz val="8"/>
      <name val="MS Sans Serif"/>
      <family val="2"/>
    </font>
    <font>
      <b/>
      <sz val="10.5"/>
      <name val=".VnAvantH"/>
      <family val="2"/>
    </font>
    <font>
      <sz val="10"/>
      <name val="VNbook-Antiqua"/>
      <family val="2"/>
    </font>
    <font>
      <sz val="11"/>
      <color indexed="32"/>
      <name val="VNI-Times"/>
    </font>
    <font>
      <b/>
      <sz val="8"/>
      <color indexed="8"/>
      <name val="Helv"/>
    </font>
    <font>
      <sz val="10"/>
      <name val="Symbol"/>
      <family val="1"/>
      <charset val="2"/>
    </font>
    <font>
      <sz val="13"/>
      <name val=".VnArial"/>
      <family val="2"/>
    </font>
    <font>
      <b/>
      <sz val="10"/>
      <name val="VNI-Univer"/>
    </font>
    <font>
      <sz val="10"/>
      <name val=".VnBook-Antiqua"/>
      <family val="2"/>
    </font>
    <font>
      <sz val="12"/>
      <name val="VNTime"/>
    </font>
    <font>
      <b/>
      <sz val="12"/>
      <name val="VNI-Times"/>
    </font>
    <font>
      <sz val="11"/>
      <name val=".VnAvant"/>
      <family val="2"/>
    </font>
    <font>
      <b/>
      <sz val="13"/>
      <color indexed="8"/>
      <name val=".VnTimeH"/>
      <family val="2"/>
    </font>
    <font>
      <b/>
      <sz val="10"/>
      <color indexed="10"/>
      <name val="Arial"/>
      <family val="2"/>
    </font>
    <font>
      <b/>
      <u val="double"/>
      <sz val="12"/>
      <color indexed="12"/>
      <name val=".VnBahamasB"/>
      <family val="2"/>
    </font>
    <font>
      <b/>
      <sz val="18"/>
      <color indexed="56"/>
      <name val="Cambria"/>
      <family val="2"/>
    </font>
    <font>
      <b/>
      <i/>
      <u/>
      <sz val="12"/>
      <name val=".VnTimeH"/>
      <family val="2"/>
    </font>
    <font>
      <b/>
      <sz val="11"/>
      <color indexed="52"/>
      <name val="Calibri"/>
      <family val="2"/>
    </font>
    <font>
      <sz val="9.5"/>
      <name val=".VnBlackH"/>
      <family val="2"/>
    </font>
    <font>
      <b/>
      <sz val="10"/>
      <name val=".VnBahamasBH"/>
      <family val="2"/>
    </font>
    <font>
      <b/>
      <sz val="11"/>
      <name val=".VnArialH"/>
      <family val="2"/>
    </font>
    <font>
      <b/>
      <sz val="18"/>
      <color indexed="56"/>
      <name val="Cambria"/>
      <family val="2"/>
      <charset val="163"/>
    </font>
    <font>
      <b/>
      <sz val="11"/>
      <color indexed="8"/>
      <name val="Calibri"/>
      <family val="2"/>
    </font>
    <font>
      <b/>
      <sz val="11"/>
      <name val=".VnTimeH"/>
      <family val="2"/>
    </font>
    <font>
      <b/>
      <sz val="10"/>
      <name val=".VnArialH"/>
      <family val="2"/>
    </font>
    <font>
      <sz val="11"/>
      <color indexed="17"/>
      <name val="Calibri"/>
      <family val="2"/>
    </font>
    <font>
      <b/>
      <sz val="11"/>
      <color indexed="8"/>
      <name val="Calibri"/>
      <family val="2"/>
      <charset val="163"/>
    </font>
    <font>
      <sz val="11"/>
      <color indexed="60"/>
      <name val="Calibri"/>
      <family val="2"/>
    </font>
    <font>
      <sz val="10"/>
      <name val=".VnArial Narrow"/>
      <family val="2"/>
    </font>
    <font>
      <sz val="11"/>
      <name val="VNI-Times"/>
    </font>
    <font>
      <sz val="11"/>
      <color indexed="10"/>
      <name val="Calibri"/>
      <family val="2"/>
    </font>
    <font>
      <i/>
      <sz val="11"/>
      <color indexed="23"/>
      <name val="Calibri"/>
      <family val="2"/>
    </font>
    <font>
      <sz val="10"/>
      <name val="VNtimes new roman"/>
      <family val="1"/>
    </font>
    <font>
      <sz val="14"/>
      <name val="VnTime"/>
      <family val="2"/>
    </font>
    <font>
      <sz val="8"/>
      <name val=".VnTime"/>
      <family val="2"/>
    </font>
    <font>
      <b/>
      <sz val="8"/>
      <name val="VN Helvetica"/>
    </font>
    <font>
      <b/>
      <sz val="12"/>
      <name val=".VnTime"/>
      <family val="2"/>
    </font>
    <font>
      <b/>
      <sz val="10"/>
      <name val="VN AvantGBook"/>
    </font>
    <font>
      <b/>
      <sz val="10"/>
      <name val="VN Helvetica"/>
    </font>
    <font>
      <b/>
      <sz val="16"/>
      <name val=".VnTime"/>
      <family val="2"/>
    </font>
    <font>
      <sz val="10"/>
      <name val="VN Helvetica"/>
    </font>
    <font>
      <sz val="9"/>
      <name val=".VnTime"/>
      <family val="2"/>
    </font>
    <font>
      <sz val="11"/>
      <color indexed="10"/>
      <name val="Calibri"/>
      <family val="2"/>
      <charset val="163"/>
    </font>
    <font>
      <sz val="10"/>
      <name val="Geneva"/>
      <family val="2"/>
    </font>
    <font>
      <b/>
      <i/>
      <sz val="12"/>
      <name val=".VnTime"/>
      <family val="2"/>
    </font>
    <font>
      <sz val="11"/>
      <color indexed="20"/>
      <name val="Calibri"/>
      <family val="2"/>
    </font>
    <font>
      <sz val="14"/>
      <name val=".VnArial"/>
      <family val="2"/>
    </font>
    <font>
      <sz val="16"/>
      <name val="AngsanaUPC"/>
      <family val="3"/>
    </font>
    <font>
      <sz val="12"/>
      <color indexed="8"/>
      <name val="바탕체"/>
      <family val="3"/>
    </font>
    <font>
      <sz val="10"/>
      <name val="명조"/>
      <family val="3"/>
      <charset val="129"/>
    </font>
    <font>
      <sz val="10"/>
      <name val="돋움체"/>
      <family val="3"/>
      <charset val="129"/>
    </font>
    <font>
      <b/>
      <sz val="9"/>
      <name val="Times New Roman"/>
      <family val="1"/>
    </font>
    <font>
      <b/>
      <sz val="10"/>
      <name val="Times New Roman"/>
      <family val="1"/>
    </font>
    <font>
      <i/>
      <sz val="10"/>
      <name val="Times New Roman"/>
      <family val="1"/>
    </font>
    <font>
      <sz val="12"/>
      <color rgb="FFFF0000"/>
      <name val="Times New Roman"/>
      <family val="1"/>
    </font>
    <font>
      <sz val="14"/>
      <name val="뼻뮝"/>
      <family val="3"/>
      <charset val="129"/>
    </font>
    <font>
      <sz val="12"/>
      <name val="__"/>
      <family val="1"/>
      <charset val="129"/>
    </font>
    <font>
      <sz val="14"/>
      <name val="__"/>
      <family val="3"/>
      <charset val="129"/>
    </font>
    <font>
      <sz val="12"/>
      <name val="___"/>
      <family val="1"/>
      <charset val="129"/>
    </font>
    <font>
      <sz val="12"/>
      <name val="____"/>
      <charset val="136"/>
    </font>
    <font>
      <sz val="10"/>
      <name val="___"/>
      <family val="3"/>
      <charset val="129"/>
    </font>
    <font>
      <sz val="12"/>
      <name val="___"/>
      <family val="3"/>
    </font>
    <font>
      <sz val="12"/>
      <name val="???"/>
      <family val="3"/>
    </font>
    <font>
      <sz val="12"/>
      <name val="바탕체"/>
      <family val="3"/>
    </font>
    <font>
      <sz val="13"/>
      <color indexed="8"/>
      <name val="Times New Roman"/>
      <family val="2"/>
    </font>
    <font>
      <sz val="8"/>
      <name val="VNI-Helve-Condense"/>
    </font>
    <font>
      <b/>
      <sz val="18"/>
      <name val="Arial"/>
      <family val="2"/>
    </font>
    <font>
      <sz val="12"/>
      <name val="??"/>
      <family val="1"/>
      <charset val="129"/>
    </font>
    <font>
      <sz val="14"/>
      <color theme="1"/>
      <name val="Times New Roman"/>
      <family val="2"/>
    </font>
    <font>
      <sz val="13"/>
      <color theme="1"/>
      <name val="Times New Roman"/>
      <family val="2"/>
    </font>
    <font>
      <sz val="14"/>
      <name val="System"/>
      <family val="2"/>
    </font>
    <font>
      <u/>
      <sz val="10"/>
      <color indexed="12"/>
      <name val="Arial"/>
      <family val="2"/>
    </font>
    <font>
      <vertAlign val="superscript"/>
      <sz val="12"/>
      <name val="Times New Roman"/>
      <family val="1"/>
    </font>
    <font>
      <b/>
      <i/>
      <sz val="14"/>
      <color indexed="12"/>
      <name val="Times New Roman"/>
      <family val="1"/>
    </font>
    <font>
      <sz val="10"/>
      <name val="Arial"/>
      <family val="2"/>
    </font>
    <font>
      <i/>
      <sz val="11"/>
      <name val="Times New Roman"/>
      <family val="1"/>
    </font>
    <font>
      <sz val="11"/>
      <color theme="1"/>
      <name val="Times New Roman"/>
      <family val="1"/>
    </font>
    <font>
      <b/>
      <sz val="11"/>
      <color theme="1"/>
      <name val="Times New Roman"/>
      <family val="1"/>
    </font>
    <font>
      <sz val="11"/>
      <name val="Calibri"/>
      <family val="2"/>
      <charset val="163"/>
      <scheme val="minor"/>
    </font>
    <font>
      <b/>
      <sz val="11"/>
      <name val="Calibri"/>
      <family val="2"/>
      <charset val="163"/>
      <scheme val="minor"/>
    </font>
    <font>
      <b/>
      <sz val="13"/>
      <color theme="1"/>
      <name val="Times New Roman"/>
      <family val="1"/>
    </font>
    <font>
      <sz val="13"/>
      <color theme="1"/>
      <name val="Times New Roman"/>
      <family val="1"/>
    </font>
    <font>
      <b/>
      <sz val="13"/>
      <color rgb="FF000000"/>
      <name val="Times New Roman"/>
      <family val="1"/>
    </font>
    <font>
      <sz val="13"/>
      <color rgb="FF000000"/>
      <name val="Times New Roman"/>
      <family val="1"/>
    </font>
    <font>
      <i/>
      <sz val="13"/>
      <color theme="1"/>
      <name val="Times New Roman"/>
      <family val="1"/>
    </font>
    <font>
      <i/>
      <sz val="11"/>
      <color theme="1"/>
      <name val="times new roman"/>
      <family val="1"/>
    </font>
    <font>
      <i/>
      <sz val="12"/>
      <name val="Times New Roman"/>
      <family val="1"/>
    </font>
    <font>
      <i/>
      <sz val="11"/>
      <name val="Calibri"/>
      <family val="2"/>
      <charset val="163"/>
      <scheme val="minor"/>
    </font>
    <font>
      <b/>
      <i/>
      <sz val="12"/>
      <name val="Times New Roman"/>
      <family val="1"/>
    </font>
    <font>
      <b/>
      <u/>
      <sz val="12"/>
      <name val="Times New Roman"/>
      <family val="1"/>
    </font>
    <font>
      <u/>
      <sz val="12"/>
      <name val="Times New Roman"/>
      <family val="1"/>
    </font>
    <font>
      <sz val="12"/>
      <color theme="0"/>
      <name val="Times New Roman"/>
      <family val="1"/>
    </font>
    <font>
      <u/>
      <sz val="11"/>
      <name val="Calibri"/>
      <family val="2"/>
      <charset val="163"/>
      <scheme val="minor"/>
    </font>
    <font>
      <b/>
      <i/>
      <sz val="8"/>
      <name val="Times New Roman"/>
      <family val="1"/>
    </font>
    <font>
      <sz val="14"/>
      <color theme="1"/>
      <name val="Times New Roman"/>
      <family val="1"/>
    </font>
    <font>
      <b/>
      <sz val="13"/>
      <name val="Times New Roman"/>
      <family val="1"/>
    </font>
    <font>
      <sz val="11"/>
      <color rgb="FFFF0000"/>
      <name val="Times New Roman"/>
      <family val="1"/>
    </font>
    <font>
      <b/>
      <sz val="11"/>
      <name val="Calibri"/>
      <family val="2"/>
      <scheme val="minor"/>
    </font>
  </fonts>
  <fills count="54">
    <fill>
      <patternFill patternType="none"/>
    </fill>
    <fill>
      <patternFill patternType="gray125"/>
    </fill>
    <fill>
      <patternFill patternType="solid">
        <fgColor theme="0"/>
        <bgColor indexed="64"/>
      </patternFill>
    </fill>
    <fill>
      <patternFill patternType="solid">
        <fgColor indexed="13"/>
        <bgColor indexed="64"/>
      </patternFill>
    </fill>
    <fill>
      <patternFill patternType="solid">
        <fgColor indexed="22"/>
        <bgColor indexed="64"/>
      </patternFill>
    </fill>
    <fill>
      <patternFill patternType="solid">
        <fgColor indexed="22"/>
        <bgColor indexed="31"/>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bgColor indexed="9"/>
      </patternFill>
    </fill>
    <fill>
      <patternFill patternType="solid">
        <fgColor indexed="26"/>
      </patternFill>
    </fill>
    <fill>
      <patternFill patternType="solid">
        <fgColor indexed="9"/>
        <bgColor indexed="64"/>
      </patternFill>
    </fill>
    <fill>
      <patternFill patternType="solid">
        <fgColor indexed="65"/>
        <bgColor indexed="64"/>
      </patternFill>
    </fill>
    <fill>
      <patternFill patternType="solid">
        <fgColor indexed="27"/>
        <bgColor indexed="64"/>
      </patternFill>
    </fill>
    <fill>
      <patternFill patternType="solid">
        <fgColor indexed="40"/>
        <bgColor indexed="64"/>
      </patternFill>
    </fill>
    <fill>
      <patternFill patternType="solid">
        <fgColor indexed="26"/>
        <bgColor indexed="64"/>
      </patternFill>
    </fill>
    <fill>
      <patternFill patternType="solid">
        <fgColor indexed="43"/>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
      <patternFill patternType="solid">
        <fgColor indexed="15"/>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diagonal/>
    </border>
    <border>
      <left/>
      <right/>
      <top style="thin">
        <color indexed="64"/>
      </top>
      <bottom style="thin">
        <color indexed="64"/>
      </bottom>
      <diagonal/>
    </border>
    <border>
      <left/>
      <right/>
      <top style="medium">
        <color indexed="64"/>
      </top>
      <bottom style="medium">
        <color indexed="64"/>
      </bottom>
      <diagonal/>
    </border>
    <border>
      <left style="thin">
        <color indexed="64"/>
      </left>
      <right style="thin">
        <color indexed="64"/>
      </right>
      <top/>
      <bottom style="hair">
        <color indexed="64"/>
      </bottom>
      <diagonal/>
    </border>
    <border>
      <left style="thin">
        <color indexed="64"/>
      </left>
      <right style="thin">
        <color indexed="64"/>
      </right>
      <top style="double">
        <color indexed="64"/>
      </top>
      <bottom style="hair">
        <color indexed="64"/>
      </bottom>
      <diagonal/>
    </border>
    <border>
      <left/>
      <right/>
      <top/>
      <bottom style="hair">
        <color indexed="64"/>
      </bottom>
      <diagonal/>
    </border>
    <border>
      <left/>
      <right/>
      <top style="double">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4"/>
      </top>
      <bottom style="double">
        <color indexed="64"/>
      </bottom>
      <diagonal/>
    </border>
    <border>
      <left/>
      <right style="double">
        <color indexed="64"/>
      </right>
      <top/>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double">
        <color indexed="64"/>
      </top>
      <bottom style="double">
        <color indexed="64"/>
      </bottom>
      <diagonal/>
    </border>
    <border>
      <left style="thick">
        <color indexed="64"/>
      </left>
      <right/>
      <top style="thick">
        <color indexed="64"/>
      </top>
      <bottom/>
      <diagonal/>
    </border>
    <border>
      <left style="medium">
        <color indexed="10"/>
      </left>
      <right style="medium">
        <color indexed="10"/>
      </right>
      <top style="hair">
        <color indexed="10"/>
      </top>
      <bottom style="hair">
        <color indexed="10"/>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
      <left style="thin">
        <color indexed="64"/>
      </left>
      <right style="thin">
        <color indexed="64"/>
      </right>
      <top style="thin">
        <color indexed="8"/>
      </top>
      <bottom style="thin">
        <color indexed="64"/>
      </bottom>
      <diagonal/>
    </border>
    <border>
      <left style="double">
        <color indexed="64"/>
      </left>
      <right style="thin">
        <color indexed="64"/>
      </right>
      <top style="hair">
        <color indexed="64"/>
      </top>
      <bottom style="hair">
        <color indexed="64"/>
      </bottom>
      <diagonal/>
    </border>
    <border>
      <left/>
      <right/>
      <top/>
      <bottom style="double">
        <color indexed="52"/>
      </bottom>
      <diagonal/>
    </border>
    <border>
      <left/>
      <right/>
      <top style="medium">
        <color indexed="64"/>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style="thin">
        <color indexed="64"/>
      </left>
      <right style="medium">
        <color indexed="64"/>
      </right>
      <top style="medium">
        <color indexed="64"/>
      </top>
      <bottom style="thin">
        <color indexed="64"/>
      </bottom>
      <diagonal/>
    </border>
    <border>
      <left/>
      <right style="medium">
        <color indexed="8"/>
      </right>
      <top/>
      <bottom/>
      <diagonal/>
    </border>
    <border>
      <left/>
      <right style="medium">
        <color indexed="0"/>
      </right>
      <top/>
      <bottom/>
      <diagonal/>
    </border>
    <border>
      <left style="double">
        <color indexed="64"/>
      </left>
      <right style="thin">
        <color indexed="64"/>
      </right>
      <top style="double">
        <color indexed="64"/>
      </top>
      <bottom/>
      <diagonal/>
    </border>
    <border>
      <left/>
      <right/>
      <top style="thin">
        <color indexed="62"/>
      </top>
      <bottom style="double">
        <color indexed="62"/>
      </bottom>
      <diagonal/>
    </border>
    <border>
      <left style="double">
        <color indexed="64"/>
      </left>
      <right style="thin">
        <color indexed="64"/>
      </right>
      <top style="hair">
        <color indexed="64"/>
      </top>
      <bottom style="double">
        <color indexed="64"/>
      </bottom>
      <diagonal/>
    </border>
    <border>
      <left style="medium">
        <color indexed="9"/>
      </left>
      <right style="medium">
        <color indexed="9"/>
      </right>
      <top style="medium">
        <color indexed="9"/>
      </top>
      <bottom style="medium">
        <color indexed="9"/>
      </bottom>
      <diagonal/>
    </border>
    <border>
      <left style="hair">
        <color indexed="64"/>
      </left>
      <right/>
      <top/>
      <bottom/>
      <diagonal/>
    </border>
    <border>
      <left style="double">
        <color indexed="64"/>
      </left>
      <right style="double">
        <color indexed="64"/>
      </right>
      <top style="double">
        <color indexed="64"/>
      </top>
      <bottom style="double">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hair">
        <color indexed="13"/>
      </left>
      <right style="hair">
        <color indexed="13"/>
      </right>
      <top style="hair">
        <color indexed="13"/>
      </top>
      <bottom style="hair">
        <color indexed="13"/>
      </bottom>
      <diagonal/>
    </border>
    <border>
      <left style="thin">
        <color indexed="64"/>
      </left>
      <right style="thin">
        <color indexed="64"/>
      </right>
      <top style="medium">
        <color indexed="64"/>
      </top>
      <bottom/>
      <diagonal/>
    </border>
    <border>
      <left/>
      <right/>
      <top style="hair">
        <color indexed="64"/>
      </top>
      <bottom style="hair">
        <color indexed="64"/>
      </bottom>
      <diagonal/>
    </border>
  </borders>
  <cellStyleXfs count="5800">
    <xf numFmtId="0" fontId="0" fillId="0" borderId="0"/>
    <xf numFmtId="0" fontId="13" fillId="0" borderId="0"/>
    <xf numFmtId="0" fontId="8" fillId="0" borderId="0"/>
    <xf numFmtId="43" fontId="19" fillId="0" borderId="0" applyFont="0" applyFill="0" applyBorder="0" applyAlignment="0" applyProtection="0"/>
    <xf numFmtId="43" fontId="20" fillId="0" borderId="0" applyFont="0" applyFill="0" applyBorder="0" applyAlignment="0" applyProtection="0"/>
    <xf numFmtId="0" fontId="22" fillId="0" borderId="0"/>
    <xf numFmtId="172" fontId="24" fillId="0" borderId="0" applyFont="0" applyFill="0" applyBorder="0" applyAlignment="0" applyProtection="0"/>
    <xf numFmtId="43" fontId="22" fillId="0" borderId="0" applyFont="0" applyFill="0" applyBorder="0" applyAlignment="0" applyProtection="0"/>
    <xf numFmtId="0" fontId="25" fillId="0" borderId="0"/>
    <xf numFmtId="0" fontId="27" fillId="0" borderId="0" applyFont="0" applyFill="0" applyBorder="0" applyAlignment="0" applyProtection="0"/>
    <xf numFmtId="0" fontId="27" fillId="0" borderId="0" applyFont="0" applyFill="0" applyBorder="0" applyAlignment="0" applyProtection="0"/>
    <xf numFmtId="0" fontId="27" fillId="0" borderId="0"/>
    <xf numFmtId="0" fontId="27" fillId="0" borderId="0"/>
    <xf numFmtId="43" fontId="24" fillId="0" borderId="0" applyFont="0" applyFill="0" applyBorder="0" applyAlignment="0" applyProtection="0"/>
    <xf numFmtId="43" fontId="20" fillId="0" borderId="0" applyFont="0" applyFill="0" applyBorder="0" applyAlignment="0" applyProtection="0"/>
    <xf numFmtId="43" fontId="28" fillId="0" borderId="0" applyFont="0" applyFill="0" applyBorder="0" applyAlignment="0" applyProtection="0"/>
    <xf numFmtId="43" fontId="24" fillId="0" borderId="0" applyFont="0" applyFill="0" applyBorder="0" applyAlignment="0" applyProtection="0"/>
    <xf numFmtId="0" fontId="29" fillId="0" borderId="0" applyFont="0" applyFill="0" applyBorder="0" applyAlignment="0" applyProtection="0"/>
    <xf numFmtId="165" fontId="30" fillId="0" borderId="0" applyFont="0" applyFill="0" applyBorder="0" applyAlignment="0" applyProtection="0"/>
    <xf numFmtId="173" fontId="20" fillId="0" borderId="0" applyFont="0" applyFill="0" applyBorder="0" applyAlignment="0" applyProtection="0"/>
    <xf numFmtId="0" fontId="15" fillId="0" borderId="0" applyFont="0" applyFill="0" applyBorder="0" applyAlignment="0" applyProtection="0"/>
    <xf numFmtId="43" fontId="30" fillId="0" borderId="0" applyFont="0" applyFill="0" applyBorder="0" applyAlignment="0" applyProtection="0"/>
    <xf numFmtId="43" fontId="26" fillId="0" borderId="0" applyFont="0" applyFill="0" applyBorder="0" applyAlignment="0" applyProtection="0"/>
    <xf numFmtId="174" fontId="20" fillId="0" borderId="0" applyFont="0" applyFill="0" applyBorder="0" applyAlignment="0" applyProtection="0"/>
    <xf numFmtId="165" fontId="20" fillId="0" borderId="0" applyFont="0" applyFill="0" applyBorder="0" applyAlignment="0" applyProtection="0"/>
    <xf numFmtId="43" fontId="20" fillId="0" borderId="0" applyFont="0" applyFill="0" applyBorder="0" applyAlignment="0" applyProtection="0"/>
    <xf numFmtId="43" fontId="22" fillId="0" borderId="0" applyFont="0" applyFill="0" applyBorder="0" applyAlignment="0" applyProtection="0"/>
    <xf numFmtId="171" fontId="24" fillId="0" borderId="0" applyFont="0" applyFill="0" applyBorder="0" applyAlignment="0" applyProtection="0"/>
    <xf numFmtId="3" fontId="20" fillId="0" borderId="0" applyFont="0" applyFill="0" applyBorder="0" applyAlignment="0" applyProtection="0"/>
    <xf numFmtId="175" fontId="20" fillId="0" borderId="0" applyFont="0" applyFill="0" applyBorder="0" applyAlignment="0" applyProtection="0"/>
    <xf numFmtId="0" fontId="20" fillId="0" borderId="0" applyFont="0" applyFill="0" applyBorder="0" applyAlignment="0" applyProtection="0"/>
    <xf numFmtId="2" fontId="20" fillId="0" borderId="0" applyFont="0" applyFill="0" applyBorder="0" applyAlignment="0" applyProtection="0"/>
    <xf numFmtId="0" fontId="31" fillId="0" borderId="16" applyNumberFormat="0" applyAlignment="0" applyProtection="0">
      <alignment horizontal="left" vertical="center"/>
    </xf>
    <xf numFmtId="0" fontId="31" fillId="0" borderId="15">
      <alignment horizontal="left" vertical="center"/>
    </xf>
    <xf numFmtId="0" fontId="32" fillId="0" borderId="0" applyNumberFormat="0" applyFont="0" applyFill="0" applyAlignment="0"/>
    <xf numFmtId="176" fontId="33" fillId="0" borderId="0"/>
    <xf numFmtId="0" fontId="24" fillId="0" borderId="0"/>
    <xf numFmtId="0" fontId="7" fillId="0" borderId="0"/>
    <xf numFmtId="0" fontId="34" fillId="0" borderId="0"/>
    <xf numFmtId="0" fontId="24" fillId="0" borderId="0"/>
    <xf numFmtId="0" fontId="35" fillId="0" borderId="0"/>
    <xf numFmtId="0" fontId="20" fillId="0" borderId="0"/>
    <xf numFmtId="0" fontId="30" fillId="0" borderId="0"/>
    <xf numFmtId="0" fontId="26" fillId="0" borderId="0"/>
    <xf numFmtId="0" fontId="22" fillId="0" borderId="0" applyNumberFormat="0" applyFill="0" applyBorder="0" applyAlignment="0" applyProtection="0"/>
    <xf numFmtId="0" fontId="36" fillId="0" borderId="0" applyFont="0" applyFill="0" applyBorder="0" applyAlignment="0" applyProtection="0"/>
    <xf numFmtId="0" fontId="36" fillId="0" borderId="0" applyFont="0" applyFill="0" applyBorder="0" applyAlignment="0" applyProtection="0"/>
    <xf numFmtId="0" fontId="15" fillId="0" borderId="0">
      <alignment vertical="center"/>
    </xf>
    <xf numFmtId="40" fontId="37" fillId="0" borderId="0" applyFont="0" applyFill="0" applyBorder="0" applyAlignment="0" applyProtection="0"/>
    <xf numFmtId="38" fontId="37" fillId="0" borderId="0" applyFont="0" applyFill="0" applyBorder="0" applyAlignment="0" applyProtection="0"/>
    <xf numFmtId="0" fontId="37" fillId="0" borderId="0" applyFont="0" applyFill="0" applyBorder="0" applyAlignment="0" applyProtection="0"/>
    <xf numFmtId="0" fontId="37" fillId="0" borderId="0" applyFont="0" applyFill="0" applyBorder="0" applyAlignment="0" applyProtection="0"/>
    <xf numFmtId="0" fontId="38" fillId="0" borderId="0"/>
    <xf numFmtId="0" fontId="32" fillId="0" borderId="0"/>
    <xf numFmtId="179" fontId="29" fillId="0" borderId="0" applyFont="0" applyFill="0" applyBorder="0" applyAlignment="0" applyProtection="0"/>
    <xf numFmtId="180" fontId="29" fillId="0" borderId="0" applyFont="0" applyFill="0" applyBorder="0" applyAlignment="0" applyProtection="0"/>
    <xf numFmtId="181" fontId="29" fillId="0" borderId="0" applyFont="0" applyFill="0" applyBorder="0" applyAlignment="0" applyProtection="0"/>
    <xf numFmtId="6" fontId="39" fillId="0" borderId="0" applyFont="0" applyFill="0" applyBorder="0" applyAlignment="0" applyProtection="0"/>
    <xf numFmtId="182" fontId="29" fillId="0" borderId="0" applyFont="0" applyFill="0" applyBorder="0" applyAlignment="0" applyProtection="0"/>
    <xf numFmtId="0" fontId="20" fillId="0" borderId="0"/>
    <xf numFmtId="0" fontId="20" fillId="0" borderId="0"/>
    <xf numFmtId="0" fontId="23" fillId="0" borderId="0"/>
    <xf numFmtId="0" fontId="20" fillId="0" borderId="0"/>
    <xf numFmtId="173" fontId="20" fillId="0" borderId="0" applyFont="0" applyFill="0" applyBorder="0" applyAlignment="0" applyProtection="0"/>
    <xf numFmtId="184" fontId="40" fillId="0" borderId="0" applyFon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Protection="0"/>
    <xf numFmtId="0" fontId="41" fillId="0" borderId="0"/>
    <xf numFmtId="0" fontId="41" fillId="0" borderId="0"/>
    <xf numFmtId="0" fontId="41" fillId="0" borderId="0"/>
    <xf numFmtId="3" fontId="42" fillId="0" borderId="1"/>
    <xf numFmtId="3" fontId="42" fillId="0" borderId="1"/>
    <xf numFmtId="166" fontId="43" fillId="0" borderId="18" applyFont="0" applyBorder="0"/>
    <xf numFmtId="166" fontId="29" fillId="0" borderId="0" applyProtection="0"/>
    <xf numFmtId="166" fontId="43" fillId="0" borderId="18" applyFont="0" applyBorder="0"/>
    <xf numFmtId="0" fontId="22" fillId="0" borderId="0"/>
    <xf numFmtId="0" fontId="20"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177" fontId="45" fillId="0" borderId="0" applyFont="0" applyFill="0" applyBorder="0" applyAlignment="0" applyProtection="0"/>
    <xf numFmtId="177" fontId="45" fillId="0" borderId="0" applyFont="0" applyFill="0" applyBorder="0" applyAlignment="0" applyProtection="0"/>
    <xf numFmtId="178" fontId="45" fillId="0" borderId="0" applyFont="0" applyFill="0" applyBorder="0" applyAlignment="0" applyProtection="0"/>
    <xf numFmtId="178" fontId="45" fillId="0" borderId="0" applyFont="0" applyFill="0" applyBorder="0" applyAlignment="0" applyProtection="0"/>
    <xf numFmtId="178" fontId="45" fillId="0" borderId="0" applyFont="0" applyFill="0" applyBorder="0" applyAlignment="0" applyProtection="0"/>
    <xf numFmtId="178" fontId="45" fillId="0" borderId="0" applyFont="0" applyFill="0" applyBorder="0" applyAlignment="0" applyProtection="0"/>
    <xf numFmtId="178" fontId="45" fillId="0" borderId="0" applyFont="0" applyFill="0" applyBorder="0" applyAlignment="0" applyProtection="0"/>
    <xf numFmtId="178" fontId="45"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46" fillId="0" borderId="0" applyFont="0" applyFill="0" applyBorder="0" applyAlignment="0" applyProtection="0"/>
    <xf numFmtId="0" fontId="47" fillId="0" borderId="19"/>
    <xf numFmtId="185" fontId="22" fillId="0" borderId="0" applyFont="0" applyFill="0" applyBorder="0" applyAlignment="0" applyProtection="0"/>
    <xf numFmtId="179" fontId="48" fillId="0" borderId="0" applyFont="0" applyFill="0" applyBorder="0" applyAlignment="0" applyProtection="0"/>
    <xf numFmtId="180" fontId="48" fillId="0" borderId="0" applyFont="0" applyFill="0" applyBorder="0" applyAlignment="0" applyProtection="0"/>
    <xf numFmtId="6" fontId="39" fillId="0" borderId="0" applyFont="0" applyFill="0" applyBorder="0" applyAlignment="0" applyProtection="0"/>
    <xf numFmtId="0" fontId="49"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Protection="0"/>
    <xf numFmtId="0" fontId="50" fillId="0" borderId="0"/>
    <xf numFmtId="0" fontId="20" fillId="0" borderId="0" applyProtection="0"/>
    <xf numFmtId="0" fontId="51" fillId="0" borderId="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Protection="0"/>
    <xf numFmtId="0" fontId="31" fillId="0" borderId="0" applyNumberFormat="0" applyFill="0" applyBorder="0" applyProtection="0">
      <alignment vertical="center"/>
    </xf>
    <xf numFmtId="179" fontId="30" fillId="0" borderId="0" applyFont="0" applyFill="0" applyBorder="0" applyAlignment="0" applyProtection="0"/>
    <xf numFmtId="186" fontId="52" fillId="0" borderId="0" applyFont="0" applyFill="0" applyBorder="0" applyAlignment="0" applyProtection="0"/>
    <xf numFmtId="181" fontId="40" fillId="0" borderId="0" applyFont="0" applyFill="0" applyBorder="0" applyAlignment="0" applyProtection="0"/>
    <xf numFmtId="42"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87" fontId="30"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42" fontId="52" fillId="0" borderId="0" applyFont="0" applyFill="0" applyBorder="0" applyAlignment="0" applyProtection="0"/>
    <xf numFmtId="186" fontId="52" fillId="0" borderId="0" applyFont="0" applyFill="0" applyBorder="0" applyAlignment="0" applyProtection="0"/>
    <xf numFmtId="0" fontId="53" fillId="0" borderId="0">
      <alignment vertical="top"/>
    </xf>
    <xf numFmtId="0" fontId="53" fillId="0" borderId="0">
      <alignment vertical="top"/>
    </xf>
    <xf numFmtId="0" fontId="44" fillId="0" borderId="0"/>
    <xf numFmtId="42" fontId="52" fillId="0" borderId="0" applyFont="0" applyFill="0" applyBorder="0" applyAlignment="0" applyProtection="0"/>
    <xf numFmtId="0" fontId="53" fillId="0" borderId="0">
      <alignment vertical="top"/>
    </xf>
    <xf numFmtId="0" fontId="54" fillId="0" borderId="0">
      <alignment vertical="top"/>
    </xf>
    <xf numFmtId="0" fontId="54" fillId="0" borderId="0">
      <alignment vertical="top"/>
    </xf>
    <xf numFmtId="0" fontId="44" fillId="0" borderId="0"/>
    <xf numFmtId="0" fontId="22" fillId="0" borderId="0" applyNumberFormat="0" applyFill="0" applyBorder="0" applyAlignment="0" applyProtection="0"/>
    <xf numFmtId="188" fontId="40" fillId="0" borderId="0" applyFon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91"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0" fontId="44" fillId="0" borderId="0"/>
    <xf numFmtId="186" fontId="52" fillId="0" borderId="0" applyFont="0" applyFill="0" applyBorder="0" applyAlignment="0" applyProtection="0"/>
    <xf numFmtId="0" fontId="44"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42" fontId="52" fillId="0" borderId="0" applyFont="0" applyFill="0" applyBorder="0" applyAlignment="0" applyProtection="0"/>
    <xf numFmtId="42"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42" fontId="52" fillId="0" borderId="0" applyFont="0" applyFill="0" applyBorder="0" applyAlignment="0" applyProtection="0"/>
    <xf numFmtId="0" fontId="44"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0" fontId="44" fillId="0" borderId="0"/>
    <xf numFmtId="0" fontId="44" fillId="0" borderId="0"/>
    <xf numFmtId="191"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0" fontId="55" fillId="0" borderId="0" applyFont="0" applyFill="0" applyBorder="0" applyAlignment="0" applyProtection="0"/>
    <xf numFmtId="0" fontId="55"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0" fontId="44" fillId="0" borderId="0"/>
    <xf numFmtId="0" fontId="44" fillId="0" borderId="0"/>
    <xf numFmtId="186" fontId="52" fillId="0" borderId="0" applyFont="0" applyFill="0" applyBorder="0" applyAlignment="0" applyProtection="0"/>
    <xf numFmtId="0" fontId="44" fillId="0" borderId="0"/>
    <xf numFmtId="0" fontId="44" fillId="0" borderId="0"/>
    <xf numFmtId="0" fontId="44" fillId="0" borderId="0"/>
    <xf numFmtId="181" fontId="40" fillId="0" borderId="0" applyFon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92" fontId="40" fillId="0" borderId="0" applyFont="0" applyFill="0" applyBorder="0" applyAlignment="0" applyProtection="0"/>
    <xf numFmtId="184" fontId="40" fillId="0" borderId="0" applyFont="0" applyFill="0" applyBorder="0" applyAlignment="0" applyProtection="0"/>
    <xf numFmtId="180" fontId="40" fillId="0" borderId="0" applyFont="0" applyFill="0" applyBorder="0" applyAlignment="0" applyProtection="0"/>
    <xf numFmtId="180"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180" fontId="52" fillId="0" borderId="0" applyFont="0" applyFill="0" applyBorder="0" applyAlignment="0" applyProtection="0"/>
    <xf numFmtId="171"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6"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5" fontId="52" fillId="0" borderId="0" applyFont="0" applyFill="0" applyBorder="0" applyAlignment="0" applyProtection="0"/>
    <xf numFmtId="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6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8"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6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99" fontId="52" fillId="0" borderId="0" applyFont="0" applyFill="0" applyBorder="0" applyAlignment="0" applyProtection="0"/>
    <xf numFmtId="198" fontId="52" fillId="0" borderId="0" applyFont="0" applyFill="0" applyBorder="0" applyAlignment="0" applyProtection="0"/>
    <xf numFmtId="200"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79" fontId="40" fillId="0" borderId="0" applyFon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88" fontId="40" fillId="0" borderId="0" applyFont="0" applyFill="0" applyBorder="0" applyAlignment="0" applyProtection="0"/>
    <xf numFmtId="189"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86"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202" fontId="56" fillId="0" borderId="0" applyFont="0" applyFill="0" applyBorder="0" applyAlignment="0" applyProtection="0"/>
    <xf numFmtId="203"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204" fontId="52" fillId="0" borderId="0" applyFont="0" applyFill="0" applyBorder="0" applyAlignment="0" applyProtection="0"/>
    <xf numFmtId="205"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180" fontId="52" fillId="0" borderId="0" applyFont="0" applyFill="0" applyBorder="0" applyAlignment="0" applyProtection="0"/>
    <xf numFmtId="171"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6"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5" fontId="52" fillId="0" borderId="0" applyFont="0" applyFill="0" applyBorder="0" applyAlignment="0" applyProtection="0"/>
    <xf numFmtId="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6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8"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6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99" fontId="52" fillId="0" borderId="0" applyFont="0" applyFill="0" applyBorder="0" applyAlignment="0" applyProtection="0"/>
    <xf numFmtId="198" fontId="52" fillId="0" borderId="0" applyFont="0" applyFill="0" applyBorder="0" applyAlignment="0" applyProtection="0"/>
    <xf numFmtId="200" fontId="52" fillId="0" borderId="0" applyFont="0" applyFill="0" applyBorder="0" applyAlignment="0" applyProtection="0"/>
    <xf numFmtId="180" fontId="52" fillId="0" borderId="0" applyFont="0" applyFill="0" applyBorder="0" applyAlignment="0" applyProtection="0"/>
    <xf numFmtId="180" fontId="40" fillId="0" borderId="0" applyFont="0" applyFill="0" applyBorder="0" applyAlignment="0" applyProtection="0"/>
    <xf numFmtId="180"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197"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79" fontId="52" fillId="0" borderId="0" applyFont="0" applyFill="0" applyBorder="0" applyAlignment="0" applyProtection="0"/>
    <xf numFmtId="206"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187" fontId="40"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21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64"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2"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64"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208"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13" fontId="52" fillId="0" borderId="0" applyFont="0" applyFill="0" applyBorder="0" applyAlignment="0" applyProtection="0"/>
    <xf numFmtId="214"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88" fontId="40" fillId="0" borderId="0" applyFont="0" applyFill="0" applyBorder="0" applyAlignment="0" applyProtection="0"/>
    <xf numFmtId="189"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90" fontId="52" fillId="0" borderId="0" applyFont="0" applyFill="0" applyBorder="0" applyAlignment="0" applyProtection="0"/>
    <xf numFmtId="186"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202" fontId="56" fillId="0" borderId="0" applyFont="0" applyFill="0" applyBorder="0" applyAlignment="0" applyProtection="0"/>
    <xf numFmtId="203"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204" fontId="52" fillId="0" borderId="0" applyFont="0" applyFill="0" applyBorder="0" applyAlignment="0" applyProtection="0"/>
    <xf numFmtId="205" fontId="52" fillId="0" borderId="0" applyFont="0" applyFill="0" applyBorder="0" applyAlignment="0" applyProtection="0"/>
    <xf numFmtId="179" fontId="40"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180" fontId="40" fillId="0" borderId="0" applyFont="0" applyFill="0" applyBorder="0" applyAlignment="0" applyProtection="0"/>
    <xf numFmtId="179" fontId="52" fillId="0" borderId="0" applyFont="0" applyFill="0" applyBorder="0" applyAlignment="0" applyProtection="0"/>
    <xf numFmtId="206"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187" fontId="40"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21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64"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2"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64"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208"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13" fontId="52" fillId="0" borderId="0" applyFont="0" applyFill="0" applyBorder="0" applyAlignment="0" applyProtection="0"/>
    <xf numFmtId="214"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180" fontId="52" fillId="0" borderId="0" applyFont="0" applyFill="0" applyBorder="0" applyAlignment="0" applyProtection="0"/>
    <xf numFmtId="171"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6"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5" fontId="52" fillId="0" borderId="0" applyFont="0" applyFill="0" applyBorder="0" applyAlignment="0" applyProtection="0"/>
    <xf numFmtId="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6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8"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6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99" fontId="52" fillId="0" borderId="0" applyFont="0" applyFill="0" applyBorder="0" applyAlignment="0" applyProtection="0"/>
    <xf numFmtId="198" fontId="52" fillId="0" borderId="0" applyFont="0" applyFill="0" applyBorder="0" applyAlignment="0" applyProtection="0"/>
    <xf numFmtId="200"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79" fontId="40"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92" fontId="40" fillId="0" borderId="0" applyFont="0" applyFill="0" applyBorder="0" applyAlignment="0" applyProtection="0"/>
    <xf numFmtId="184" fontId="40" fillId="0" borderId="0" applyFont="0" applyFill="0" applyBorder="0" applyAlignment="0" applyProtection="0"/>
    <xf numFmtId="180"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42" fontId="52" fillId="0" borderId="0" applyFont="0" applyFill="0" applyBorder="0" applyAlignment="0" applyProtection="0"/>
    <xf numFmtId="189"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9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202" fontId="56" fillId="0" borderId="0" applyFont="0" applyFill="0" applyBorder="0" applyAlignment="0" applyProtection="0"/>
    <xf numFmtId="203"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0" fontId="44"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0" fontId="44" fillId="0" borderId="0"/>
    <xf numFmtId="189"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0" fontId="44" fillId="0" borderId="0"/>
    <xf numFmtId="204" fontId="52" fillId="0" borderId="0" applyFont="0" applyFill="0" applyBorder="0" applyAlignment="0" applyProtection="0"/>
    <xf numFmtId="205"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79" fontId="40" fillId="0" borderId="0" applyFont="0" applyFill="0" applyBorder="0" applyAlignment="0" applyProtection="0"/>
    <xf numFmtId="179" fontId="52" fillId="0" borderId="0" applyFont="0" applyFill="0" applyBorder="0" applyAlignment="0" applyProtection="0"/>
    <xf numFmtId="206"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64"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187" fontId="40"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211"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64"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12"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64"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208"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08" fontId="52" fillId="0" borderId="0" applyFont="0" applyFill="0" applyBorder="0" applyAlignment="0" applyProtection="0"/>
    <xf numFmtId="187" fontId="52" fillId="0" borderId="0" applyFont="0" applyFill="0" applyBorder="0" applyAlignment="0" applyProtection="0"/>
    <xf numFmtId="213" fontId="52" fillId="0" borderId="0" applyFont="0" applyFill="0" applyBorder="0" applyAlignment="0" applyProtection="0"/>
    <xf numFmtId="214"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209" fontId="52" fillId="0" borderId="0" applyFont="0" applyFill="0" applyBorder="0" applyAlignment="0" applyProtection="0"/>
    <xf numFmtId="187" fontId="52" fillId="0" borderId="0" applyFont="0" applyFill="0" applyBorder="0" applyAlignment="0" applyProtection="0"/>
    <xf numFmtId="180" fontId="52" fillId="0" borderId="0" applyFont="0" applyFill="0" applyBorder="0" applyAlignment="0" applyProtection="0"/>
    <xf numFmtId="171"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6"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65" fontId="52" fillId="0" borderId="0" applyFont="0" applyFill="0" applyBorder="0" applyAlignment="0" applyProtection="0"/>
    <xf numFmtId="194"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65" fontId="52" fillId="0" borderId="0" applyFont="0" applyFill="0" applyBorder="0" applyAlignment="0" applyProtection="0"/>
    <xf numFmtId="180" fontId="52" fillId="0" borderId="0" applyFont="0" applyFill="0" applyBorder="0" applyAlignment="0" applyProtection="0"/>
    <xf numFmtId="165" fontId="52" fillId="0" borderId="0" applyFont="0" applyFill="0" applyBorder="0" applyAlignment="0" applyProtection="0"/>
    <xf numFmtId="195" fontId="52" fillId="0" borderId="0" applyFont="0" applyFill="0" applyBorder="0" applyAlignment="0" applyProtection="0"/>
    <xf numFmtId="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80"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7"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6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8"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65" fontId="52" fillId="0" borderId="0" applyFont="0" applyFill="0" applyBorder="0" applyAlignment="0" applyProtection="0"/>
    <xf numFmtId="197" fontId="52" fillId="0" borderId="0" applyFont="0" applyFill="0" applyBorder="0" applyAlignment="0" applyProtection="0"/>
    <xf numFmtId="43" fontId="52" fillId="0" borderId="0" applyFont="0" applyFill="0" applyBorder="0" applyAlignment="0" applyProtection="0"/>
    <xf numFmtId="195"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43"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3" fontId="52" fillId="0" borderId="0" applyFont="0" applyFill="0" applyBorder="0" applyAlignment="0" applyProtection="0"/>
    <xf numFmtId="43"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83" fontId="52" fillId="0" borderId="0" applyFont="0" applyFill="0" applyBorder="0" applyAlignment="0" applyProtection="0"/>
    <xf numFmtId="195" fontId="52" fillId="0" borderId="0" applyFont="0" applyFill="0" applyBorder="0" applyAlignment="0" applyProtection="0"/>
    <xf numFmtId="199" fontId="52" fillId="0" borderId="0" applyFont="0" applyFill="0" applyBorder="0" applyAlignment="0" applyProtection="0"/>
    <xf numFmtId="198" fontId="52" fillId="0" borderId="0" applyFont="0" applyFill="0" applyBorder="0" applyAlignment="0" applyProtection="0"/>
    <xf numFmtId="200" fontId="52" fillId="0" borderId="0" applyFont="0" applyFill="0" applyBorder="0" applyAlignment="0" applyProtection="0"/>
    <xf numFmtId="180" fontId="52" fillId="0" borderId="0" applyFont="0" applyFill="0" applyBorder="0" applyAlignment="0" applyProtection="0"/>
    <xf numFmtId="197" fontId="52" fillId="0" borderId="0" applyFont="0" applyFill="0" applyBorder="0" applyAlignment="0" applyProtection="0"/>
    <xf numFmtId="180"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96" fontId="52" fillId="0" borderId="0" applyFont="0" applyFill="0" applyBorder="0" applyAlignment="0" applyProtection="0"/>
    <xf numFmtId="195" fontId="52"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81" fontId="40" fillId="0" borderId="0" applyFont="0" applyFill="0" applyBorder="0" applyAlignment="0" applyProtection="0"/>
    <xf numFmtId="192" fontId="40" fillId="0" borderId="0" applyFont="0" applyFill="0" applyBorder="0" applyAlignment="0" applyProtection="0"/>
    <xf numFmtId="184" fontId="40" fillId="0" borderId="0" applyFont="0" applyFill="0" applyBorder="0" applyAlignment="0" applyProtection="0"/>
    <xf numFmtId="180" fontId="40" fillId="0" borderId="0" applyFont="0" applyFill="0" applyBorder="0" applyAlignment="0" applyProtection="0"/>
    <xf numFmtId="180" fontId="40" fillId="0" borderId="0" applyFont="0" applyFill="0" applyBorder="0" applyAlignment="0" applyProtection="0"/>
    <xf numFmtId="193" fontId="40" fillId="0" borderId="0" applyFont="0" applyFill="0" applyBorder="0" applyAlignment="0" applyProtection="0"/>
    <xf numFmtId="193" fontId="40" fillId="0" borderId="0" applyFont="0" applyFill="0" applyBorder="0" applyAlignment="0" applyProtection="0"/>
    <xf numFmtId="0" fontId="44" fillId="0" borderId="0"/>
    <xf numFmtId="191"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42" fontId="52" fillId="0" borderId="0" applyFont="0" applyFill="0" applyBorder="0" applyAlignment="0" applyProtection="0"/>
    <xf numFmtId="0" fontId="53" fillId="0" borderId="0">
      <alignment vertical="top"/>
    </xf>
    <xf numFmtId="0" fontId="53" fillId="0" borderId="0">
      <alignment vertical="top"/>
    </xf>
    <xf numFmtId="0" fontId="54" fillId="0" borderId="0">
      <alignment vertical="top"/>
    </xf>
    <xf numFmtId="0" fontId="53" fillId="0" borderId="0">
      <alignment vertical="top"/>
    </xf>
    <xf numFmtId="0" fontId="53" fillId="0" borderId="0">
      <alignment vertical="top"/>
    </xf>
    <xf numFmtId="0" fontId="53" fillId="0" borderId="0">
      <alignment vertical="top"/>
    </xf>
    <xf numFmtId="0" fontId="20" fillId="0" borderId="0"/>
    <xf numFmtId="0" fontId="54" fillId="0" borderId="0">
      <alignment vertical="top"/>
    </xf>
    <xf numFmtId="0" fontId="54" fillId="0" borderId="0">
      <alignment vertical="top"/>
    </xf>
    <xf numFmtId="0" fontId="53" fillId="0" borderId="0">
      <alignment vertical="top"/>
    </xf>
    <xf numFmtId="0" fontId="53" fillId="0" borderId="0">
      <alignment vertical="top"/>
    </xf>
    <xf numFmtId="0" fontId="53" fillId="0" borderId="0">
      <alignment vertical="top"/>
    </xf>
    <xf numFmtId="0" fontId="54" fillId="0" borderId="0">
      <alignment vertical="top"/>
    </xf>
    <xf numFmtId="0" fontId="53" fillId="0" borderId="0">
      <alignment vertical="top"/>
    </xf>
    <xf numFmtId="0" fontId="54" fillId="0" borderId="0">
      <alignment vertical="top"/>
    </xf>
    <xf numFmtId="0" fontId="54" fillId="0" borderId="0">
      <alignment vertical="top"/>
    </xf>
    <xf numFmtId="0" fontId="54" fillId="0" borderId="0">
      <alignment vertical="top"/>
    </xf>
    <xf numFmtId="0" fontId="53" fillId="0" borderId="0">
      <alignment vertical="top"/>
    </xf>
    <xf numFmtId="0" fontId="53" fillId="0" borderId="0">
      <alignment vertical="top"/>
    </xf>
    <xf numFmtId="0" fontId="53" fillId="0" borderId="0">
      <alignment vertical="top"/>
    </xf>
    <xf numFmtId="0" fontId="54" fillId="0" borderId="0">
      <alignment vertical="top"/>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192" fontId="29" fillId="0" borderId="0" applyProtection="0"/>
    <xf numFmtId="181" fontId="29" fillId="0" borderId="0" applyProtection="0"/>
    <xf numFmtId="181" fontId="29" fillId="0" borderId="0" applyProtection="0"/>
    <xf numFmtId="0" fontId="41" fillId="0" borderId="0" applyProtection="0"/>
    <xf numFmtId="192" fontId="29" fillId="0" borderId="0" applyProtection="0"/>
    <xf numFmtId="181" fontId="29" fillId="0" borderId="0" applyProtection="0"/>
    <xf numFmtId="181" fontId="29" fillId="0" borderId="0" applyProtection="0"/>
    <xf numFmtId="0" fontId="41" fillId="0" borderId="0" applyProtection="0"/>
    <xf numFmtId="191" fontId="52" fillId="0" borderId="0" applyFon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44" fillId="0" borderId="0"/>
    <xf numFmtId="186" fontId="52" fillId="0" borderId="0" applyFont="0" applyFill="0" applyBorder="0" applyAlignment="0" applyProtection="0"/>
    <xf numFmtId="0" fontId="44" fillId="0" borderId="0"/>
    <xf numFmtId="42" fontId="52" fillId="0" borderId="0" applyFont="0" applyFill="0" applyBorder="0" applyAlignment="0" applyProtection="0"/>
    <xf numFmtId="0" fontId="22" fillId="0" borderId="0" applyNumberFormat="0" applyFill="0" applyBorder="0" applyAlignment="0" applyProtection="0"/>
    <xf numFmtId="215" fontId="57" fillId="0" borderId="0" applyFont="0" applyFill="0" applyBorder="0" applyAlignment="0" applyProtection="0"/>
    <xf numFmtId="216" fontId="58" fillId="0" borderId="0" applyFont="0" applyFill="0" applyBorder="0" applyAlignment="0" applyProtection="0"/>
    <xf numFmtId="217" fontId="58" fillId="0" borderId="0" applyFont="0" applyFill="0" applyBorder="0" applyAlignment="0" applyProtection="0"/>
    <xf numFmtId="0" fontId="32" fillId="0" borderId="0"/>
    <xf numFmtId="0" fontId="59" fillId="0" borderId="0"/>
    <xf numFmtId="0" fontId="59" fillId="0" borderId="0"/>
    <xf numFmtId="0" fontId="59" fillId="0" borderId="0"/>
    <xf numFmtId="0" fontId="23" fillId="0" borderId="0"/>
    <xf numFmtId="1" fontId="60" fillId="0" borderId="1" applyBorder="0" applyAlignment="0">
      <alignment horizontal="center"/>
    </xf>
    <xf numFmtId="1" fontId="60" fillId="0" borderId="1" applyBorder="0" applyAlignment="0">
      <alignment horizontal="center"/>
    </xf>
    <xf numFmtId="0" fontId="61" fillId="0" borderId="0"/>
    <xf numFmtId="0" fontId="20" fillId="0" borderId="0"/>
    <xf numFmtId="0" fontId="20" fillId="0" borderId="0"/>
    <xf numFmtId="0" fontId="62" fillId="0" borderId="0"/>
    <xf numFmtId="0" fontId="61" fillId="0" borderId="0" applyProtection="0"/>
    <xf numFmtId="3" fontId="42" fillId="0" borderId="1"/>
    <xf numFmtId="3" fontId="42" fillId="0" borderId="1"/>
    <xf numFmtId="3" fontId="42" fillId="0" borderId="1"/>
    <xf numFmtId="3" fontId="42" fillId="0" borderId="1"/>
    <xf numFmtId="215" fontId="57" fillId="0" borderId="0" applyFont="0" applyFill="0" applyBorder="0" applyAlignment="0" applyProtection="0"/>
    <xf numFmtId="0" fontId="63" fillId="4" borderId="0"/>
    <xf numFmtId="0" fontId="63" fillId="4" borderId="0"/>
    <xf numFmtId="0" fontId="64" fillId="4" borderId="0"/>
    <xf numFmtId="0" fontId="63" fillId="4" borderId="0"/>
    <xf numFmtId="0" fontId="63" fillId="5" borderId="0"/>
    <xf numFmtId="0" fontId="63" fillId="4" borderId="0"/>
    <xf numFmtId="215" fontId="57" fillId="0" borderId="0" applyFont="0" applyFill="0" applyBorder="0" applyAlignment="0" applyProtection="0"/>
    <xf numFmtId="0" fontId="6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215" fontId="57" fillId="0" borderId="0" applyFont="0" applyFill="0" applyBorder="0" applyAlignment="0" applyProtection="0"/>
    <xf numFmtId="215" fontId="57" fillId="0" borderId="0" applyFont="0" applyFill="0" applyBorder="0" applyAlignment="0" applyProtection="0"/>
    <xf numFmtId="215" fontId="57" fillId="0" borderId="0" applyFont="0" applyFill="0" applyBorder="0" applyAlignment="0" applyProtection="0"/>
    <xf numFmtId="215" fontId="57" fillId="0" borderId="0" applyFont="0" applyFill="0" applyBorder="0" applyAlignment="0" applyProtection="0"/>
    <xf numFmtId="0" fontId="30" fillId="4" borderId="0"/>
    <xf numFmtId="0" fontId="30" fillId="4" borderId="0"/>
    <xf numFmtId="0" fontId="6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5" fillId="0" borderId="11" applyFont="0" applyAlignment="0">
      <alignment horizontal="left"/>
    </xf>
    <xf numFmtId="0" fontId="65" fillId="0" borderId="11" applyFont="0" applyAlignment="0">
      <alignment horizontal="left"/>
    </xf>
    <xf numFmtId="0" fontId="65" fillId="0" borderId="11" applyFont="0" applyAlignment="0">
      <alignment horizontal="left"/>
    </xf>
    <xf numFmtId="0" fontId="63" fillId="5" borderId="0"/>
    <xf numFmtId="0" fontId="66" fillId="0" borderId="0" applyFont="0" applyFill="0" applyBorder="0" applyAlignment="0">
      <alignment horizontal="left"/>
    </xf>
    <xf numFmtId="0" fontId="63" fillId="4" borderId="0"/>
    <xf numFmtId="0" fontId="66" fillId="0" borderId="0" applyFont="0" applyFill="0" applyBorder="0" applyAlignment="0">
      <alignment horizontal="left"/>
    </xf>
    <xf numFmtId="0" fontId="65" fillId="0" borderId="11" applyFont="0" applyAlignment="0">
      <alignment horizontal="left"/>
    </xf>
    <xf numFmtId="0" fontId="65" fillId="0" borderId="11" applyFont="0" applyAlignment="0">
      <alignment horizontal="left"/>
    </xf>
    <xf numFmtId="0" fontId="65" fillId="0" borderId="11" applyFont="0" applyAlignment="0">
      <alignment horizontal="left"/>
    </xf>
    <xf numFmtId="0" fontId="6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215" fontId="57" fillId="0" borderId="0" applyFont="0" applyFill="0" applyBorder="0" applyAlignment="0" applyProtection="0"/>
    <xf numFmtId="0" fontId="63" fillId="4" borderId="0"/>
    <xf numFmtId="0" fontId="63" fillId="4" borderId="0"/>
    <xf numFmtId="0" fontId="63" fillId="4" borderId="0"/>
    <xf numFmtId="0" fontId="67" fillId="0" borderId="1" applyNumberFormat="0" applyFont="0" applyBorder="0">
      <alignment horizontal="left" indent="2"/>
    </xf>
    <xf numFmtId="0" fontId="67" fillId="0" borderId="1" applyNumberFormat="0" applyFont="0" applyBorder="0">
      <alignment horizontal="left" indent="2"/>
    </xf>
    <xf numFmtId="0" fontId="66" fillId="0" borderId="0" applyFont="0" applyFill="0" applyBorder="0" applyAlignment="0">
      <alignment horizontal="left"/>
    </xf>
    <xf numFmtId="0" fontId="66" fillId="0" borderId="0" applyFont="0" applyFill="0" applyBorder="0" applyAlignment="0">
      <alignment horizontal="left"/>
    </xf>
    <xf numFmtId="0" fontId="67" fillId="0" borderId="1" applyNumberFormat="0" applyFont="0" applyBorder="0">
      <alignment horizontal="left" indent="2"/>
    </xf>
    <xf numFmtId="0" fontId="67" fillId="0" borderId="1" applyNumberFormat="0" applyFont="0" applyBorder="0">
      <alignment horizontal="left" indent="2"/>
    </xf>
    <xf numFmtId="0" fontId="68" fillId="0" borderId="0"/>
    <xf numFmtId="0" fontId="69" fillId="3" borderId="20" applyFont="0" applyFill="0" applyAlignment="0">
      <alignment vertical="center" wrapText="1"/>
    </xf>
    <xf numFmtId="9" fontId="70" fillId="0" borderId="0" applyBorder="0" applyAlignment="0" applyProtection="0"/>
    <xf numFmtId="0" fontId="71" fillId="4" borderId="0"/>
    <xf numFmtId="0" fontId="64" fillId="4" borderId="0"/>
    <xf numFmtId="0" fontId="71" fillId="5" borderId="0"/>
    <xf numFmtId="0" fontId="71"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30" fillId="4" borderId="0"/>
    <xf numFmtId="0" fontId="30"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1" fillId="5" borderId="0"/>
    <xf numFmtId="0" fontId="71"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1" fillId="4" borderId="0"/>
    <xf numFmtId="0" fontId="71" fillId="4" borderId="0"/>
    <xf numFmtId="0" fontId="67" fillId="0" borderId="1" applyNumberFormat="0" applyFont="0" applyBorder="0" applyAlignment="0">
      <alignment horizontal="center"/>
    </xf>
    <xf numFmtId="0" fontId="67" fillId="0" borderId="1" applyNumberFormat="0" applyFont="0" applyBorder="0" applyAlignment="0">
      <alignment horizontal="center"/>
    </xf>
    <xf numFmtId="0" fontId="67" fillId="0" borderId="1" applyNumberFormat="0" applyFont="0" applyBorder="0" applyAlignment="0">
      <alignment horizontal="center"/>
    </xf>
    <xf numFmtId="0" fontId="67" fillId="0" borderId="1" applyNumberFormat="0" applyFont="0" applyBorder="0" applyAlignment="0">
      <alignment horizontal="center"/>
    </xf>
    <xf numFmtId="0" fontId="72" fillId="6" borderId="0" applyNumberFormat="0" applyBorder="0" applyAlignment="0" applyProtection="0"/>
    <xf numFmtId="0" fontId="72" fillId="7" borderId="0" applyNumberFormat="0" applyBorder="0" applyAlignment="0" applyProtection="0"/>
    <xf numFmtId="0" fontId="72" fillId="8" borderId="0" applyNumberFormat="0" applyBorder="0" applyAlignment="0" applyProtection="0"/>
    <xf numFmtId="0" fontId="72" fillId="9" borderId="0" applyNumberFormat="0" applyBorder="0" applyAlignment="0" applyProtection="0"/>
    <xf numFmtId="0" fontId="72" fillId="10" borderId="0" applyNumberFormat="0" applyBorder="0" applyAlignment="0" applyProtection="0"/>
    <xf numFmtId="0" fontId="72" fillId="11" borderId="0" applyNumberFormat="0" applyBorder="0" applyAlignment="0" applyProtection="0"/>
    <xf numFmtId="0" fontId="24" fillId="6" borderId="0" applyNumberFormat="0" applyBorder="0" applyAlignment="0" applyProtection="0"/>
    <xf numFmtId="0" fontId="24" fillId="7" borderId="0" applyNumberFormat="0" applyBorder="0" applyAlignment="0" applyProtection="0"/>
    <xf numFmtId="0" fontId="24" fillId="8"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1" borderId="0" applyNumberFormat="0" applyBorder="0" applyAlignment="0" applyProtection="0"/>
    <xf numFmtId="0" fontId="20" fillId="0" borderId="0"/>
    <xf numFmtId="0" fontId="73" fillId="4" borderId="0"/>
    <xf numFmtId="0" fontId="64" fillId="4" borderId="0"/>
    <xf numFmtId="0" fontId="73" fillId="5" borderId="0"/>
    <xf numFmtId="0" fontId="7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30" fillId="4" borderId="0"/>
    <xf numFmtId="0" fontId="30"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3" fillId="5" borderId="0"/>
    <xf numFmtId="0" fontId="7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3" fillId="4" borderId="0"/>
    <xf numFmtId="0" fontId="7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30" fillId="0" borderId="0">
      <alignment wrapText="1"/>
    </xf>
    <xf numFmtId="0" fontId="30"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72" fillId="12" borderId="0" applyNumberFormat="0" applyBorder="0" applyAlignment="0" applyProtection="0"/>
    <xf numFmtId="0" fontId="72" fillId="13" borderId="0" applyNumberFormat="0" applyBorder="0" applyAlignment="0" applyProtection="0"/>
    <xf numFmtId="0" fontId="72" fillId="14" borderId="0" applyNumberFormat="0" applyBorder="0" applyAlignment="0" applyProtection="0"/>
    <xf numFmtId="0" fontId="72" fillId="9" borderId="0" applyNumberFormat="0" applyBorder="0" applyAlignment="0" applyProtection="0"/>
    <xf numFmtId="0" fontId="72" fillId="12" borderId="0" applyNumberFormat="0" applyBorder="0" applyAlignment="0" applyProtection="0"/>
    <xf numFmtId="0" fontId="72" fillId="15" borderId="0" applyNumberFormat="0" applyBorder="0" applyAlignment="0" applyProtection="0"/>
    <xf numFmtId="0" fontId="24" fillId="12"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9" borderId="0" applyNumberFormat="0" applyBorder="0" applyAlignment="0" applyProtection="0"/>
    <xf numFmtId="0" fontId="24" fillId="12" borderId="0" applyNumberFormat="0" applyBorder="0" applyAlignment="0" applyProtection="0"/>
    <xf numFmtId="0" fontId="24" fillId="15" borderId="0" applyNumberFormat="0" applyBorder="0" applyAlignment="0" applyProtection="0"/>
    <xf numFmtId="166" fontId="75" fillId="0" borderId="9" applyNumberFormat="0" applyFont="0" applyBorder="0" applyAlignment="0">
      <alignment horizontal="center"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30" fillId="0" borderId="0"/>
    <xf numFmtId="0" fontId="30"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76" fillId="16" borderId="0" applyNumberFormat="0" applyBorder="0" applyAlignment="0" applyProtection="0"/>
    <xf numFmtId="0" fontId="76" fillId="13" borderId="0" applyNumberFormat="0" applyBorder="0" applyAlignment="0" applyProtection="0"/>
    <xf numFmtId="0" fontId="76" fillId="14" borderId="0" applyNumberFormat="0" applyBorder="0" applyAlignment="0" applyProtection="0"/>
    <xf numFmtId="0" fontId="76" fillId="17" borderId="0" applyNumberFormat="0" applyBorder="0" applyAlignment="0" applyProtection="0"/>
    <xf numFmtId="0" fontId="76" fillId="18" borderId="0" applyNumberFormat="0" applyBorder="0" applyAlignment="0" applyProtection="0"/>
    <xf numFmtId="0" fontId="76" fillId="19" borderId="0" applyNumberFormat="0" applyBorder="0" applyAlignment="0" applyProtection="0"/>
    <xf numFmtId="0" fontId="77" fillId="16" borderId="0" applyNumberFormat="0" applyBorder="0" applyAlignment="0" applyProtection="0"/>
    <xf numFmtId="0" fontId="77" fillId="13" borderId="0" applyNumberFormat="0" applyBorder="0" applyAlignment="0" applyProtection="0"/>
    <xf numFmtId="0" fontId="77" fillId="14" borderId="0" applyNumberFormat="0" applyBorder="0" applyAlignment="0" applyProtection="0"/>
    <xf numFmtId="0" fontId="77" fillId="17" borderId="0" applyNumberFormat="0" applyBorder="0" applyAlignment="0" applyProtection="0"/>
    <xf numFmtId="0" fontId="77" fillId="18" borderId="0" applyNumberFormat="0" applyBorder="0" applyAlignment="0" applyProtection="0"/>
    <xf numFmtId="0" fontId="77" fillId="19" borderId="0" applyNumberFormat="0" applyBorder="0" applyAlignment="0" applyProtection="0"/>
    <xf numFmtId="0" fontId="78" fillId="0" borderId="0"/>
    <xf numFmtId="0" fontId="78" fillId="0" borderId="0"/>
    <xf numFmtId="0" fontId="78" fillId="0" borderId="0"/>
    <xf numFmtId="0" fontId="78" fillId="0" borderId="0"/>
    <xf numFmtId="0" fontId="78" fillId="0" borderId="0"/>
    <xf numFmtId="0" fontId="78" fillId="0" borderId="0"/>
    <xf numFmtId="0" fontId="76" fillId="20" borderId="0" applyNumberFormat="0" applyBorder="0" applyAlignment="0" applyProtection="0"/>
    <xf numFmtId="0" fontId="76" fillId="21" borderId="0" applyNumberFormat="0" applyBorder="0" applyAlignment="0" applyProtection="0"/>
    <xf numFmtId="0" fontId="76" fillId="22" borderId="0" applyNumberFormat="0" applyBorder="0" applyAlignment="0" applyProtection="0"/>
    <xf numFmtId="0" fontId="76" fillId="17" borderId="0" applyNumberFormat="0" applyBorder="0" applyAlignment="0" applyProtection="0"/>
    <xf numFmtId="0" fontId="76" fillId="18" borderId="0" applyNumberFormat="0" applyBorder="0" applyAlignment="0" applyProtection="0"/>
    <xf numFmtId="0" fontId="76" fillId="23" borderId="0" applyNumberFormat="0" applyBorder="0" applyAlignment="0" applyProtection="0"/>
    <xf numFmtId="218" fontId="20" fillId="0" borderId="0" applyFont="0" applyFill="0" applyBorder="0" applyAlignment="0" applyProtection="0"/>
    <xf numFmtId="0" fontId="27" fillId="0" borderId="0" applyFont="0" applyFill="0" applyBorder="0" applyAlignment="0" applyProtection="0"/>
    <xf numFmtId="219" fontId="40" fillId="0" borderId="0" applyFont="0" applyFill="0" applyBorder="0" applyAlignment="0" applyProtection="0"/>
    <xf numFmtId="220" fontId="20" fillId="0" borderId="0" applyFont="0" applyFill="0" applyBorder="0" applyAlignment="0" applyProtection="0"/>
    <xf numFmtId="0" fontId="27" fillId="0" borderId="0" applyFont="0" applyFill="0" applyBorder="0" applyAlignment="0" applyProtection="0"/>
    <xf numFmtId="220" fontId="20" fillId="0" borderId="0" applyFont="0" applyFill="0" applyBorder="0" applyAlignment="0" applyProtection="0"/>
    <xf numFmtId="0" fontId="79" fillId="0" borderId="0">
      <alignment horizontal="center" wrapText="1"/>
      <protection locked="0"/>
    </xf>
    <xf numFmtId="0" fontId="79" fillId="0" borderId="0">
      <alignment horizontal="center" wrapText="1"/>
      <protection locked="0"/>
    </xf>
    <xf numFmtId="0" fontId="80" fillId="0" borderId="0" applyNumberFormat="0" applyBorder="0" applyAlignment="0">
      <alignment horizontal="center"/>
    </xf>
    <xf numFmtId="207" fontId="81" fillId="0" borderId="0" applyFont="0" applyFill="0" applyBorder="0" applyAlignment="0" applyProtection="0"/>
    <xf numFmtId="221" fontId="30" fillId="0" borderId="0" applyFont="0" applyFill="0" applyBorder="0" applyAlignment="0" applyProtection="0"/>
    <xf numFmtId="194" fontId="81" fillId="0" borderId="0" applyFont="0" applyFill="0" applyBorder="0" applyAlignment="0" applyProtection="0"/>
    <xf numFmtId="222" fontId="30" fillId="0" borderId="0" applyFont="0" applyFill="0" applyBorder="0" applyAlignment="0" applyProtection="0"/>
    <xf numFmtId="181" fontId="40" fillId="0" borderId="0" applyFont="0" applyFill="0" applyBorder="0" applyAlignment="0" applyProtection="0"/>
    <xf numFmtId="184" fontId="40" fillId="0" borderId="0" applyFont="0" applyFill="0" applyBorder="0" applyAlignment="0" applyProtection="0"/>
    <xf numFmtId="0" fontId="82" fillId="7" borderId="0" applyNumberFormat="0" applyBorder="0" applyAlignment="0" applyProtection="0"/>
    <xf numFmtId="0" fontId="83" fillId="0" borderId="0" applyNumberFormat="0" applyFill="0" applyBorder="0" applyAlignment="0" applyProtection="0"/>
    <xf numFmtId="0" fontId="84" fillId="0" borderId="0"/>
    <xf numFmtId="0" fontId="23" fillId="0" borderId="0"/>
    <xf numFmtId="0" fontId="85" fillId="0" borderId="0"/>
    <xf numFmtId="0" fontId="64" fillId="0" borderId="0"/>
    <xf numFmtId="0" fontId="86" fillId="0" borderId="0"/>
    <xf numFmtId="223" fontId="30" fillId="0" borderId="0" applyFill="0" applyBorder="0" applyAlignment="0"/>
    <xf numFmtId="224" fontId="3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7" fontId="87"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8" fontId="20" fillId="0" borderId="0" applyFill="0" applyBorder="0" applyAlignment="0"/>
    <xf numFmtId="229" fontId="23"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0" fontId="20" fillId="0" borderId="0" applyFill="0" applyBorder="0" applyAlignment="0"/>
    <xf numFmtId="231" fontId="23"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2" fontId="20" fillId="0" borderId="0" applyFill="0" applyBorder="0" applyAlignment="0"/>
    <xf numFmtId="233" fontId="23"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5" fontId="23"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0" fontId="88" fillId="24" borderId="21" applyNumberFormat="0" applyAlignment="0" applyProtection="0"/>
    <xf numFmtId="0" fontId="89" fillId="0" borderId="0"/>
    <xf numFmtId="0" fontId="90" fillId="0" borderId="0"/>
    <xf numFmtId="0" fontId="91" fillId="0" borderId="0" applyFill="0" applyBorder="0" applyProtection="0">
      <alignment horizontal="center"/>
      <protection locked="0"/>
    </xf>
    <xf numFmtId="237" fontId="52" fillId="0" borderId="0" applyFont="0" applyFill="0" applyBorder="0" applyAlignment="0" applyProtection="0"/>
    <xf numFmtId="0" fontId="92" fillId="25" borderId="22" applyNumberFormat="0" applyAlignment="0" applyProtection="0"/>
    <xf numFmtId="166" fontId="61" fillId="0" borderId="0" applyFont="0" applyFill="0" applyBorder="0" applyAlignment="0" applyProtection="0"/>
    <xf numFmtId="4" fontId="93" fillId="0" borderId="0" applyAlignment="0"/>
    <xf numFmtId="1" fontId="94" fillId="0" borderId="4" applyBorder="0"/>
    <xf numFmtId="0" fontId="95" fillId="0" borderId="3">
      <alignment horizontal="center"/>
    </xf>
    <xf numFmtId="238" fontId="96" fillId="0" borderId="0"/>
    <xf numFmtId="238" fontId="96" fillId="0" borderId="0"/>
    <xf numFmtId="238" fontId="96" fillId="0" borderId="0"/>
    <xf numFmtId="238" fontId="96" fillId="0" borderId="0"/>
    <xf numFmtId="238" fontId="96" fillId="0" borderId="0"/>
    <xf numFmtId="238" fontId="96" fillId="0" borderId="0"/>
    <xf numFmtId="238" fontId="96" fillId="0" borderId="0"/>
    <xf numFmtId="238" fontId="96" fillId="0" borderId="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239" fontId="20" fillId="0" borderId="0" applyFont="0" applyFill="0" applyBorder="0" applyAlignment="0" applyProtection="0"/>
    <xf numFmtId="41" fontId="20" fillId="0" borderId="0" applyFont="0" applyFill="0" applyBorder="0" applyAlignment="0" applyProtection="0"/>
    <xf numFmtId="41" fontId="97"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206"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240" fontId="29" fillId="0" borderId="0" applyProtection="0"/>
    <xf numFmtId="240" fontId="29" fillId="0" borderId="0" applyProtection="0"/>
    <xf numFmtId="206"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6" fontId="29" fillId="0" borderId="0" applyFont="0" applyFill="0" applyBorder="0" applyAlignment="0" applyProtection="0"/>
    <xf numFmtId="180" fontId="29" fillId="0" borderId="0" applyFont="0" applyFill="0" applyBorder="0" applyAlignment="0" applyProtection="0"/>
    <xf numFmtId="41" fontId="24" fillId="0" borderId="0" applyFont="0" applyFill="0" applyBorder="0" applyAlignment="0" applyProtection="0"/>
    <xf numFmtId="179" fontId="29"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233" fontId="23"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34" fontId="20" fillId="0" borderId="0" applyFont="0" applyFill="0" applyBorder="0" applyAlignment="0" applyProtection="0"/>
    <xf numFmtId="241" fontId="17" fillId="0" borderId="0" applyFont="0" applyFill="0" applyBorder="0" applyAlignment="0" applyProtection="0"/>
    <xf numFmtId="242" fontId="29" fillId="0" borderId="0" applyFont="0" applyFill="0" applyBorder="0" applyAlignment="0" applyProtection="0"/>
    <xf numFmtId="243" fontId="98" fillId="0" borderId="0" applyFont="0" applyFill="0" applyBorder="0" applyAlignment="0" applyProtection="0"/>
    <xf numFmtId="244" fontId="29" fillId="0" borderId="0" applyFont="0" applyFill="0" applyBorder="0" applyAlignment="0" applyProtection="0"/>
    <xf numFmtId="245" fontId="98" fillId="0" borderId="0" applyFont="0" applyFill="0" applyBorder="0" applyAlignment="0" applyProtection="0"/>
    <xf numFmtId="246" fontId="29" fillId="0" borderId="0" applyFont="0" applyFill="0" applyBorder="0" applyAlignment="0" applyProtection="0"/>
    <xf numFmtId="180" fontId="24" fillId="0" borderId="0" applyFont="0" applyFill="0" applyBorder="0" applyAlignment="0" applyProtection="0"/>
    <xf numFmtId="165" fontId="24" fillId="0" borderId="0" applyFont="0" applyFill="0" applyBorder="0" applyAlignment="0" applyProtection="0"/>
    <xf numFmtId="43"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24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92"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43" fontId="24" fillId="0" borderId="0" applyFont="0" applyFill="0" applyBorder="0" applyAlignment="0" applyProtection="0"/>
    <xf numFmtId="0" fontId="15" fillId="0" borderId="0" applyFont="0" applyFill="0" applyBorder="0" applyAlignment="0" applyProtection="0"/>
    <xf numFmtId="43" fontId="15" fillId="0" borderId="0" applyFont="0" applyFill="0" applyBorder="0" applyAlignment="0" applyProtection="0"/>
    <xf numFmtId="179"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0" fillId="0" borderId="0" applyFont="0" applyFill="0" applyBorder="0" applyAlignment="0" applyProtection="0"/>
    <xf numFmtId="43" fontId="99" fillId="0" borderId="0" applyFont="0" applyFill="0" applyBorder="0" applyAlignment="0" applyProtection="0"/>
    <xf numFmtId="43" fontId="24" fillId="0" borderId="0" applyFont="0" applyFill="0" applyBorder="0" applyAlignment="0" applyProtection="0"/>
    <xf numFmtId="247"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92" fontId="24" fillId="0" borderId="0" applyFont="0" applyFill="0" applyBorder="0" applyAlignment="0" applyProtection="0"/>
    <xf numFmtId="167" fontId="24" fillId="0" borderId="0" applyFont="0" applyFill="0" applyBorder="0" applyAlignment="0" applyProtection="0"/>
    <xf numFmtId="248" fontId="24" fillId="0" borderId="0" applyFont="0" applyFill="0" applyBorder="0" applyAlignment="0" applyProtection="0"/>
    <xf numFmtId="247" fontId="24" fillId="0" borderId="0" applyFont="0" applyFill="0" applyBorder="0" applyAlignment="0" applyProtection="0"/>
    <xf numFmtId="179"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47"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49" fontId="24" fillId="0" borderId="0" applyFont="0" applyFill="0" applyBorder="0" applyAlignment="0" applyProtection="0"/>
    <xf numFmtId="43" fontId="20" fillId="0" borderId="0" applyFont="0" applyFill="0" applyBorder="0" applyAlignment="0" applyProtection="0"/>
    <xf numFmtId="43" fontId="15" fillId="0" borderId="0" applyFont="0" applyFill="0" applyBorder="0" applyAlignment="0" applyProtection="0"/>
    <xf numFmtId="249" fontId="24" fillId="0" borderId="0" applyFont="0" applyFill="0" applyBorder="0" applyAlignment="0" applyProtection="0"/>
    <xf numFmtId="249" fontId="24" fillId="0" borderId="0" applyFont="0" applyFill="0" applyBorder="0" applyAlignment="0" applyProtection="0"/>
    <xf numFmtId="43" fontId="2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8"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80"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0"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43" fontId="20" fillId="0" borderId="0" applyFont="0" applyFill="0" applyBorder="0" applyAlignment="0" applyProtection="0"/>
    <xf numFmtId="250" fontId="6" fillId="0" borderId="0" applyFont="0" applyFill="0" applyBorder="0" applyAlignment="0" applyProtection="0"/>
    <xf numFmtId="43" fontId="10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251"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43" fontId="24" fillId="0" borderId="0" applyFont="0" applyFill="0" applyBorder="0" applyAlignment="0" applyProtection="0"/>
    <xf numFmtId="183"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183"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251" fontId="20" fillId="0" borderId="0" applyFont="0" applyFill="0" applyBorder="0" applyAlignment="0" applyProtection="0"/>
    <xf numFmtId="43" fontId="28" fillId="0" borderId="0" applyFont="0" applyFill="0" applyBorder="0" applyAlignment="0" applyProtection="0"/>
    <xf numFmtId="43" fontId="28"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183" fontId="20" fillId="0" borderId="0" applyFont="0" applyFill="0" applyBorder="0" applyAlignment="0" applyProtection="0"/>
    <xf numFmtId="43" fontId="23"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0" fontId="24" fillId="0" borderId="0" applyFont="0" applyFill="0" applyBorder="0" applyAlignment="0" applyProtection="0"/>
    <xf numFmtId="180" fontId="24" fillId="0" borderId="0" applyFont="0" applyFill="0" applyBorder="0" applyAlignment="0" applyProtection="0"/>
    <xf numFmtId="43" fontId="6"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52" fontId="24" fillId="0" borderId="0" applyFont="0" applyFill="0" applyBorder="0" applyAlignment="0" applyProtection="0"/>
    <xf numFmtId="253" fontId="24" fillId="0" borderId="0" applyFont="0" applyFill="0" applyBorder="0" applyAlignment="0" applyProtection="0"/>
    <xf numFmtId="252" fontId="24" fillId="0" borderId="0" applyFont="0" applyFill="0" applyBorder="0" applyAlignment="0" applyProtection="0"/>
    <xf numFmtId="188"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99"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3" fontId="20" fillId="0" borderId="0" applyFont="0" applyFill="0" applyBorder="0" applyAlignment="0" applyProtection="0"/>
    <xf numFmtId="43" fontId="24" fillId="0" borderId="0" applyFont="0" applyFill="0" applyBorder="0" applyAlignment="0" applyProtection="0"/>
    <xf numFmtId="254" fontId="20" fillId="0" borderId="0" applyFont="0" applyFill="0" applyBorder="0" applyAlignment="0" applyProtection="0"/>
    <xf numFmtId="43" fontId="24" fillId="0" borderId="0" applyFont="0" applyFill="0" applyBorder="0" applyAlignment="0" applyProtection="0"/>
    <xf numFmtId="183" fontId="20" fillId="0" borderId="0" applyFont="0" applyFill="0" applyBorder="0" applyAlignment="0" applyProtection="0"/>
    <xf numFmtId="43" fontId="3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100" fillId="0" borderId="0" applyFont="0" applyFill="0" applyBorder="0" applyAlignment="0" applyProtection="0"/>
    <xf numFmtId="0"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0" fillId="0" borderId="0" applyFont="0" applyFill="0" applyBorder="0" applyAlignment="0" applyProtection="0"/>
    <xf numFmtId="173" fontId="29" fillId="0" borderId="0" applyFont="0" applyFill="0" applyBorder="0" applyAlignment="0" applyProtection="0"/>
    <xf numFmtId="255" fontId="32" fillId="0" borderId="0" applyFont="0" applyFill="0" applyBorder="0" applyAlignment="0" applyProtection="0"/>
    <xf numFmtId="43" fontId="24" fillId="0" borderId="0" applyFont="0" applyFill="0" applyBorder="0" applyAlignment="0" applyProtection="0"/>
    <xf numFmtId="173" fontId="29" fillId="0" borderId="0" applyFont="0" applyFill="0" applyBorder="0" applyAlignment="0" applyProtection="0"/>
    <xf numFmtId="43" fontId="6" fillId="0" borderId="0" applyFont="0" applyFill="0" applyBorder="0" applyAlignment="0" applyProtection="0"/>
    <xf numFmtId="43" fontId="20" fillId="0" borderId="0" applyFont="0" applyFill="0" applyBorder="0" applyAlignment="0" applyProtection="0"/>
    <xf numFmtId="43" fontId="6" fillId="0" borderId="0" applyFont="0" applyFill="0" applyBorder="0" applyAlignment="0" applyProtection="0"/>
    <xf numFmtId="43" fontId="20" fillId="0" borderId="0" applyFont="0" applyFill="0" applyBorder="0" applyAlignment="0" applyProtection="0"/>
    <xf numFmtId="43" fontId="6" fillId="0" borderId="0" applyFont="0" applyFill="0" applyBorder="0" applyAlignment="0" applyProtection="0"/>
    <xf numFmtId="43" fontId="20" fillId="0" borderId="0" applyFont="0" applyFill="0" applyBorder="0" applyAlignment="0" applyProtection="0"/>
    <xf numFmtId="43" fontId="6" fillId="0" borderId="0" applyFont="0" applyFill="0" applyBorder="0" applyAlignment="0" applyProtection="0"/>
    <xf numFmtId="43" fontId="101" fillId="0" borderId="0" applyFont="0" applyFill="0" applyBorder="0" applyAlignment="0" applyProtection="0"/>
    <xf numFmtId="43" fontId="6" fillId="0" borderId="0" applyFont="0" applyFill="0" applyBorder="0" applyAlignment="0" applyProtection="0"/>
    <xf numFmtId="255" fontId="32"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165" fontId="29" fillId="0" borderId="0" applyFont="0" applyFill="0" applyBorder="0" applyAlignment="0" applyProtection="0"/>
    <xf numFmtId="165" fontId="24"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256" fontId="24" fillId="0" borderId="0" applyFont="0" applyFill="0" applyBorder="0" applyAlignment="0" applyProtection="0"/>
    <xf numFmtId="0" fontId="20" fillId="0" borderId="0" applyFont="0" applyFill="0" applyBorder="0" applyAlignment="0" applyProtection="0"/>
    <xf numFmtId="43" fontId="20" fillId="0" borderId="0" applyFont="0" applyFill="0" applyBorder="0" applyAlignment="0" applyProtection="0"/>
    <xf numFmtId="180" fontId="78" fillId="0" borderId="0" applyFont="0" applyFill="0" applyBorder="0" applyAlignment="0" applyProtection="0"/>
    <xf numFmtId="257" fontId="29" fillId="0" borderId="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257" fontId="29" fillId="0" borderId="0" applyProtection="0"/>
    <xf numFmtId="43" fontId="24" fillId="0" borderId="0" applyFont="0" applyFill="0" applyBorder="0" applyAlignment="0" applyProtection="0"/>
    <xf numFmtId="43" fontId="24" fillId="0" borderId="0" applyFont="0" applyFill="0" applyBorder="0" applyAlignment="0" applyProtection="0"/>
    <xf numFmtId="43" fontId="2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57" fontId="29" fillId="0" borderId="0" applyProtection="0"/>
    <xf numFmtId="43" fontId="99"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43" fontId="24"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5" fontId="24"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168"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9"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0" fontId="24" fillId="0" borderId="0" applyFont="0" applyFill="0" applyBorder="0" applyAlignment="0" applyProtection="0"/>
    <xf numFmtId="209" fontId="15" fillId="0" borderId="0" applyFont="0" applyFill="0" applyBorder="0" applyAlignment="0" applyProtection="0"/>
    <xf numFmtId="171" fontId="24" fillId="0" borderId="0" applyFont="0" applyFill="0" applyBorder="0" applyAlignment="0" applyProtection="0"/>
    <xf numFmtId="248" fontId="24" fillId="0" borderId="0" applyFont="0" applyFill="0" applyBorder="0" applyAlignment="0" applyProtection="0"/>
    <xf numFmtId="181" fontId="15" fillId="0" borderId="0" applyFont="0" applyFill="0" applyBorder="0" applyAlignment="0" applyProtection="0"/>
    <xf numFmtId="257" fontId="29" fillId="0" borderId="0" applyProtection="0"/>
    <xf numFmtId="257" fontId="29" fillId="0" borderId="0" applyProtection="0"/>
    <xf numFmtId="43" fontId="20"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58" fontId="15" fillId="0" borderId="0" applyFont="0" applyFill="0" applyBorder="0" applyAlignment="0" applyProtection="0"/>
    <xf numFmtId="215" fontId="24" fillId="0" borderId="0" applyFill="0" applyBorder="0" applyAlignment="0" applyProtection="0"/>
    <xf numFmtId="43" fontId="6" fillId="0" borderId="0" applyFont="0" applyFill="0" applyBorder="0" applyAlignment="0" applyProtection="0"/>
    <xf numFmtId="43" fontId="100" fillId="0" borderId="0" applyFont="0" applyFill="0" applyBorder="0" applyAlignment="0" applyProtection="0"/>
    <xf numFmtId="43" fontId="6"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6"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71" fontId="20" fillId="0" borderId="0" applyFont="0" applyFill="0" applyBorder="0" applyAlignment="0" applyProtection="0"/>
    <xf numFmtId="43" fontId="24" fillId="0" borderId="0" applyFont="0" applyFill="0" applyBorder="0" applyAlignment="0" applyProtection="0"/>
    <xf numFmtId="171" fontId="20" fillId="0" borderId="0" applyFont="0" applyFill="0" applyBorder="0" applyAlignment="0" applyProtection="0"/>
    <xf numFmtId="43" fontId="24" fillId="0" borderId="0" applyFont="0" applyFill="0" applyBorder="0" applyAlignment="0" applyProtection="0"/>
    <xf numFmtId="180" fontId="29" fillId="0" borderId="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97" fillId="0" borderId="0" applyFont="0" applyFill="0" applyBorder="0" applyAlignment="0" applyProtection="0"/>
    <xf numFmtId="43" fontId="99" fillId="0" borderId="0" applyFont="0" applyFill="0" applyBorder="0" applyAlignment="0" applyProtection="0"/>
    <xf numFmtId="43" fontId="20"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23"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102" fillId="0" borderId="0" applyFont="0" applyFill="0" applyBorder="0" applyAlignment="0" applyProtection="0"/>
    <xf numFmtId="43" fontId="3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260" fontId="24" fillId="0" borderId="0" applyFont="0" applyFill="0" applyBorder="0" applyAlignment="0" applyProtection="0"/>
    <xf numFmtId="182" fontId="24" fillId="0" borderId="0" applyFont="0" applyFill="0" applyBorder="0" applyAlignment="0" applyProtection="0"/>
    <xf numFmtId="43" fontId="99" fillId="0" borderId="0" applyFont="0" applyFill="0" applyBorder="0" applyAlignment="0" applyProtection="0"/>
    <xf numFmtId="180" fontId="24" fillId="0" borderId="0" applyFont="0" applyFill="0" applyBorder="0" applyAlignment="0" applyProtection="0"/>
    <xf numFmtId="43" fontId="24" fillId="0" borderId="0" applyFont="0" applyFill="0" applyBorder="0" applyAlignment="0" applyProtection="0"/>
    <xf numFmtId="180" fontId="24" fillId="0" borderId="0" applyFont="0" applyFill="0" applyBorder="0" applyAlignment="0" applyProtection="0"/>
    <xf numFmtId="43" fontId="24" fillId="0" borderId="0" applyFont="0" applyFill="0" applyBorder="0" applyAlignment="0" applyProtection="0"/>
    <xf numFmtId="261" fontId="103" fillId="0" borderId="0"/>
    <xf numFmtId="0" fontId="104" fillId="0" borderId="0"/>
    <xf numFmtId="0" fontId="35" fillId="0" borderId="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9" fillId="0" borderId="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3" fontId="20" fillId="0" borderId="0" applyFont="0" applyFill="0" applyBorder="0" applyAlignment="0" applyProtection="0"/>
    <xf numFmtId="0" fontId="104" fillId="0" borderId="0"/>
    <xf numFmtId="0" fontId="35" fillId="0" borderId="0"/>
    <xf numFmtId="0" fontId="105" fillId="0" borderId="0" applyNumberFormat="0" applyFill="0" applyBorder="0" applyAlignment="0" applyProtection="0"/>
    <xf numFmtId="0" fontId="106" fillId="0" borderId="0">
      <alignment horizontal="center"/>
    </xf>
    <xf numFmtId="0" fontId="107" fillId="0" borderId="0" applyNumberFormat="0" applyAlignment="0">
      <alignment horizontal="left"/>
    </xf>
    <xf numFmtId="195" fontId="108" fillId="0" borderId="0" applyFont="0" applyFill="0" applyBorder="0" applyAlignment="0" applyProtection="0"/>
    <xf numFmtId="262" fontId="109" fillId="0" borderId="0" applyFill="0" applyBorder="0" applyProtection="0"/>
    <xf numFmtId="263" fontId="17" fillId="0" borderId="0" applyFont="0" applyFill="0" applyBorder="0" applyAlignment="0" applyProtection="0"/>
    <xf numFmtId="264" fontId="23" fillId="0" borderId="0" applyFill="0" applyBorder="0" applyProtection="0"/>
    <xf numFmtId="264" fontId="23" fillId="0" borderId="2" applyFill="0" applyProtection="0"/>
    <xf numFmtId="264" fontId="23" fillId="0" borderId="23" applyFill="0" applyProtection="0"/>
    <xf numFmtId="265" fontId="84" fillId="0" borderId="0" applyFont="0" applyFill="0" applyBorder="0" applyAlignment="0" applyProtection="0"/>
    <xf numFmtId="266" fontId="110" fillId="0" borderId="0" applyFont="0" applyFill="0" applyBorder="0" applyAlignment="0" applyProtection="0"/>
    <xf numFmtId="267"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8" fontId="20" fillId="0" borderId="0" applyFont="0" applyFill="0" applyBorder="0" applyAlignment="0" applyProtection="0"/>
    <xf numFmtId="269" fontId="110" fillId="0" borderId="0" applyFont="0" applyFill="0" applyBorder="0" applyAlignment="0" applyProtection="0"/>
    <xf numFmtId="225" fontId="23"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26" fontId="20" fillId="0" borderId="0" applyFont="0" applyFill="0" applyBorder="0" applyAlignment="0" applyProtection="0"/>
    <xf numFmtId="270" fontId="98" fillId="0" borderId="0" applyFont="0" applyFill="0" applyBorder="0" applyAlignment="0" applyProtection="0"/>
    <xf numFmtId="271" fontId="29" fillId="0" borderId="0" applyFont="0" applyFill="0" applyBorder="0" applyAlignment="0" applyProtection="0"/>
    <xf numFmtId="272" fontId="98" fillId="0" borderId="0" applyFont="0" applyFill="0" applyBorder="0" applyAlignment="0" applyProtection="0"/>
    <xf numFmtId="273" fontId="98" fillId="0" borderId="0" applyFont="0" applyFill="0" applyBorder="0" applyAlignment="0" applyProtection="0"/>
    <xf numFmtId="274" fontId="29" fillId="0" borderId="0" applyFont="0" applyFill="0" applyBorder="0" applyAlignment="0" applyProtection="0"/>
    <xf numFmtId="275" fontId="98" fillId="0" borderId="0" applyFont="0" applyFill="0" applyBorder="0" applyAlignment="0" applyProtection="0"/>
    <xf numFmtId="276" fontId="98" fillId="0" borderId="0" applyFont="0" applyFill="0" applyBorder="0" applyAlignment="0" applyProtection="0"/>
    <xf numFmtId="277" fontId="29" fillId="0" borderId="0" applyFont="0" applyFill="0" applyBorder="0" applyAlignment="0" applyProtection="0"/>
    <xf numFmtId="278" fontId="98" fillId="0" borderId="0" applyFont="0" applyFill="0" applyBorder="0" applyAlignment="0" applyProtection="0"/>
    <xf numFmtId="44" fontId="24"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79" fontId="20" fillId="0" borderId="0" applyFont="0" applyFill="0" applyBorder="0" applyAlignment="0" applyProtection="0"/>
    <xf numFmtId="280"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281" fontId="29" fillId="0" borderId="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175" fontId="20" fillId="0" borderId="0" applyFont="0" applyFill="0" applyBorder="0" applyAlignment="0" applyProtection="0"/>
    <xf numFmtId="282" fontId="103" fillId="0" borderId="0"/>
    <xf numFmtId="283" fontId="20" fillId="0" borderId="0"/>
    <xf numFmtId="283" fontId="20" fillId="0" borderId="0"/>
    <xf numFmtId="283" fontId="20" fillId="0" borderId="0"/>
    <xf numFmtId="283" fontId="20" fillId="0" borderId="0"/>
    <xf numFmtId="283" fontId="20" fillId="0" borderId="0"/>
    <xf numFmtId="283" fontId="20" fillId="0" borderId="0"/>
    <xf numFmtId="283" fontId="20" fillId="0" borderId="0"/>
    <xf numFmtId="283" fontId="20" fillId="0" borderId="0"/>
    <xf numFmtId="283" fontId="20" fillId="0" borderId="0" applyProtection="0"/>
    <xf numFmtId="283" fontId="20" fillId="0" borderId="0"/>
    <xf numFmtId="283" fontId="20" fillId="0" borderId="0"/>
    <xf numFmtId="283" fontId="20" fillId="0" borderId="0"/>
    <xf numFmtId="283" fontId="20" fillId="0" borderId="0"/>
    <xf numFmtId="283" fontId="20" fillId="0" borderId="0"/>
    <xf numFmtId="283" fontId="20" fillId="0" borderId="0"/>
    <xf numFmtId="283" fontId="20" fillId="0" borderId="0"/>
    <xf numFmtId="250" fontId="30" fillId="0" borderId="24"/>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9" fillId="0" borderId="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14" fontId="53" fillId="0" borderId="0" applyFill="0" applyBorder="0" applyAlignment="0"/>
    <xf numFmtId="14" fontId="53" fillId="0" borderId="0" applyFill="0" applyBorder="0" applyAlignment="0"/>
    <xf numFmtId="0" fontId="111" fillId="24" borderId="25" applyNumberFormat="0" applyAlignment="0" applyProtection="0"/>
    <xf numFmtId="0" fontId="112" fillId="11" borderId="21" applyNumberFormat="0" applyAlignment="0" applyProtection="0"/>
    <xf numFmtId="43" fontId="99" fillId="0" borderId="0" applyFont="0" applyFill="0" applyBorder="0" applyAlignment="0" applyProtection="0"/>
    <xf numFmtId="3" fontId="113" fillId="0" borderId="5">
      <alignment horizontal="left" vertical="top" wrapText="1"/>
    </xf>
    <xf numFmtId="0" fontId="114" fillId="0" borderId="26" applyNumberFormat="0" applyFill="0" applyAlignment="0" applyProtection="0"/>
    <xf numFmtId="0" fontId="115" fillId="0" borderId="27" applyNumberFormat="0" applyFill="0" applyAlignment="0" applyProtection="0"/>
    <xf numFmtId="0" fontId="116" fillId="0" borderId="28" applyNumberFormat="0" applyFill="0" applyAlignment="0" applyProtection="0"/>
    <xf numFmtId="0" fontId="116" fillId="0" borderId="0" applyNumberFormat="0" applyFill="0" applyBorder="0" applyAlignment="0" applyProtection="0"/>
    <xf numFmtId="284" fontId="23" fillId="0" borderId="0" applyFill="0" applyBorder="0" applyProtection="0"/>
    <xf numFmtId="284" fontId="23" fillId="0" borderId="2" applyFill="0" applyProtection="0"/>
    <xf numFmtId="284" fontId="23" fillId="0" borderId="23" applyFill="0" applyProtection="0"/>
    <xf numFmtId="38" fontId="55"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285" fontId="20" fillId="0" borderId="29">
      <alignment vertical="center"/>
    </xf>
    <xf numFmtId="0" fontId="20" fillId="0" borderId="0" applyFont="0" applyFill="0" applyBorder="0" applyAlignment="0" applyProtection="0"/>
    <xf numFmtId="0" fontId="20" fillId="0" borderId="0" applyFont="0" applyFill="0" applyBorder="0" applyAlignment="0" applyProtection="0"/>
    <xf numFmtId="286" fontId="30" fillId="0" borderId="0"/>
    <xf numFmtId="287" fontId="22" fillId="0" borderId="1"/>
    <xf numFmtId="287" fontId="22" fillId="0" borderId="1"/>
    <xf numFmtId="0" fontId="117" fillId="0" borderId="0">
      <protection locked="0"/>
    </xf>
    <xf numFmtId="288" fontId="103" fillId="0" borderId="0"/>
    <xf numFmtId="254" fontId="20" fillId="0" borderId="0"/>
    <xf numFmtId="254" fontId="20" fillId="0" borderId="0"/>
    <xf numFmtId="254" fontId="20" fillId="0" borderId="0"/>
    <xf numFmtId="254" fontId="20" fillId="0" borderId="0"/>
    <xf numFmtId="254" fontId="20" fillId="0" borderId="0"/>
    <xf numFmtId="254" fontId="20" fillId="0" borderId="0"/>
    <xf numFmtId="254" fontId="20" fillId="0" borderId="0"/>
    <xf numFmtId="254" fontId="20" fillId="0" borderId="0"/>
    <xf numFmtId="254" fontId="20" fillId="0" borderId="0" applyProtection="0"/>
    <xf numFmtId="254" fontId="20" fillId="0" borderId="0"/>
    <xf numFmtId="254" fontId="20" fillId="0" borderId="0"/>
    <xf numFmtId="254" fontId="20" fillId="0" borderId="0"/>
    <xf numFmtId="254" fontId="20" fillId="0" borderId="0"/>
    <xf numFmtId="254" fontId="20" fillId="0" borderId="0"/>
    <xf numFmtId="254" fontId="20" fillId="0" borderId="0"/>
    <xf numFmtId="254" fontId="20" fillId="0" borderId="0"/>
    <xf numFmtId="289" fontId="22" fillId="0" borderId="0"/>
    <xf numFmtId="179" fontId="118" fillId="0" borderId="0" applyFont="0" applyFill="0" applyBorder="0" applyAlignment="0" applyProtection="0"/>
    <xf numFmtId="180" fontId="118" fillId="0" borderId="0" applyFont="0" applyFill="0" applyBorder="0" applyAlignment="0" applyProtection="0"/>
    <xf numFmtId="179" fontId="118" fillId="0" borderId="0" applyFont="0" applyFill="0" applyBorder="0" applyAlignment="0" applyProtection="0"/>
    <xf numFmtId="41"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06" fontId="118" fillId="0" borderId="0" applyFont="0" applyFill="0" applyBorder="0" applyAlignment="0" applyProtection="0"/>
    <xf numFmtId="290" fontId="20" fillId="0" borderId="0" applyFont="0" applyFill="0" applyBorder="0" applyAlignment="0" applyProtection="0"/>
    <xf numFmtId="290" fontId="20" fillId="0" borderId="0" applyFont="0" applyFill="0" applyBorder="0" applyAlignment="0" applyProtection="0"/>
    <xf numFmtId="41" fontId="119" fillId="0" borderId="0" applyFont="0" applyFill="0" applyBorder="0" applyAlignment="0" applyProtection="0"/>
    <xf numFmtId="41" fontId="119" fillId="0" borderId="0" applyFont="0" applyFill="0" applyBorder="0" applyAlignment="0" applyProtection="0"/>
    <xf numFmtId="290" fontId="20" fillId="0" borderId="0" applyFont="0" applyFill="0" applyBorder="0" applyAlignment="0" applyProtection="0"/>
    <xf numFmtId="290" fontId="20"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290" fontId="20" fillId="0" borderId="0" applyFont="0" applyFill="0" applyBorder="0" applyAlignment="0" applyProtection="0"/>
    <xf numFmtId="290" fontId="20" fillId="0" borderId="0" applyFont="0" applyFill="0" applyBorder="0" applyAlignment="0" applyProtection="0"/>
    <xf numFmtId="291" fontId="30" fillId="0" borderId="0" applyFont="0" applyFill="0" applyBorder="0" applyAlignment="0" applyProtection="0"/>
    <xf numFmtId="291" fontId="30" fillId="0" borderId="0" applyFont="0" applyFill="0" applyBorder="0" applyAlignment="0" applyProtection="0"/>
    <xf numFmtId="292" fontId="30" fillId="0" borderId="0" applyFont="0" applyFill="0" applyBorder="0" applyAlignment="0" applyProtection="0"/>
    <xf numFmtId="292" fontId="30"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41" fontId="119" fillId="0" borderId="0" applyFont="0" applyFill="0" applyBorder="0" applyAlignment="0" applyProtection="0"/>
    <xf numFmtId="41" fontId="119" fillId="0" borderId="0" applyFont="0" applyFill="0" applyBorder="0" applyAlignment="0" applyProtection="0"/>
    <xf numFmtId="164" fontId="118" fillId="0" borderId="0" applyFont="0" applyFill="0" applyBorder="0" applyAlignment="0" applyProtection="0"/>
    <xf numFmtId="41" fontId="118" fillId="0" borderId="0" applyFont="0" applyFill="0" applyBorder="0" applyAlignment="0" applyProtection="0"/>
    <xf numFmtId="164" fontId="118" fillId="0" borderId="0" applyFont="0" applyFill="0" applyBorder="0" applyAlignment="0" applyProtection="0"/>
    <xf numFmtId="164" fontId="118" fillId="0" borderId="0" applyFont="0" applyFill="0" applyBorder="0" applyAlignment="0" applyProtection="0"/>
    <xf numFmtId="41" fontId="118" fillId="0" borderId="0" applyFont="0" applyFill="0" applyBorder="0" applyAlignment="0" applyProtection="0"/>
    <xf numFmtId="179" fontId="118" fillId="0" borderId="0" applyFont="0" applyFill="0" applyBorder="0" applyAlignment="0" applyProtection="0"/>
    <xf numFmtId="41" fontId="118" fillId="0" borderId="0" applyFont="0" applyFill="0" applyBorder="0" applyAlignment="0" applyProtection="0"/>
    <xf numFmtId="179" fontId="118" fillId="0" borderId="0" applyFont="0" applyFill="0" applyBorder="0" applyAlignment="0" applyProtection="0"/>
    <xf numFmtId="41" fontId="118" fillId="0" borderId="0" applyFont="0" applyFill="0" applyBorder="0" applyAlignment="0" applyProtection="0"/>
    <xf numFmtId="41" fontId="118" fillId="0" borderId="0" applyFont="0" applyFill="0" applyBorder="0" applyAlignment="0" applyProtection="0"/>
    <xf numFmtId="164" fontId="118" fillId="0" borderId="0" applyFont="0" applyFill="0" applyBorder="0" applyAlignment="0" applyProtection="0"/>
    <xf numFmtId="164" fontId="118" fillId="0" borderId="0" applyFont="0" applyFill="0" applyBorder="0" applyAlignment="0" applyProtection="0"/>
    <xf numFmtId="41" fontId="118" fillId="0" borderId="0" applyFont="0" applyFill="0" applyBorder="0" applyAlignment="0" applyProtection="0"/>
    <xf numFmtId="180" fontId="118" fillId="0" borderId="0" applyFont="0" applyFill="0" applyBorder="0" applyAlignment="0" applyProtection="0"/>
    <xf numFmtId="43"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171" fontId="118" fillId="0" borderId="0" applyFont="0" applyFill="0" applyBorder="0" applyAlignment="0" applyProtection="0"/>
    <xf numFmtId="293" fontId="20" fillId="0" borderId="0" applyFont="0" applyFill="0" applyBorder="0" applyAlignment="0" applyProtection="0"/>
    <xf numFmtId="293" fontId="20"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293" fontId="20" fillId="0" borderId="0" applyFont="0" applyFill="0" applyBorder="0" applyAlignment="0" applyProtection="0"/>
    <xf numFmtId="293" fontId="20" fillId="0" borderId="0" applyFont="0" applyFill="0" applyBorder="0" applyAlignment="0" applyProtection="0"/>
    <xf numFmtId="180" fontId="118" fillId="0" borderId="0" applyFont="0" applyFill="0" applyBorder="0" applyAlignment="0" applyProtection="0"/>
    <xf numFmtId="180" fontId="118" fillId="0" borderId="0" applyFont="0" applyFill="0" applyBorder="0" applyAlignment="0" applyProtection="0"/>
    <xf numFmtId="293" fontId="20" fillId="0" borderId="0" applyFont="0" applyFill="0" applyBorder="0" applyAlignment="0" applyProtection="0"/>
    <xf numFmtId="293" fontId="20" fillId="0" borderId="0" applyFont="0" applyFill="0" applyBorder="0" applyAlignment="0" applyProtection="0"/>
    <xf numFmtId="294" fontId="30" fillId="0" borderId="0" applyFont="0" applyFill="0" applyBorder="0" applyAlignment="0" applyProtection="0"/>
    <xf numFmtId="294" fontId="30" fillId="0" borderId="0" applyFont="0" applyFill="0" applyBorder="0" applyAlignment="0" applyProtection="0"/>
    <xf numFmtId="295" fontId="30" fillId="0" borderId="0" applyFont="0" applyFill="0" applyBorder="0" applyAlignment="0" applyProtection="0"/>
    <xf numFmtId="295" fontId="30"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43" fontId="119" fillId="0" borderId="0" applyFont="0" applyFill="0" applyBorder="0" applyAlignment="0" applyProtection="0"/>
    <xf numFmtId="43" fontId="119" fillId="0" borderId="0" applyFont="0" applyFill="0" applyBorder="0" applyAlignment="0" applyProtection="0"/>
    <xf numFmtId="165" fontId="118" fillId="0" borderId="0" applyFont="0" applyFill="0" applyBorder="0" applyAlignment="0" applyProtection="0"/>
    <xf numFmtId="43" fontId="118" fillId="0" borderId="0" applyFont="0" applyFill="0" applyBorder="0" applyAlignment="0" applyProtection="0"/>
    <xf numFmtId="165" fontId="118" fillId="0" borderId="0" applyFont="0" applyFill="0" applyBorder="0" applyAlignment="0" applyProtection="0"/>
    <xf numFmtId="165" fontId="118" fillId="0" borderId="0" applyFont="0" applyFill="0" applyBorder="0" applyAlignment="0" applyProtection="0"/>
    <xf numFmtId="43" fontId="118" fillId="0" borderId="0" applyFont="0" applyFill="0" applyBorder="0" applyAlignment="0" applyProtection="0"/>
    <xf numFmtId="180" fontId="118" fillId="0" borderId="0" applyFont="0" applyFill="0" applyBorder="0" applyAlignment="0" applyProtection="0"/>
    <xf numFmtId="43" fontId="118" fillId="0" borderId="0" applyFont="0" applyFill="0" applyBorder="0" applyAlignment="0" applyProtection="0"/>
    <xf numFmtId="180" fontId="118" fillId="0" borderId="0" applyFont="0" applyFill="0" applyBorder="0" applyAlignment="0" applyProtection="0"/>
    <xf numFmtId="43" fontId="118" fillId="0" borderId="0" applyFont="0" applyFill="0" applyBorder="0" applyAlignment="0" applyProtection="0"/>
    <xf numFmtId="43" fontId="118" fillId="0" borderId="0" applyFont="0" applyFill="0" applyBorder="0" applyAlignment="0" applyProtection="0"/>
    <xf numFmtId="165" fontId="118" fillId="0" borderId="0" applyFont="0" applyFill="0" applyBorder="0" applyAlignment="0" applyProtection="0"/>
    <xf numFmtId="165" fontId="118" fillId="0" borderId="0" applyFont="0" applyFill="0" applyBorder="0" applyAlignment="0" applyProtection="0"/>
    <xf numFmtId="43" fontId="118" fillId="0" borderId="0" applyFont="0" applyFill="0" applyBorder="0" applyAlignment="0" applyProtection="0"/>
    <xf numFmtId="3" fontId="30" fillId="0" borderId="0" applyFont="0" applyBorder="0" applyAlignment="0"/>
    <xf numFmtId="0" fontId="120" fillId="0" borderId="0">
      <protection locked="0"/>
    </xf>
    <xf numFmtId="0" fontId="120" fillId="0" borderId="0">
      <protection locked="0"/>
    </xf>
    <xf numFmtId="233" fontId="23"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33" fontId="23"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5" fontId="23"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0" fontId="121" fillId="0" borderId="0" applyNumberFormat="0" applyAlignment="0">
      <alignment horizontal="left"/>
    </xf>
    <xf numFmtId="0" fontId="122" fillId="0" borderId="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296" fontId="20" fillId="0" borderId="0" applyFont="0" applyFill="0" applyBorder="0" applyAlignment="0" applyProtection="0"/>
    <xf numFmtId="0" fontId="123" fillId="0" borderId="0"/>
    <xf numFmtId="0" fontId="124" fillId="0" borderId="0" applyNumberFormat="0" applyFill="0" applyBorder="0" applyAlignment="0" applyProtection="0"/>
    <xf numFmtId="3" fontId="30" fillId="0" borderId="0" applyFont="0" applyBorder="0" applyAlignment="0"/>
    <xf numFmtId="0" fontId="20" fillId="0" borderId="0"/>
    <xf numFmtId="0" fontId="20" fillId="0" borderId="0"/>
    <xf numFmtId="0" fontId="20" fillId="0" borderId="0"/>
    <xf numFmtId="0" fontId="117" fillId="0" borderId="0">
      <protection locked="0"/>
    </xf>
    <xf numFmtId="0" fontId="117" fillId="0" borderId="0">
      <protection locked="0"/>
    </xf>
    <xf numFmtId="0" fontId="117" fillId="0" borderId="0">
      <protection locked="0"/>
    </xf>
    <xf numFmtId="0" fontId="117" fillId="0" borderId="0">
      <protection locked="0"/>
    </xf>
    <xf numFmtId="0" fontId="117" fillId="0" borderId="0">
      <protection locked="0"/>
    </xf>
    <xf numFmtId="0" fontId="117" fillId="0" borderId="0">
      <protection locked="0"/>
    </xf>
    <xf numFmtId="0" fontId="117" fillId="0" borderId="0">
      <protection locked="0"/>
    </xf>
    <xf numFmtId="0" fontId="117" fillId="0" borderId="0">
      <protection locked="0"/>
    </xf>
    <xf numFmtId="0" fontId="117" fillId="0" borderId="0">
      <protection locked="0"/>
    </xf>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9" fillId="0" borderId="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2" fontId="20" fillId="0" borderId="0" applyFont="0" applyFill="0" applyBorder="0" applyAlignment="0" applyProtection="0"/>
    <xf numFmtId="0" fontId="125" fillId="0" borderId="0" applyNumberFormat="0" applyFill="0" applyBorder="0" applyProtection="0"/>
    <xf numFmtId="0" fontId="126" fillId="0" borderId="0" applyNumberFormat="0" applyFill="0" applyBorder="0" applyProtection="0">
      <alignment vertical="center"/>
    </xf>
    <xf numFmtId="0" fontId="127" fillId="0" borderId="0" applyNumberFormat="0" applyFill="0" applyBorder="0" applyAlignment="0" applyProtection="0"/>
    <xf numFmtId="0" fontId="128" fillId="0" borderId="0" applyNumberFormat="0" applyFill="0" applyBorder="0" applyProtection="0">
      <alignment vertical="center"/>
    </xf>
    <xf numFmtId="0" fontId="129" fillId="0" borderId="0" applyNumberFormat="0" applyFill="0" applyBorder="0" applyAlignment="0" applyProtection="0"/>
    <xf numFmtId="0" fontId="127" fillId="0" borderId="0" applyNumberFormat="0" applyFill="0" applyBorder="0" applyAlignment="0" applyProtection="0"/>
    <xf numFmtId="297" fontId="130" fillId="0" borderId="30" applyNumberFormat="0" applyFill="0" applyBorder="0" applyAlignment="0" applyProtection="0"/>
    <xf numFmtId="0" fontId="131" fillId="0" borderId="0" applyNumberFormat="0" applyFill="0" applyBorder="0" applyAlignment="0" applyProtection="0"/>
    <xf numFmtId="0" fontId="132" fillId="26" borderId="31" applyNumberFormat="0" applyAlignment="0">
      <protection locked="0"/>
    </xf>
    <xf numFmtId="0" fontId="20" fillId="27" borderId="32" applyNumberFormat="0" applyFont="0" applyAlignment="0" applyProtection="0"/>
    <xf numFmtId="0" fontId="133" fillId="0" borderId="0">
      <alignment vertical="top" wrapText="1"/>
    </xf>
    <xf numFmtId="0" fontId="134" fillId="8" borderId="0" applyNumberFormat="0" applyBorder="0" applyAlignment="0" applyProtection="0"/>
    <xf numFmtId="38" fontId="135" fillId="4"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4"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38" fontId="135" fillId="28" borderId="0" applyNumberFormat="0" applyBorder="0" applyAlignment="0" applyProtection="0"/>
    <xf numFmtId="298" fontId="16" fillId="4" borderId="0" applyBorder="0" applyProtection="0"/>
    <xf numFmtId="0" fontId="136" fillId="0" borderId="17" applyNumberFormat="0" applyFill="0" applyBorder="0" applyAlignment="0" applyProtection="0">
      <alignment horizontal="center" vertical="center"/>
    </xf>
    <xf numFmtId="0" fontId="137" fillId="0" borderId="0" applyNumberFormat="0" applyFont="0" applyBorder="0" applyAlignment="0">
      <alignment horizontal="left" vertical="center"/>
    </xf>
    <xf numFmtId="299" fontId="84" fillId="0" borderId="0" applyFont="0" applyFill="0" applyBorder="0" applyAlignment="0" applyProtection="0"/>
    <xf numFmtId="0" fontId="138" fillId="29" borderId="0"/>
    <xf numFmtId="0" fontId="139" fillId="0" borderId="0">
      <alignment horizontal="left"/>
    </xf>
    <xf numFmtId="0" fontId="140" fillId="0" borderId="0">
      <alignment horizontal="left"/>
    </xf>
    <xf numFmtId="0" fontId="31" fillId="0" borderId="16" applyNumberFormat="0" applyAlignment="0" applyProtection="0">
      <alignment horizontal="left" vertical="center"/>
    </xf>
    <xf numFmtId="0" fontId="31" fillId="0" borderId="15">
      <alignment horizontal="left" vertical="center"/>
    </xf>
    <xf numFmtId="14" fontId="141" fillId="30" borderId="33">
      <alignment horizontal="center" vertical="center" wrapText="1"/>
    </xf>
    <xf numFmtId="0" fontId="142" fillId="0" borderId="26" applyNumberFormat="0" applyFill="0" applyAlignment="0" applyProtection="0"/>
    <xf numFmtId="0" fontId="143" fillId="0" borderId="27" applyNumberFormat="0" applyFill="0" applyAlignment="0" applyProtection="0"/>
    <xf numFmtId="0" fontId="144" fillId="0" borderId="28" applyNumberFormat="0" applyFill="0" applyAlignment="0" applyProtection="0"/>
    <xf numFmtId="0" fontId="144" fillId="0" borderId="0" applyNumberFormat="0" applyFill="0" applyBorder="0" applyAlignment="0" applyProtection="0"/>
    <xf numFmtId="0" fontId="91" fillId="0" borderId="0" applyFill="0" applyAlignment="0" applyProtection="0">
      <protection locked="0"/>
    </xf>
    <xf numFmtId="0" fontId="91" fillId="0" borderId="9" applyFill="0" applyAlignment="0" applyProtection="0">
      <protection locked="0"/>
    </xf>
    <xf numFmtId="300" fontId="120" fillId="0" borderId="0">
      <protection locked="0"/>
    </xf>
    <xf numFmtId="300" fontId="120" fillId="0" borderId="0">
      <protection locked="0"/>
    </xf>
    <xf numFmtId="0" fontId="145" fillId="0" borderId="33">
      <alignment horizontal="center"/>
    </xf>
    <xf numFmtId="0" fontId="145" fillId="0" borderId="0">
      <alignment horizontal="center"/>
    </xf>
    <xf numFmtId="5" fontId="146" fillId="31" borderId="1" applyNumberFormat="0" applyAlignment="0">
      <alignment horizontal="left" vertical="top"/>
    </xf>
    <xf numFmtId="5" fontId="146" fillId="31" borderId="1" applyNumberFormat="0" applyAlignment="0">
      <alignment horizontal="left" vertical="top"/>
    </xf>
    <xf numFmtId="301" fontId="146" fillId="31" borderId="1" applyNumberFormat="0" applyAlignment="0">
      <alignment horizontal="left" vertical="top"/>
    </xf>
    <xf numFmtId="0" fontId="147" fillId="0" borderId="0"/>
    <xf numFmtId="49" fontId="148" fillId="0" borderId="1">
      <alignment vertical="center"/>
    </xf>
    <xf numFmtId="49" fontId="148" fillId="0" borderId="1">
      <alignment vertical="center"/>
    </xf>
    <xf numFmtId="0" fontId="23" fillId="0" borderId="0"/>
    <xf numFmtId="179" fontId="30" fillId="0" borderId="0" applyFont="0" applyFill="0" applyBorder="0" applyAlignment="0" applyProtection="0"/>
    <xf numFmtId="38" fontId="55" fillId="0" borderId="0" applyFont="0" applyFill="0" applyBorder="0" applyAlignment="0" applyProtection="0"/>
    <xf numFmtId="41" fontId="52" fillId="0" borderId="0" applyFont="0" applyFill="0" applyBorder="0" applyAlignment="0" applyProtection="0"/>
    <xf numFmtId="213" fontId="52" fillId="0" borderId="0" applyFont="0" applyFill="0" applyBorder="0" applyAlignment="0" applyProtection="0"/>
    <xf numFmtId="233" fontId="149" fillId="0" borderId="0" applyFont="0" applyFill="0" applyBorder="0" applyAlignment="0" applyProtection="0"/>
    <xf numFmtId="10" fontId="135" fillId="32"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32" borderId="1" applyNumberFormat="0" applyBorder="0" applyAlignment="0" applyProtection="0"/>
    <xf numFmtId="10" fontId="135" fillId="32"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10" fontId="135" fillId="28" borderId="1" applyNumberFormat="0" applyBorder="0" applyAlignment="0" applyProtection="0"/>
    <xf numFmtId="0" fontId="150" fillId="11" borderId="21" applyNumberFormat="0" applyAlignment="0" applyProtection="0"/>
    <xf numFmtId="0" fontId="150" fillId="11" borderId="21" applyNumberFormat="0" applyAlignment="0" applyProtection="0"/>
    <xf numFmtId="0" fontId="150" fillId="11" borderId="21" applyNumberFormat="0" applyAlignment="0" applyProtection="0"/>
    <xf numFmtId="0" fontId="150" fillId="11" borderId="21" applyNumberFormat="0" applyAlignment="0" applyProtection="0"/>
    <xf numFmtId="0" fontId="150" fillId="11" borderId="21" applyNumberFormat="0" applyAlignment="0" applyProtection="0"/>
    <xf numFmtId="0" fontId="150" fillId="11" borderId="21" applyNumberFormat="0" applyAlignment="0" applyProtection="0"/>
    <xf numFmtId="2" fontId="151" fillId="0" borderId="6" applyBorder="0"/>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0" fontId="154"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2"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0" fontId="153" fillId="0" borderId="0" applyNumberFormat="0" applyFill="0" applyBorder="0" applyAlignment="0" applyProtection="0">
      <alignment vertical="top"/>
      <protection locked="0"/>
    </xf>
    <xf numFmtId="179" fontId="30" fillId="0" borderId="0" applyFont="0" applyFill="0" applyBorder="0" applyAlignment="0" applyProtection="0"/>
    <xf numFmtId="0" fontId="30" fillId="0" borderId="0"/>
    <xf numFmtId="2" fontId="155" fillId="0" borderId="3" applyBorder="0"/>
    <xf numFmtId="0" fontId="79" fillId="0" borderId="34">
      <alignment horizontal="centerContinuous"/>
    </xf>
    <xf numFmtId="0" fontId="156" fillId="25" borderId="22" applyNumberFormat="0" applyAlignment="0" applyProtection="0"/>
    <xf numFmtId="0" fontId="157" fillId="0" borderId="35">
      <alignment horizontal="center" vertical="center" wrapText="1"/>
    </xf>
    <xf numFmtId="0" fontId="55" fillId="0" borderId="0"/>
    <xf numFmtId="0" fontId="23" fillId="0" borderId="0" applyNumberFormat="0" applyFont="0" applyFill="0" applyBorder="0" applyProtection="0">
      <alignment horizontal="left" vertical="center"/>
    </xf>
    <xf numFmtId="0" fontId="55" fillId="0" borderId="0"/>
    <xf numFmtId="233" fontId="23"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33" fontId="23"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5" fontId="23"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25" fontId="23"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0" fontId="158" fillId="0" borderId="36" applyNumberFormat="0" applyFill="0" applyAlignment="0" applyProtection="0"/>
    <xf numFmtId="3" fontId="159" fillId="0" borderId="5" applyNumberFormat="0" applyAlignment="0">
      <alignment horizontal="center" vertical="center"/>
    </xf>
    <xf numFmtId="3" fontId="67" fillId="0" borderId="5" applyNumberFormat="0" applyAlignment="0">
      <alignment horizontal="center" vertical="center"/>
    </xf>
    <xf numFmtId="3" fontId="146" fillId="0" borderId="5" applyNumberFormat="0" applyAlignment="0">
      <alignment horizontal="center" vertical="center"/>
    </xf>
    <xf numFmtId="250" fontId="160" fillId="0" borderId="13" applyNumberFormat="0" applyFont="0" applyFill="0" applyBorder="0">
      <alignment horizontal="center"/>
    </xf>
    <xf numFmtId="250" fontId="160" fillId="0" borderId="13" applyNumberFormat="0" applyFont="0" applyFill="0" applyBorder="0">
      <alignment horizontal="center"/>
    </xf>
    <xf numFmtId="38" fontId="55" fillId="0" borderId="0" applyFont="0" applyFill="0" applyBorder="0" applyAlignment="0" applyProtection="0"/>
    <xf numFmtId="4" fontId="35" fillId="0" borderId="0" applyFont="0" applyFill="0" applyBorder="0" applyAlignment="0" applyProtection="0"/>
    <xf numFmtId="205" fontId="23" fillId="0" borderId="0" applyFont="0" applyFill="0" applyBorder="0" applyAlignment="0" applyProtection="0"/>
    <xf numFmtId="40" fontId="55" fillId="0" borderId="0" applyFont="0" applyFill="0" applyBorder="0" applyAlignment="0" applyProtection="0"/>
    <xf numFmtId="179" fontId="20" fillId="0" borderId="0" applyFont="0" applyFill="0" applyBorder="0" applyAlignment="0" applyProtection="0"/>
    <xf numFmtId="180" fontId="20" fillId="0" borderId="0" applyFont="0" applyFill="0" applyBorder="0" applyAlignment="0" applyProtection="0"/>
    <xf numFmtId="0" fontId="161" fillId="0" borderId="33"/>
    <xf numFmtId="0" fontId="162" fillId="0" borderId="33"/>
    <xf numFmtId="302" fontId="163" fillId="0" borderId="13"/>
    <xf numFmtId="303" fontId="164" fillId="0" borderId="13"/>
    <xf numFmtId="302" fontId="163" fillId="0" borderId="13"/>
    <xf numFmtId="229" fontId="55" fillId="0" borderId="0" applyFont="0" applyFill="0" applyBorder="0" applyAlignment="0" applyProtection="0"/>
    <xf numFmtId="304" fontId="55" fillId="0" borderId="0" applyFont="0" applyFill="0" applyBorder="0" applyAlignment="0" applyProtection="0"/>
    <xf numFmtId="305" fontId="20" fillId="0" borderId="0" applyFont="0" applyFill="0" applyBorder="0" applyAlignment="0" applyProtection="0"/>
    <xf numFmtId="306" fontId="20" fillId="0" borderId="0" applyFont="0" applyFill="0" applyBorder="0" applyAlignment="0" applyProtection="0"/>
    <xf numFmtId="0" fontId="15" fillId="0" borderId="0" applyNumberFormat="0" applyFill="0" applyAlignment="0"/>
    <xf numFmtId="0" fontId="26" fillId="0" borderId="0" applyNumberFormat="0" applyFill="0" applyAlignment="0"/>
    <xf numFmtId="0" fontId="165" fillId="33" borderId="0" applyNumberFormat="0" applyBorder="0" applyAlignment="0" applyProtection="0"/>
    <xf numFmtId="0" fontId="84" fillId="0" borderId="1"/>
    <xf numFmtId="0" fontId="23" fillId="0" borderId="0"/>
    <xf numFmtId="0" fontId="22" fillId="0" borderId="11" applyNumberFormat="0" applyAlignment="0">
      <alignment horizontal="center"/>
    </xf>
    <xf numFmtId="0" fontId="22" fillId="0" borderId="11" applyNumberFormat="0" applyAlignment="0">
      <alignment horizontal="center"/>
    </xf>
    <xf numFmtId="0" fontId="22" fillId="0" borderId="11" applyNumberFormat="0" applyAlignment="0">
      <alignment horizontal="center"/>
    </xf>
    <xf numFmtId="0" fontId="77" fillId="20" borderId="0" applyNumberFormat="0" applyBorder="0" applyAlignment="0" applyProtection="0"/>
    <xf numFmtId="0" fontId="77" fillId="21" borderId="0" applyNumberFormat="0" applyBorder="0" applyAlignment="0" applyProtection="0"/>
    <xf numFmtId="0" fontId="77" fillId="22" borderId="0" applyNumberFormat="0" applyBorder="0" applyAlignment="0" applyProtection="0"/>
    <xf numFmtId="0" fontId="77" fillId="17" borderId="0" applyNumberFormat="0" applyBorder="0" applyAlignment="0" applyProtection="0"/>
    <xf numFmtId="0" fontId="77" fillId="18" borderId="0" applyNumberFormat="0" applyBorder="0" applyAlignment="0" applyProtection="0"/>
    <xf numFmtId="0" fontId="77" fillId="23" borderId="0" applyNumberFormat="0" applyBorder="0" applyAlignment="0" applyProtection="0"/>
    <xf numFmtId="37" fontId="166" fillId="0" borderId="0"/>
    <xf numFmtId="37" fontId="166" fillId="0" borderId="0"/>
    <xf numFmtId="37" fontId="166" fillId="0" borderId="0"/>
    <xf numFmtId="0" fontId="167" fillId="0" borderId="1" applyNumberFormat="0" applyFont="0" applyFill="0" applyBorder="0" applyAlignment="0">
      <alignment horizontal="center"/>
    </xf>
    <xf numFmtId="0" fontId="167" fillId="0" borderId="1" applyNumberFormat="0" applyFont="0" applyFill="0" applyBorder="0" applyAlignment="0">
      <alignment horizontal="center"/>
    </xf>
    <xf numFmtId="0" fontId="168" fillId="0" borderId="0"/>
    <xf numFmtId="0" fontId="169" fillId="0" borderId="0"/>
    <xf numFmtId="0" fontId="20" fillId="0" borderId="0"/>
    <xf numFmtId="0" fontId="170" fillId="0" borderId="0"/>
    <xf numFmtId="0" fontId="171"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43" fillId="0" borderId="0"/>
    <xf numFmtId="0" fontId="24" fillId="0" borderId="0"/>
    <xf numFmtId="0" fontId="172" fillId="0" borderId="0"/>
    <xf numFmtId="0" fontId="24" fillId="0" borderId="0"/>
    <xf numFmtId="0" fontId="24" fillId="0" borderId="0"/>
    <xf numFmtId="0" fontId="24" fillId="0" borderId="0"/>
    <xf numFmtId="0" fontId="24" fillId="0" borderId="0"/>
    <xf numFmtId="0" fontId="6" fillId="0" borderId="0"/>
    <xf numFmtId="0" fontId="24" fillId="0" borderId="0"/>
    <xf numFmtId="0" fontId="24" fillId="0" borderId="0"/>
    <xf numFmtId="0" fontId="164" fillId="0" borderId="0"/>
    <xf numFmtId="0" fontId="173" fillId="0" borderId="0"/>
    <xf numFmtId="0" fontId="24" fillId="0" borderId="0"/>
    <xf numFmtId="0" fontId="15" fillId="0" borderId="0"/>
    <xf numFmtId="0" fontId="174" fillId="0" borderId="0"/>
    <xf numFmtId="0" fontId="6" fillId="0" borderId="0"/>
    <xf numFmtId="0" fontId="6" fillId="0" borderId="0"/>
    <xf numFmtId="0" fontId="6" fillId="0" borderId="0"/>
    <xf numFmtId="0" fontId="13" fillId="0" borderId="0"/>
    <xf numFmtId="0" fontId="26" fillId="0" borderId="0"/>
    <xf numFmtId="0" fontId="24" fillId="0" borderId="0"/>
    <xf numFmtId="0" fontId="172" fillId="0" borderId="0"/>
    <xf numFmtId="0" fontId="26" fillId="0" borderId="0"/>
    <xf numFmtId="0" fontId="24" fillId="0" borderId="0"/>
    <xf numFmtId="0" fontId="175" fillId="0" borderId="0"/>
    <xf numFmtId="0" fontId="164" fillId="0" borderId="0"/>
    <xf numFmtId="0" fontId="24" fillId="0" borderId="0"/>
    <xf numFmtId="0" fontId="20" fillId="0" borderId="0"/>
    <xf numFmtId="0" fontId="15" fillId="0" borderId="0"/>
    <xf numFmtId="0" fontId="32" fillId="0" borderId="0"/>
    <xf numFmtId="0" fontId="29" fillId="0" borderId="0"/>
    <xf numFmtId="0" fontId="20" fillId="0" borderId="0"/>
    <xf numFmtId="0" fontId="6" fillId="0" borderId="0"/>
    <xf numFmtId="0" fontId="6" fillId="0" borderId="0"/>
    <xf numFmtId="0" fontId="6" fillId="0" borderId="0"/>
    <xf numFmtId="0" fontId="6" fillId="0" borderId="0"/>
    <xf numFmtId="0" fontId="29" fillId="0" borderId="0" applyProtection="0"/>
    <xf numFmtId="0" fontId="20" fillId="0" borderId="0"/>
    <xf numFmtId="0" fontId="6" fillId="0" borderId="0"/>
    <xf numFmtId="0" fontId="6" fillId="0" borderId="0"/>
    <xf numFmtId="0" fontId="6" fillId="0" borderId="0"/>
    <xf numFmtId="0" fontId="6" fillId="0" borderId="0"/>
    <xf numFmtId="0" fontId="20" fillId="0" borderId="0"/>
    <xf numFmtId="0" fontId="20" fillId="0" borderId="0"/>
    <xf numFmtId="0" fontId="6" fillId="0" borderId="0"/>
    <xf numFmtId="0" fontId="6" fillId="0" borderId="0"/>
    <xf numFmtId="0" fontId="6" fillId="0" borderId="0"/>
    <xf numFmtId="0" fontId="6" fillId="0" borderId="0"/>
    <xf numFmtId="0" fontId="6" fillId="0" borderId="0"/>
    <xf numFmtId="0" fontId="6" fillId="0" borderId="0"/>
    <xf numFmtId="0" fontId="29" fillId="0" borderId="0"/>
    <xf numFmtId="0" fontId="29" fillId="0" borderId="0"/>
    <xf numFmtId="0" fontId="20" fillId="0" borderId="0"/>
    <xf numFmtId="0" fontId="20" fillId="0" borderId="0"/>
    <xf numFmtId="0" fontId="24" fillId="0" borderId="0"/>
    <xf numFmtId="0" fontId="25" fillId="0" borderId="0"/>
    <xf numFmtId="0" fontId="20" fillId="0" borderId="0"/>
    <xf numFmtId="0" fontId="20" fillId="0" borderId="0"/>
    <xf numFmtId="0" fontId="15" fillId="0" borderId="0"/>
    <xf numFmtId="0" fontId="24" fillId="0" borderId="0"/>
    <xf numFmtId="0" fontId="15" fillId="0" borderId="0"/>
    <xf numFmtId="0" fontId="24" fillId="0" borderId="0"/>
    <xf numFmtId="0" fontId="15" fillId="0" borderId="0"/>
    <xf numFmtId="0" fontId="22" fillId="0" borderId="0"/>
    <xf numFmtId="0" fontId="15" fillId="0" borderId="0"/>
    <xf numFmtId="0" fontId="24" fillId="0" borderId="0"/>
    <xf numFmtId="0" fontId="24" fillId="0" borderId="0"/>
    <xf numFmtId="0" fontId="24" fillId="0" borderId="0"/>
    <xf numFmtId="0" fontId="24" fillId="0" borderId="0"/>
    <xf numFmtId="0" fontId="15" fillId="0" borderId="0"/>
    <xf numFmtId="0" fontId="15" fillId="0" borderId="0"/>
    <xf numFmtId="0" fontId="15" fillId="0" borderId="0"/>
    <xf numFmtId="0" fontId="15" fillId="0" borderId="0"/>
    <xf numFmtId="0" fontId="15"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24" fillId="0" borderId="0"/>
    <xf numFmtId="0" fontId="24" fillId="0" borderId="0"/>
    <xf numFmtId="0" fontId="24" fillId="0" borderId="0"/>
    <xf numFmtId="0" fontId="24" fillId="0" borderId="0"/>
    <xf numFmtId="0" fontId="20" fillId="0" borderId="0"/>
    <xf numFmtId="0" fontId="20" fillId="0" borderId="0"/>
    <xf numFmtId="0" fontId="24" fillId="0" borderId="0"/>
    <xf numFmtId="0" fontId="24" fillId="0" borderId="0"/>
    <xf numFmtId="0" fontId="24" fillId="0" borderId="0"/>
    <xf numFmtId="0" fontId="20" fillId="0" borderId="0"/>
    <xf numFmtId="0" fontId="24" fillId="0" borderId="0"/>
    <xf numFmtId="0" fontId="24" fillId="0" borderId="0"/>
    <xf numFmtId="0" fontId="24" fillId="0" borderId="0"/>
    <xf numFmtId="0" fontId="24" fillId="0" borderId="0"/>
    <xf numFmtId="0" fontId="24" fillId="0" borderId="0"/>
    <xf numFmtId="0" fontId="24" fillId="0" borderId="0"/>
    <xf numFmtId="0" fontId="15" fillId="0" borderId="0"/>
    <xf numFmtId="0" fontId="15" fillId="0" borderId="0"/>
    <xf numFmtId="0" fontId="24" fillId="0" borderId="0"/>
    <xf numFmtId="0" fontId="24" fillId="0" borderId="0"/>
    <xf numFmtId="0" fontId="24" fillId="0" borderId="0"/>
    <xf numFmtId="0" fontId="24" fillId="0" borderId="0"/>
    <xf numFmtId="0" fontId="24" fillId="0" borderId="0"/>
    <xf numFmtId="0" fontId="29" fillId="0" borderId="0" applyProtection="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0" fillId="0" borderId="0"/>
    <xf numFmtId="0" fontId="6" fillId="0" borderId="0"/>
    <xf numFmtId="0" fontId="6" fillId="0" borderId="0"/>
    <xf numFmtId="0" fontId="6" fillId="0" borderId="0"/>
    <xf numFmtId="0" fontId="6" fillId="0" borderId="0"/>
    <xf numFmtId="0" fontId="6" fillId="0" borderId="0"/>
    <xf numFmtId="0" fontId="24" fillId="0" borderId="0"/>
    <xf numFmtId="0" fontId="6" fillId="0" borderId="0"/>
    <xf numFmtId="0" fontId="6" fillId="0" borderId="0"/>
    <xf numFmtId="0" fontId="6" fillId="0" borderId="0"/>
    <xf numFmtId="0" fontId="6" fillId="0" borderId="0"/>
    <xf numFmtId="0" fontId="6" fillId="0" borderId="0"/>
    <xf numFmtId="0" fontId="6" fillId="0" borderId="0"/>
    <xf numFmtId="0" fontId="24" fillId="0" borderId="0"/>
    <xf numFmtId="0" fontId="24" fillId="0" borderId="0"/>
    <xf numFmtId="0" fontId="24" fillId="0" borderId="0"/>
    <xf numFmtId="0" fontId="24" fillId="0" borderId="0"/>
    <xf numFmtId="0" fontId="24" fillId="0" borderId="0"/>
    <xf numFmtId="0" fontId="6" fillId="0" borderId="0"/>
    <xf numFmtId="0" fontId="6" fillId="0" borderId="0"/>
    <xf numFmtId="0" fontId="15" fillId="0" borderId="0"/>
    <xf numFmtId="0" fontId="101" fillId="0" borderId="0"/>
    <xf numFmtId="0" fontId="15" fillId="0" borderId="0"/>
    <xf numFmtId="0" fontId="101" fillId="0" borderId="0"/>
    <xf numFmtId="0" fontId="15" fillId="0" borderId="0"/>
    <xf numFmtId="0" fontId="101" fillId="0" borderId="0"/>
    <xf numFmtId="0" fontId="101" fillId="0" borderId="0"/>
    <xf numFmtId="0" fontId="15" fillId="0" borderId="0"/>
    <xf numFmtId="0" fontId="22" fillId="0" borderId="0"/>
    <xf numFmtId="0" fontId="25" fillId="0" borderId="0"/>
    <xf numFmtId="0" fontId="20" fillId="0" borderId="0"/>
    <xf numFmtId="0" fontId="25" fillId="0" borderId="0"/>
    <xf numFmtId="0" fontId="20" fillId="0" borderId="0"/>
    <xf numFmtId="0" fontId="29" fillId="0" borderId="0"/>
    <xf numFmtId="0" fontId="29" fillId="0" borderId="0" applyProtection="0"/>
    <xf numFmtId="0" fontId="29" fillId="0" borderId="0"/>
    <xf numFmtId="0" fontId="29" fillId="0" borderId="0" applyProtection="0"/>
    <xf numFmtId="0" fontId="20" fillId="0" borderId="0"/>
    <xf numFmtId="0" fontId="29" fillId="0" borderId="0" applyProtection="0"/>
    <xf numFmtId="0" fontId="32" fillId="0" borderId="0"/>
    <xf numFmtId="0" fontId="20" fillId="0" borderId="0"/>
    <xf numFmtId="0" fontId="29" fillId="0" borderId="0" applyProtection="0"/>
    <xf numFmtId="0" fontId="29" fillId="0" borderId="0"/>
    <xf numFmtId="0" fontId="32" fillId="0" borderId="0"/>
    <xf numFmtId="0" fontId="29" fillId="0" borderId="0" applyProtection="0"/>
    <xf numFmtId="0" fontId="32" fillId="0" borderId="0"/>
    <xf numFmtId="0" fontId="29" fillId="0" borderId="0" applyProtection="0"/>
    <xf numFmtId="0" fontId="24" fillId="0" borderId="0"/>
    <xf numFmtId="0" fontId="29" fillId="0" borderId="0" applyProtection="0"/>
    <xf numFmtId="0" fontId="20" fillId="0" borderId="0"/>
    <xf numFmtId="0" fontId="176" fillId="0" borderId="0"/>
    <xf numFmtId="0" fontId="24" fillId="0" borderId="0"/>
    <xf numFmtId="0" fontId="20" fillId="0" borderId="0"/>
    <xf numFmtId="0" fontId="172" fillId="0" borderId="0"/>
    <xf numFmtId="0" fontId="20" fillId="0" borderId="0"/>
    <xf numFmtId="0" fontId="20" fillId="0" borderId="0"/>
    <xf numFmtId="0" fontId="20" fillId="0" borderId="0"/>
    <xf numFmtId="0" fontId="20" fillId="0" borderId="0"/>
    <xf numFmtId="0" fontId="20" fillId="0" borderId="0"/>
    <xf numFmtId="0" fontId="24" fillId="0" borderId="0"/>
    <xf numFmtId="0" fontId="20" fillId="0" borderId="0"/>
    <xf numFmtId="0" fontId="30" fillId="0" borderId="0"/>
    <xf numFmtId="0" fontId="25" fillId="0" borderId="0"/>
    <xf numFmtId="0" fontId="20" fillId="0" borderId="0"/>
    <xf numFmtId="0" fontId="78" fillId="0" borderId="0"/>
    <xf numFmtId="0" fontId="78" fillId="0" borderId="0" applyProtection="0"/>
    <xf numFmtId="0" fontId="24" fillId="0" borderId="0" applyProtection="0"/>
    <xf numFmtId="0" fontId="6" fillId="0" borderId="0"/>
    <xf numFmtId="0" fontId="6" fillId="0" borderId="0"/>
    <xf numFmtId="0" fontId="6" fillId="0" borderId="0"/>
    <xf numFmtId="0" fontId="6" fillId="0" borderId="0"/>
    <xf numFmtId="0" fontId="6" fillId="0" borderId="0"/>
    <xf numFmtId="0" fontId="164" fillId="0" borderId="0"/>
    <xf numFmtId="0" fontId="20" fillId="0" borderId="0"/>
    <xf numFmtId="0" fontId="78" fillId="0" borderId="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9" fillId="0" borderId="0"/>
    <xf numFmtId="0" fontId="6" fillId="0" borderId="0"/>
    <xf numFmtId="0" fontId="6" fillId="0" borderId="0"/>
    <xf numFmtId="0" fontId="29" fillId="0" borderId="0"/>
    <xf numFmtId="0" fontId="18" fillId="0" borderId="0"/>
    <xf numFmtId="0" fontId="29" fillId="0" borderId="0"/>
    <xf numFmtId="0" fontId="29" fillId="0" borderId="0"/>
    <xf numFmtId="0" fontId="29" fillId="0" borderId="0"/>
    <xf numFmtId="0" fontId="13" fillId="0" borderId="0"/>
    <xf numFmtId="0" fontId="13" fillId="0" borderId="0"/>
    <xf numFmtId="0" fontId="24" fillId="0" borderId="0" applyProtection="0"/>
    <xf numFmtId="0" fontId="13" fillId="0" borderId="0"/>
    <xf numFmtId="0" fontId="13" fillId="0" borderId="0"/>
    <xf numFmtId="0" fontId="13" fillId="0" borderId="0"/>
    <xf numFmtId="0" fontId="13" fillId="0" borderId="0"/>
    <xf numFmtId="0" fontId="29" fillId="0" borderId="0"/>
    <xf numFmtId="0" fontId="13" fillId="0" borderId="0"/>
    <xf numFmtId="0" fontId="13" fillId="0" borderId="0"/>
    <xf numFmtId="0" fontId="29" fillId="0" borderId="0"/>
    <xf numFmtId="0" fontId="6" fillId="0" borderId="0"/>
    <xf numFmtId="0" fontId="6" fillId="0" borderId="0"/>
    <xf numFmtId="0" fontId="6" fillId="0" borderId="0"/>
    <xf numFmtId="0" fontId="6" fillId="0" borderId="0"/>
    <xf numFmtId="0" fontId="2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0"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0" fillId="0" borderId="0"/>
    <xf numFmtId="0" fontId="29" fillId="0" borderId="0"/>
    <xf numFmtId="0" fontId="20" fillId="0" borderId="0"/>
    <xf numFmtId="0" fontId="20" fillId="0" borderId="0"/>
    <xf numFmtId="0" fontId="43" fillId="0" borderId="0"/>
    <xf numFmtId="0" fontId="20" fillId="0" borderId="0"/>
    <xf numFmtId="0" fontId="20" fillId="0" borderId="0"/>
    <xf numFmtId="0" fontId="6" fillId="0" borderId="0"/>
    <xf numFmtId="0" fontId="6" fillId="0" borderId="0"/>
    <xf numFmtId="0" fontId="97" fillId="0" borderId="0"/>
    <xf numFmtId="0" fontId="20" fillId="0" borderId="0"/>
    <xf numFmtId="0" fontId="29"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0" fillId="0" borderId="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9" fillId="0" borderId="0"/>
    <xf numFmtId="0" fontId="29" fillId="0" borderId="0"/>
    <xf numFmtId="0" fontId="6" fillId="0" borderId="0"/>
    <xf numFmtId="0" fontId="6" fillId="0" borderId="0"/>
    <xf numFmtId="0" fontId="29" fillId="0" borderId="0"/>
    <xf numFmtId="0" fontId="177" fillId="0" borderId="0" applyNumberFormat="0" applyFill="0" applyBorder="0" applyProtection="0">
      <alignment vertical="top"/>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0"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24" fillId="0" borderId="0"/>
    <xf numFmtId="0" fontId="24" fillId="0" borderId="0"/>
    <xf numFmtId="0" fontId="24" fillId="0" borderId="0"/>
    <xf numFmtId="0" fontId="24" fillId="0" borderId="0"/>
    <xf numFmtId="0" fontId="24" fillId="0" borderId="0"/>
    <xf numFmtId="0" fontId="24" fillId="0" borderId="0"/>
    <xf numFmtId="0" fontId="23" fillId="0" borderId="0"/>
    <xf numFmtId="0" fontId="23" fillId="0" borderId="0"/>
    <xf numFmtId="0" fontId="24" fillId="0" borderId="0"/>
    <xf numFmtId="0" fontId="24" fillId="0" borderId="0"/>
    <xf numFmtId="0" fontId="24" fillId="0" borderId="0"/>
    <xf numFmtId="0" fontId="24" fillId="0" borderId="0"/>
    <xf numFmtId="0" fontId="24" fillId="0" borderId="0"/>
    <xf numFmtId="0" fontId="24" fillId="0" borderId="0"/>
    <xf numFmtId="0" fontId="30" fillId="0" borderId="0"/>
    <xf numFmtId="0" fontId="24" fillId="0" borderId="0"/>
    <xf numFmtId="0" fontId="32" fillId="0" borderId="0"/>
    <xf numFmtId="0" fontId="32" fillId="0" borderId="0"/>
    <xf numFmtId="0" fontId="24"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0"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0" fillId="0" borderId="0"/>
    <xf numFmtId="0" fontId="20"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6" fillId="0" borderId="0"/>
    <xf numFmtId="0" fontId="6" fillId="0" borderId="0"/>
    <xf numFmtId="0" fontId="6" fillId="0" borderId="0"/>
    <xf numFmtId="0" fontId="6" fillId="0" borderId="0"/>
    <xf numFmtId="0" fontId="25" fillId="0" borderId="0"/>
    <xf numFmtId="0" fontId="6" fillId="0" borderId="0"/>
    <xf numFmtId="0" fontId="6" fillId="0" borderId="0"/>
    <xf numFmtId="0" fontId="6" fillId="0" borderId="0"/>
    <xf numFmtId="0" fontId="25" fillId="0" borderId="0"/>
    <xf numFmtId="0" fontId="25" fillId="0" borderId="0"/>
    <xf numFmtId="0" fontId="25" fillId="0" borderId="0"/>
    <xf numFmtId="0" fontId="25" fillId="0" borderId="0"/>
    <xf numFmtId="0" fontId="20" fillId="0" borderId="0"/>
    <xf numFmtId="0" fontId="30" fillId="0" borderId="0"/>
    <xf numFmtId="0" fontId="60" fillId="0" borderId="0" applyFont="0"/>
    <xf numFmtId="0" fontId="178" fillId="0" borderId="0">
      <alignment horizontal="left" vertical="top"/>
    </xf>
    <xf numFmtId="0" fontId="35" fillId="28" borderId="0"/>
    <xf numFmtId="0" fontId="118" fillId="0" borderId="0"/>
    <xf numFmtId="0" fontId="24" fillId="33" borderId="32" applyNumberFormat="0" applyFont="0" applyAlignment="0" applyProtection="0"/>
    <xf numFmtId="0" fontId="24" fillId="33" borderId="32" applyNumberFormat="0" applyFont="0" applyAlignment="0" applyProtection="0"/>
    <xf numFmtId="0" fontId="24" fillId="33" borderId="32" applyNumberFormat="0" applyFont="0" applyAlignment="0" applyProtection="0"/>
    <xf numFmtId="0" fontId="24" fillId="33" borderId="32" applyNumberFormat="0" applyFont="0" applyAlignment="0" applyProtection="0"/>
    <xf numFmtId="0" fontId="24" fillId="33" borderId="32" applyNumberFormat="0" applyFont="0" applyAlignment="0" applyProtection="0"/>
    <xf numFmtId="0" fontId="24" fillId="33" borderId="32" applyNumberFormat="0" applyFont="0" applyAlignment="0" applyProtection="0"/>
    <xf numFmtId="0" fontId="164" fillId="27" borderId="32" applyNumberFormat="0" applyFont="0" applyAlignment="0" applyProtection="0"/>
    <xf numFmtId="307" fontId="179" fillId="0" borderId="0" applyFont="0" applyFill="0" applyBorder="0" applyProtection="0">
      <alignment vertical="top" wrapText="1"/>
    </xf>
    <xf numFmtId="0" fontId="180" fillId="0" borderId="36" applyNumberFormat="0" applyFill="0" applyAlignment="0" applyProtection="0"/>
    <xf numFmtId="0" fontId="22" fillId="0" borderId="0"/>
    <xf numFmtId="0" fontId="22" fillId="0" borderId="0"/>
    <xf numFmtId="0" fontId="22" fillId="0" borderId="0" applyProtection="0"/>
    <xf numFmtId="0" fontId="22" fillId="0" borderId="0" applyProtection="0"/>
    <xf numFmtId="180" fontId="59" fillId="0" borderId="0" applyFont="0" applyFill="0" applyBorder="0" applyAlignment="0" applyProtection="0"/>
    <xf numFmtId="179" fontId="59" fillId="0" borderId="0" applyFon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84" fillId="0" borderId="0" applyNumberFormat="0" applyFill="0" applyBorder="0" applyAlignment="0" applyProtection="0"/>
    <xf numFmtId="0" fontId="30"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84" fillId="0" borderId="0" applyNumberFormat="0" applyFill="0" applyBorder="0" applyAlignment="0" applyProtection="0"/>
    <xf numFmtId="0" fontId="30" fillId="0" borderId="0" applyNumberFormat="0" applyFill="0" applyBorder="0" applyAlignment="0" applyProtection="0"/>
    <xf numFmtId="0" fontId="91" fillId="0" borderId="0" applyProtection="0"/>
    <xf numFmtId="0" fontId="20" fillId="0" borderId="0" applyFont="0" applyFill="0" applyBorder="0" applyAlignment="0" applyProtection="0"/>
    <xf numFmtId="0" fontId="23" fillId="0" borderId="0"/>
    <xf numFmtId="0" fontId="181" fillId="24" borderId="25" applyNumberFormat="0" applyAlignment="0" applyProtection="0"/>
    <xf numFmtId="166" fontId="182" fillId="0" borderId="11" applyFont="0" applyBorder="0" applyAlignment="0"/>
    <xf numFmtId="166" fontId="182" fillId="0" borderId="11" applyFont="0" applyBorder="0" applyAlignment="0"/>
    <xf numFmtId="166" fontId="182" fillId="0" borderId="11" applyFont="0" applyBorder="0" applyAlignment="0"/>
    <xf numFmtId="0" fontId="183" fillId="28" borderId="0"/>
    <xf numFmtId="0" fontId="101" fillId="28" borderId="0"/>
    <xf numFmtId="0" fontId="101" fillId="28" borderId="0"/>
    <xf numFmtId="41"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295" fontId="20" fillId="0" borderId="0" applyFont="0" applyFill="0" applyBorder="0" applyAlignment="0" applyProtection="0"/>
    <xf numFmtId="14" fontId="79" fillId="0" borderId="0">
      <alignment horizontal="center" wrapText="1"/>
      <protection locked="0"/>
    </xf>
    <xf numFmtId="14" fontId="79" fillId="0" borderId="0">
      <alignment horizontal="center" wrapText="1"/>
      <protection locked="0"/>
    </xf>
    <xf numFmtId="308" fontId="91" fillId="0" borderId="0" applyFont="0" applyFill="0" applyBorder="0" applyAlignment="0" applyProtection="0"/>
    <xf numFmtId="309" fontId="17" fillId="0" borderId="0" applyFont="0" applyFill="0" applyBorder="0" applyAlignment="0" applyProtection="0"/>
    <xf numFmtId="310" fontId="98"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1" fontId="20" fillId="0" borderId="0" applyFont="0" applyFill="0" applyBorder="0" applyAlignment="0" applyProtection="0"/>
    <xf numFmtId="31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232" fontId="20" fillId="0" borderId="0" applyFont="0" applyFill="0" applyBorder="0" applyAlignment="0" applyProtection="0"/>
    <xf numFmtId="313"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314"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9" fillId="0" borderId="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10" fontId="20" fillId="0" borderId="0" applyFont="0" applyFill="0" applyBorder="0" applyAlignment="0" applyProtection="0"/>
    <xf numFmtId="315" fontId="98" fillId="0" borderId="0" applyFont="0" applyFill="0" applyBorder="0" applyAlignment="0" applyProtection="0"/>
    <xf numFmtId="316" fontId="17" fillId="0" borderId="0" applyFont="0" applyFill="0" applyBorder="0" applyAlignment="0" applyProtection="0"/>
    <xf numFmtId="317" fontId="98" fillId="0" borderId="0" applyFont="0" applyFill="0" applyBorder="0" applyAlignment="0" applyProtection="0"/>
    <xf numFmtId="318" fontId="17" fillId="0" borderId="0" applyFont="0" applyFill="0" applyBorder="0" applyAlignment="0" applyProtection="0"/>
    <xf numFmtId="319" fontId="98" fillId="0" borderId="0" applyFont="0" applyFill="0" applyBorder="0" applyAlignment="0" applyProtection="0"/>
    <xf numFmtId="320" fontId="17"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20" fillId="0" borderId="0" applyFont="0" applyFill="0" applyBorder="0" applyAlignment="0" applyProtection="0"/>
    <xf numFmtId="9" fontId="6"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9"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55" fillId="0" borderId="37" applyNumberFormat="0" applyBorder="0"/>
    <xf numFmtId="9" fontId="55" fillId="0" borderId="37" applyNumberFormat="0" applyBorder="0"/>
    <xf numFmtId="0" fontId="20" fillId="0" borderId="0"/>
    <xf numFmtId="182" fontId="35"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58" fontId="35"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182" fontId="35"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234" fontId="20" fillId="0" borderId="0" applyFill="0" applyBorder="0" applyAlignment="0"/>
    <xf numFmtId="321" fontId="35"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36" fontId="20" fillId="0" borderId="0" applyFill="0" applyBorder="0" applyAlignment="0"/>
    <xf numFmtId="258" fontId="35"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226" fontId="20" fillId="0" borderId="0" applyFill="0" applyBorder="0" applyAlignment="0"/>
    <xf numFmtId="0" fontId="184" fillId="0" borderId="0"/>
    <xf numFmtId="0" fontId="185" fillId="0" borderId="0"/>
    <xf numFmtId="0" fontId="55" fillId="0" borderId="0" applyNumberFormat="0" applyFont="0" applyFill="0" applyBorder="0" applyAlignment="0" applyProtection="0">
      <alignment horizontal="left"/>
    </xf>
    <xf numFmtId="0" fontId="186" fillId="0" borderId="33">
      <alignment horizontal="center"/>
    </xf>
    <xf numFmtId="1" fontId="164" fillId="0" borderId="5" applyNumberFormat="0" applyFill="0" applyAlignment="0" applyProtection="0">
      <alignment horizontal="center" vertical="center"/>
    </xf>
    <xf numFmtId="0" fontId="187" fillId="34" borderId="0" applyNumberFormat="0" applyFont="0" applyBorder="0" applyAlignment="0">
      <alignment horizontal="center"/>
    </xf>
    <xf numFmtId="0" fontId="187" fillId="34" borderId="0" applyNumberFormat="0" applyFont="0" applyBorder="0" applyAlignment="0">
      <alignment horizontal="center"/>
    </xf>
    <xf numFmtId="14" fontId="188" fillId="0" borderId="0" applyNumberFormat="0" applyFill="0" applyBorder="0" applyAlignment="0" applyProtection="0">
      <alignment horizontal="left"/>
    </xf>
    <xf numFmtId="0" fontId="153" fillId="0" borderId="0"/>
    <xf numFmtId="0" fontId="22" fillId="0" borderId="0"/>
    <xf numFmtId="41" fontId="52" fillId="0" borderId="0" applyFont="0" applyFill="0" applyBorder="0" applyAlignment="0" applyProtection="0"/>
    <xf numFmtId="213" fontId="52" fillId="0" borderId="0" applyFon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Protection="0"/>
    <xf numFmtId="209" fontId="52" fillId="0" borderId="0" applyFont="0" applyFill="0" applyBorder="0" applyAlignment="0" applyProtection="0"/>
    <xf numFmtId="41" fontId="29" fillId="0" borderId="0" applyProtection="0"/>
    <xf numFmtId="4" fontId="189" fillId="35" borderId="38" applyNumberFormat="0" applyProtection="0">
      <alignment vertical="center"/>
    </xf>
    <xf numFmtId="4" fontId="189" fillId="35" borderId="38" applyNumberFormat="0" applyProtection="0">
      <alignment vertical="center"/>
    </xf>
    <xf numFmtId="4" fontId="190" fillId="35" borderId="38" applyNumberFormat="0" applyProtection="0">
      <alignment vertical="center"/>
    </xf>
    <xf numFmtId="4" fontId="190" fillId="35" borderId="38" applyNumberFormat="0" applyProtection="0">
      <alignment vertical="center"/>
    </xf>
    <xf numFmtId="4" fontId="191" fillId="35" borderId="38" applyNumberFormat="0" applyProtection="0">
      <alignment horizontal="left" vertical="center" indent="1"/>
    </xf>
    <xf numFmtId="4" fontId="191" fillId="35" borderId="38" applyNumberFormat="0" applyProtection="0">
      <alignment horizontal="left" vertical="center" indent="1"/>
    </xf>
    <xf numFmtId="4" fontId="191" fillId="36" borderId="0" applyNumberFormat="0" applyProtection="0">
      <alignment horizontal="left" vertical="center" indent="1"/>
    </xf>
    <xf numFmtId="4" fontId="191" fillId="36" borderId="0" applyNumberFormat="0" applyProtection="0">
      <alignment horizontal="left" vertical="center" indent="1"/>
    </xf>
    <xf numFmtId="4" fontId="191" fillId="37" borderId="38" applyNumberFormat="0" applyProtection="0">
      <alignment horizontal="right" vertical="center"/>
    </xf>
    <xf numFmtId="4" fontId="191" fillId="37" borderId="38" applyNumberFormat="0" applyProtection="0">
      <alignment horizontal="right" vertical="center"/>
    </xf>
    <xf numFmtId="4" fontId="191" fillId="38" borderId="38" applyNumberFormat="0" applyProtection="0">
      <alignment horizontal="right" vertical="center"/>
    </xf>
    <xf numFmtId="4" fontId="191" fillId="38" borderId="38" applyNumberFormat="0" applyProtection="0">
      <alignment horizontal="right" vertical="center"/>
    </xf>
    <xf numFmtId="4" fontId="191" fillId="39" borderId="38" applyNumberFormat="0" applyProtection="0">
      <alignment horizontal="right" vertical="center"/>
    </xf>
    <xf numFmtId="4" fontId="191" fillId="39" borderId="38" applyNumberFormat="0" applyProtection="0">
      <alignment horizontal="right" vertical="center"/>
    </xf>
    <xf numFmtId="4" fontId="191" fillId="40" borderId="38" applyNumberFormat="0" applyProtection="0">
      <alignment horizontal="right" vertical="center"/>
    </xf>
    <xf numFmtId="4" fontId="191" fillId="40" borderId="38" applyNumberFormat="0" applyProtection="0">
      <alignment horizontal="right" vertical="center"/>
    </xf>
    <xf numFmtId="4" fontId="191" fillId="41" borderId="38" applyNumberFormat="0" applyProtection="0">
      <alignment horizontal="right" vertical="center"/>
    </xf>
    <xf numFmtId="4" fontId="191" fillId="41" borderId="38" applyNumberFormat="0" applyProtection="0">
      <alignment horizontal="right" vertical="center"/>
    </xf>
    <xf numFmtId="4" fontId="191" fillId="42" borderId="38" applyNumberFormat="0" applyProtection="0">
      <alignment horizontal="right" vertical="center"/>
    </xf>
    <xf numFmtId="4" fontId="191" fillId="42" borderId="38" applyNumberFormat="0" applyProtection="0">
      <alignment horizontal="right" vertical="center"/>
    </xf>
    <xf numFmtId="4" fontId="191" fillId="43" borderId="38" applyNumberFormat="0" applyProtection="0">
      <alignment horizontal="right" vertical="center"/>
    </xf>
    <xf numFmtId="4" fontId="191" fillId="43" borderId="38" applyNumberFormat="0" applyProtection="0">
      <alignment horizontal="right" vertical="center"/>
    </xf>
    <xf numFmtId="4" fontId="191" fillId="44" borderId="38" applyNumberFormat="0" applyProtection="0">
      <alignment horizontal="right" vertical="center"/>
    </xf>
    <xf numFmtId="4" fontId="191" fillId="44" borderId="38" applyNumberFormat="0" applyProtection="0">
      <alignment horizontal="right" vertical="center"/>
    </xf>
    <xf numFmtId="4" fontId="191" fillId="45" borderId="38" applyNumberFormat="0" applyProtection="0">
      <alignment horizontal="right" vertical="center"/>
    </xf>
    <xf numFmtId="4" fontId="191" fillId="45" borderId="38" applyNumberFormat="0" applyProtection="0">
      <alignment horizontal="right" vertical="center"/>
    </xf>
    <xf numFmtId="4" fontId="189" fillId="46" borderId="39" applyNumberFormat="0" applyProtection="0">
      <alignment horizontal="left" vertical="center" indent="1"/>
    </xf>
    <xf numFmtId="4" fontId="189" fillId="46" borderId="39" applyNumberFormat="0" applyProtection="0">
      <alignment horizontal="left" vertical="center" indent="1"/>
    </xf>
    <xf numFmtId="4" fontId="189" fillId="47" borderId="0" applyNumberFormat="0" applyProtection="0">
      <alignment horizontal="left" vertical="center" indent="1"/>
    </xf>
    <xf numFmtId="4" fontId="189" fillId="47" borderId="0" applyNumberFormat="0" applyProtection="0">
      <alignment horizontal="left" vertical="center" indent="1"/>
    </xf>
    <xf numFmtId="4" fontId="189" fillId="36" borderId="0" applyNumberFormat="0" applyProtection="0">
      <alignment horizontal="left" vertical="center" indent="1"/>
    </xf>
    <xf numFmtId="4" fontId="189" fillId="36" borderId="0" applyNumberFormat="0" applyProtection="0">
      <alignment horizontal="left" vertical="center" indent="1"/>
    </xf>
    <xf numFmtId="4" fontId="191" fillId="47" borderId="38" applyNumberFormat="0" applyProtection="0">
      <alignment horizontal="right" vertical="center"/>
    </xf>
    <xf numFmtId="4" fontId="191" fillId="47" borderId="38" applyNumberFormat="0" applyProtection="0">
      <alignment horizontal="right" vertical="center"/>
    </xf>
    <xf numFmtId="4" fontId="53" fillId="47" borderId="0" applyNumberFormat="0" applyProtection="0">
      <alignment horizontal="left" vertical="center" indent="1"/>
    </xf>
    <xf numFmtId="4" fontId="53" fillId="47" borderId="0" applyNumberFormat="0" applyProtection="0">
      <alignment horizontal="left" vertical="center" indent="1"/>
    </xf>
    <xf numFmtId="4" fontId="53" fillId="36" borderId="0" applyNumberFormat="0" applyProtection="0">
      <alignment horizontal="left" vertical="center" indent="1"/>
    </xf>
    <xf numFmtId="4" fontId="53" fillId="36" borderId="0" applyNumberFormat="0" applyProtection="0">
      <alignment horizontal="left" vertical="center" indent="1"/>
    </xf>
    <xf numFmtId="4" fontId="191" fillId="48" borderId="38" applyNumberFormat="0" applyProtection="0">
      <alignment vertical="center"/>
    </xf>
    <xf numFmtId="4" fontId="191" fillId="48" borderId="38" applyNumberFormat="0" applyProtection="0">
      <alignment vertical="center"/>
    </xf>
    <xf numFmtId="4" fontId="192" fillId="48" borderId="38" applyNumberFormat="0" applyProtection="0">
      <alignment vertical="center"/>
    </xf>
    <xf numFmtId="4" fontId="192" fillId="48" borderId="38" applyNumberFormat="0" applyProtection="0">
      <alignment vertical="center"/>
    </xf>
    <xf numFmtId="4" fontId="189" fillId="47" borderId="40" applyNumberFormat="0" applyProtection="0">
      <alignment horizontal="left" vertical="center" indent="1"/>
    </xf>
    <xf numFmtId="4" fontId="189" fillId="47" borderId="40" applyNumberFormat="0" applyProtection="0">
      <alignment horizontal="left" vertical="center" indent="1"/>
    </xf>
    <xf numFmtId="4" fontId="191" fillId="48" borderId="38" applyNumberFormat="0" applyProtection="0">
      <alignment horizontal="right" vertical="center"/>
    </xf>
    <xf numFmtId="4" fontId="191" fillId="48" borderId="38" applyNumberFormat="0" applyProtection="0">
      <alignment horizontal="right" vertical="center"/>
    </xf>
    <xf numFmtId="4" fontId="192" fillId="48" borderId="38" applyNumberFormat="0" applyProtection="0">
      <alignment horizontal="right" vertical="center"/>
    </xf>
    <xf numFmtId="4" fontId="192" fillId="48" borderId="38" applyNumberFormat="0" applyProtection="0">
      <alignment horizontal="right" vertical="center"/>
    </xf>
    <xf numFmtId="4" fontId="189" fillId="47" borderId="38" applyNumberFormat="0" applyProtection="0">
      <alignment horizontal="left" vertical="center" indent="1"/>
    </xf>
    <xf numFmtId="4" fontId="189" fillId="47" borderId="38" applyNumberFormat="0" applyProtection="0">
      <alignment horizontal="left" vertical="center" indent="1"/>
    </xf>
    <xf numFmtId="4" fontId="193" fillId="31" borderId="40" applyNumberFormat="0" applyProtection="0">
      <alignment horizontal="left" vertical="center" indent="1"/>
    </xf>
    <xf numFmtId="4" fontId="193" fillId="31" borderId="40" applyNumberFormat="0" applyProtection="0">
      <alignment horizontal="left" vertical="center" indent="1"/>
    </xf>
    <xf numFmtId="4" fontId="194" fillId="48" borderId="38" applyNumberFormat="0" applyProtection="0">
      <alignment horizontal="right" vertical="center"/>
    </xf>
    <xf numFmtId="4" fontId="194" fillId="48" borderId="38" applyNumberFormat="0" applyProtection="0">
      <alignment horizontal="right" vertical="center"/>
    </xf>
    <xf numFmtId="322" fontId="195" fillId="0" borderId="0" applyFont="0" applyFill="0" applyBorder="0" applyAlignment="0" applyProtection="0"/>
    <xf numFmtId="0" fontId="187" fillId="1" borderId="15" applyNumberFormat="0" applyFont="0" applyAlignment="0">
      <alignment horizontal="center"/>
    </xf>
    <xf numFmtId="0" fontId="187" fillId="1" borderId="15" applyNumberFormat="0" applyFont="0" applyAlignment="0">
      <alignment horizontal="center"/>
    </xf>
    <xf numFmtId="4" fontId="20" fillId="0" borderId="5" applyBorder="0"/>
    <xf numFmtId="2" fontId="20" fillId="0" borderId="5"/>
    <xf numFmtId="3" fontId="40" fillId="0" borderId="0"/>
    <xf numFmtId="0" fontId="196" fillId="0" borderId="0" applyNumberFormat="0" applyFill="0" applyBorder="0" applyAlignment="0">
      <alignment horizontal="center"/>
    </xf>
    <xf numFmtId="0" fontId="20" fillId="0" borderId="0"/>
    <xf numFmtId="1" fontId="20" fillId="0" borderId="0"/>
    <xf numFmtId="166" fontId="197" fillId="0" borderId="0" applyNumberFormat="0" applyBorder="0" applyAlignment="0">
      <alignment horizontal="centerContinuous"/>
    </xf>
    <xf numFmtId="0" fontId="24" fillId="0" borderId="0"/>
    <xf numFmtId="0" fontId="22" fillId="0" borderId="0" applyNumberFormat="0" applyFill="0" applyBorder="0" applyAlignment="0" applyProtection="0"/>
    <xf numFmtId="0" fontId="22" fillId="0" borderId="0" applyNumberFormat="0" applyFill="0" applyBorder="0" applyAlignment="0" applyProtection="0"/>
    <xf numFmtId="166" fontId="61" fillId="0" borderId="0" applyFont="0" applyFill="0" applyBorder="0" applyAlignment="0" applyProtection="0"/>
    <xf numFmtId="21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41" fontId="52" fillId="0" borderId="0" applyFont="0" applyFill="0" applyBorder="0" applyAlignment="0" applyProtection="0"/>
    <xf numFmtId="213" fontId="52" fillId="0" borderId="0" applyFont="0" applyFill="0" applyBorder="0" applyAlignment="0" applyProtection="0"/>
    <xf numFmtId="214" fontId="52" fillId="0" borderId="0" applyFont="0" applyFill="0" applyBorder="0" applyAlignment="0" applyProtection="0"/>
    <xf numFmtId="210" fontId="52" fillId="0" borderId="0" applyFont="0" applyFill="0" applyBorder="0" applyAlignment="0" applyProtection="0"/>
    <xf numFmtId="210"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41" fontId="52" fillId="0" borderId="0" applyFont="0" applyFill="0" applyBorder="0" applyAlignment="0" applyProtection="0"/>
    <xf numFmtId="179" fontId="30" fillId="0" borderId="0" applyFont="0" applyFill="0" applyBorder="0" applyAlignment="0" applyProtection="0"/>
    <xf numFmtId="187" fontId="52"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79" fontId="30" fillId="0" borderId="0" applyFont="0" applyFill="0" applyBorder="0" applyAlignment="0" applyProtection="0"/>
    <xf numFmtId="187" fontId="52" fillId="0" borderId="0" applyFont="0" applyFill="0" applyBorder="0" applyAlignment="0" applyProtection="0"/>
    <xf numFmtId="188"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204" fontId="52" fillId="0" borderId="0" applyFont="0" applyFill="0" applyBorder="0" applyAlignment="0" applyProtection="0"/>
    <xf numFmtId="191" fontId="52" fillId="0" borderId="0" applyFont="0" applyFill="0" applyBorder="0" applyAlignment="0" applyProtection="0"/>
    <xf numFmtId="191" fontId="52" fillId="0" borderId="0" applyFont="0" applyFill="0" applyBorder="0" applyAlignment="0" applyProtection="0"/>
    <xf numFmtId="179" fontId="30" fillId="0" borderId="0" applyFont="0" applyFill="0" applyBorder="0" applyAlignment="0" applyProtection="0"/>
    <xf numFmtId="187" fontId="52" fillId="0" borderId="0" applyFont="0" applyFill="0" applyBorder="0" applyAlignment="0" applyProtection="0"/>
    <xf numFmtId="42" fontId="52" fillId="0" borderId="0" applyFont="0" applyFill="0" applyBorder="0" applyAlignment="0" applyProtection="0"/>
    <xf numFmtId="0" fontId="22" fillId="0" borderId="0"/>
    <xf numFmtId="323" fontId="84"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66" fontId="61" fillId="0" borderId="0" applyFont="0" applyFill="0" applyBorder="0" applyAlignment="0" applyProtection="0"/>
    <xf numFmtId="208"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188"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166" fontId="61" fillId="0" borderId="0" applyFont="0" applyFill="0" applyBorder="0" applyAlignment="0" applyProtection="0"/>
    <xf numFmtId="208" fontId="52" fillId="0" borderId="0" applyFont="0" applyFill="0" applyBorder="0" applyAlignment="0" applyProtection="0"/>
    <xf numFmtId="204" fontId="52" fillId="0" borderId="0" applyFont="0" applyFill="0" applyBorder="0" applyAlignment="0" applyProtection="0"/>
    <xf numFmtId="191" fontId="52" fillId="0" borderId="0" applyFont="0" applyFill="0" applyBorder="0" applyAlignment="0" applyProtection="0"/>
    <xf numFmtId="191" fontId="52" fillId="0" borderId="0" applyFont="0" applyFill="0" applyBorder="0" applyAlignment="0" applyProtection="0"/>
    <xf numFmtId="42" fontId="52" fillId="0" borderId="0" applyFont="0" applyFill="0" applyBorder="0" applyAlignment="0" applyProtection="0"/>
    <xf numFmtId="0" fontId="22" fillId="0" borderId="0"/>
    <xf numFmtId="323" fontId="84"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164" fontId="52" fillId="0" borderId="0" applyFont="0" applyFill="0" applyBorder="0" applyAlignment="0" applyProtection="0"/>
    <xf numFmtId="208"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213" fontId="52" fillId="0" borderId="0" applyFont="0" applyFill="0" applyBorder="0" applyAlignment="0" applyProtection="0"/>
    <xf numFmtId="166" fontId="61" fillId="0" borderId="0" applyFont="0" applyFill="0" applyBorder="0" applyAlignment="0" applyProtection="0"/>
    <xf numFmtId="206" fontId="52" fillId="0" borderId="0" applyFont="0" applyFill="0" applyBorder="0" applyAlignment="0" applyProtection="0"/>
    <xf numFmtId="164" fontId="52" fillId="0" borderId="0" applyFont="0" applyFill="0" applyBorder="0" applyAlignment="0" applyProtection="0"/>
    <xf numFmtId="206"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42" fontId="52" fillId="0" borderId="0" applyFont="0" applyFill="0" applyBorder="0" applyAlignment="0" applyProtection="0"/>
    <xf numFmtId="208" fontId="52" fillId="0" borderId="0" applyFont="0" applyFill="0" applyBorder="0" applyAlignment="0" applyProtection="0"/>
    <xf numFmtId="201" fontId="52" fillId="0" borderId="0" applyFont="0" applyFill="0" applyBorder="0" applyAlignment="0" applyProtection="0"/>
    <xf numFmtId="208" fontId="52" fillId="0" borderId="0" applyFont="0" applyFill="0" applyBorder="0" applyAlignment="0" applyProtection="0"/>
    <xf numFmtId="188" fontId="40" fillId="0" borderId="0" applyFont="0" applyFill="0" applyBorder="0" applyAlignment="0" applyProtection="0"/>
    <xf numFmtId="207" fontId="52" fillId="0" borderId="0" applyFont="0" applyFill="0" applyBorder="0" applyAlignment="0" applyProtection="0"/>
    <xf numFmtId="188" fontId="52" fillId="0" borderId="0" applyFont="0" applyFill="0" applyBorder="0" applyAlignment="0" applyProtection="0"/>
    <xf numFmtId="187" fontId="40" fillId="0" borderId="0" applyFont="0" applyFill="0" applyBorder="0" applyAlignment="0" applyProtection="0"/>
    <xf numFmtId="0" fontId="22" fillId="0" borderId="0"/>
    <xf numFmtId="211" fontId="52" fillId="0" borderId="0" applyFont="0" applyFill="0" applyBorder="0" applyAlignment="0" applyProtection="0"/>
    <xf numFmtId="323" fontId="84" fillId="0" borderId="0" applyFont="0" applyFill="0" applyBorder="0" applyAlignment="0" applyProtection="0"/>
    <xf numFmtId="187" fontId="52" fillId="0" borderId="0" applyFont="0" applyFill="0" applyBorder="0" applyAlignment="0" applyProtection="0"/>
    <xf numFmtId="164" fontId="52" fillId="0" borderId="0" applyFont="0" applyFill="0" applyBorder="0" applyAlignment="0" applyProtection="0"/>
    <xf numFmtId="207"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212"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179" fontId="52" fillId="0" borderId="0" applyFont="0" applyFill="0" applyBorder="0" applyAlignment="0" applyProtection="0"/>
    <xf numFmtId="208" fontId="52" fillId="0" borderId="0" applyFont="0" applyFill="0" applyBorder="0" applyAlignment="0" applyProtection="0"/>
    <xf numFmtId="179"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208" fontId="52" fillId="0" borderId="0" applyFont="0" applyFill="0" applyBorder="0" applyAlignment="0" applyProtection="0"/>
    <xf numFmtId="42" fontId="52" fillId="0" borderId="0" applyFont="0" applyFill="0" applyBorder="0" applyAlignment="0" applyProtection="0"/>
    <xf numFmtId="201" fontId="52" fillId="0" borderId="0" applyFont="0" applyFill="0" applyBorder="0" applyAlignment="0" applyProtection="0"/>
    <xf numFmtId="213" fontId="52" fillId="0" borderId="0" applyFont="0" applyFill="0" applyBorder="0" applyAlignment="0" applyProtection="0"/>
    <xf numFmtId="188" fontId="40" fillId="0" borderId="0" applyFont="0" applyFill="0" applyBorder="0" applyAlignment="0" applyProtection="0"/>
    <xf numFmtId="189" fontId="52" fillId="0" borderId="0" applyFont="0" applyFill="0" applyBorder="0" applyAlignment="0" applyProtection="0"/>
    <xf numFmtId="188" fontId="52" fillId="0" borderId="0" applyFont="0" applyFill="0" applyBorder="0" applyAlignment="0" applyProtection="0"/>
    <xf numFmtId="188" fontId="40" fillId="0" borderId="0" applyFont="0" applyFill="0" applyBorder="0" applyAlignment="0" applyProtection="0"/>
    <xf numFmtId="164" fontId="52" fillId="0" borderId="0" applyFont="0" applyFill="0" applyBorder="0" applyAlignment="0" applyProtection="0"/>
    <xf numFmtId="208" fontId="52" fillId="0" borderId="0" applyFont="0" applyFill="0" applyBorder="0" applyAlignment="0" applyProtection="0"/>
    <xf numFmtId="205" fontId="52" fillId="0" borderId="0" applyFont="0" applyFill="0" applyBorder="0" applyAlignment="0" applyProtection="0"/>
    <xf numFmtId="189" fontId="52" fillId="0" borderId="0" applyFont="0" applyFill="0" applyBorder="0" applyAlignment="0" applyProtection="0"/>
    <xf numFmtId="0" fontId="22" fillId="0" borderId="0"/>
    <xf numFmtId="189" fontId="52" fillId="0" borderId="0" applyFont="0" applyFill="0" applyBorder="0" applyAlignment="0" applyProtection="0"/>
    <xf numFmtId="323" fontId="84" fillId="0" borderId="0" applyFont="0" applyFill="0" applyBorder="0" applyAlignment="0" applyProtection="0"/>
    <xf numFmtId="188" fontId="52" fillId="0" borderId="0" applyFont="0" applyFill="0" applyBorder="0" applyAlignment="0" applyProtection="0"/>
    <xf numFmtId="179" fontId="52" fillId="0" borderId="0" applyFont="0" applyFill="0" applyBorder="0" applyAlignment="0" applyProtection="0"/>
    <xf numFmtId="202" fontId="56" fillId="0" borderId="0" applyFont="0" applyFill="0" applyBorder="0" applyAlignment="0" applyProtection="0"/>
    <xf numFmtId="179" fontId="52" fillId="0" borderId="0" applyFont="0" applyFill="0" applyBorder="0" applyAlignment="0" applyProtection="0"/>
    <xf numFmtId="203" fontId="52" fillId="0" borderId="0" applyFont="0" applyFill="0" applyBorder="0" applyAlignment="0" applyProtection="0"/>
    <xf numFmtId="41" fontId="52" fillId="0" borderId="0" applyFont="0" applyFill="0" applyBorder="0" applyAlignment="0" applyProtection="0"/>
    <xf numFmtId="188" fontId="52" fillId="0" borderId="0" applyFont="0" applyFill="0" applyBorder="0" applyAlignment="0" applyProtection="0"/>
    <xf numFmtId="164" fontId="52" fillId="0" borderId="0" applyFont="0" applyFill="0" applyBorder="0" applyAlignment="0" applyProtection="0"/>
    <xf numFmtId="204" fontId="52" fillId="0" borderId="0" applyFont="0" applyFill="0" applyBorder="0" applyAlignment="0" applyProtection="0"/>
    <xf numFmtId="164" fontId="52" fillId="0" borderId="0" applyFont="0" applyFill="0" applyBorder="0" applyAlignment="0" applyProtection="0"/>
    <xf numFmtId="189" fontId="52" fillId="0" borderId="0" applyFont="0" applyFill="0" applyBorder="0" applyAlignment="0" applyProtection="0"/>
    <xf numFmtId="187" fontId="52" fillId="0" borderId="0" applyFont="0" applyFill="0" applyBorder="0" applyAlignment="0" applyProtection="0"/>
    <xf numFmtId="188" fontId="40" fillId="0" borderId="0" applyFont="0" applyFill="0" applyBorder="0" applyAlignment="0" applyProtection="0"/>
    <xf numFmtId="179" fontId="52" fillId="0" borderId="0" applyFont="0" applyFill="0" applyBorder="0" applyAlignment="0" applyProtection="0"/>
    <xf numFmtId="189"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189" fontId="52" fillId="0" borderId="0" applyFont="0" applyFill="0" applyBorder="0" applyAlignment="0" applyProtection="0"/>
    <xf numFmtId="187" fontId="52" fillId="0" borderId="0" applyFont="0" applyFill="0" applyBorder="0" applyAlignment="0" applyProtection="0"/>
    <xf numFmtId="188" fontId="52" fillId="0" borderId="0" applyFont="0" applyFill="0" applyBorder="0" applyAlignment="0" applyProtection="0"/>
    <xf numFmtId="187" fontId="52" fillId="0" borderId="0" applyFont="0" applyFill="0" applyBorder="0" applyAlignment="0" applyProtection="0"/>
    <xf numFmtId="202" fontId="56" fillId="0" borderId="0" applyFont="0" applyFill="0" applyBorder="0" applyAlignment="0" applyProtection="0"/>
    <xf numFmtId="164" fontId="52" fillId="0" borderId="0" applyFont="0" applyFill="0" applyBorder="0" applyAlignment="0" applyProtection="0"/>
    <xf numFmtId="203" fontId="52" fillId="0" borderId="0" applyFont="0" applyFill="0" applyBorder="0" applyAlignment="0" applyProtection="0"/>
    <xf numFmtId="41" fontId="52" fillId="0" borderId="0" applyFont="0" applyFill="0" applyBorder="0" applyAlignment="0" applyProtection="0"/>
    <xf numFmtId="188" fontId="52" fillId="0" borderId="0" applyFont="0" applyFill="0" applyBorder="0" applyAlignment="0" applyProtection="0"/>
    <xf numFmtId="179" fontId="52" fillId="0" borderId="0" applyFont="0" applyFill="0" applyBorder="0" applyAlignment="0" applyProtection="0"/>
    <xf numFmtId="204"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64" fontId="52" fillId="0" borderId="0" applyFont="0" applyFill="0" applyBorder="0" applyAlignment="0" applyProtection="0"/>
    <xf numFmtId="208"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213" fontId="52" fillId="0" borderId="0" applyFont="0" applyFill="0" applyBorder="0" applyAlignment="0" applyProtection="0"/>
    <xf numFmtId="214" fontId="52" fillId="0" borderId="0" applyFont="0" applyFill="0" applyBorder="0" applyAlignment="0" applyProtection="0"/>
    <xf numFmtId="41" fontId="52" fillId="0" borderId="0" applyFont="0" applyFill="0" applyBorder="0" applyAlignment="0" applyProtection="0"/>
    <xf numFmtId="42" fontId="52" fillId="0" borderId="0" applyFont="0" applyFill="0" applyBorder="0" applyAlignment="0" applyProtection="0"/>
    <xf numFmtId="42" fontId="52" fillId="0" borderId="0" applyFont="0" applyFill="0" applyBorder="0" applyAlignment="0" applyProtection="0"/>
    <xf numFmtId="188" fontId="52" fillId="0" borderId="0" applyFont="0" applyFill="0" applyBorder="0" applyAlignment="0" applyProtection="0"/>
    <xf numFmtId="201" fontId="52" fillId="0" borderId="0" applyFont="0" applyFill="0" applyBorder="0" applyAlignment="0" applyProtection="0"/>
    <xf numFmtId="188" fontId="40" fillId="0" borderId="0" applyFont="0" applyFill="0" applyBorder="0" applyAlignment="0" applyProtection="0"/>
    <xf numFmtId="164" fontId="52" fillId="0" borderId="0" applyFont="0" applyFill="0" applyBorder="0" applyAlignment="0" applyProtection="0"/>
    <xf numFmtId="208" fontId="52" fillId="0" borderId="0" applyFont="0" applyFill="0" applyBorder="0" applyAlignment="0" applyProtection="0"/>
    <xf numFmtId="201" fontId="52" fillId="0" borderId="0" applyFont="0" applyFill="0" applyBorder="0" applyAlignment="0" applyProtection="0"/>
    <xf numFmtId="188" fontId="52" fillId="0" borderId="0" applyFont="0" applyFill="0" applyBorder="0" applyAlignment="0" applyProtection="0"/>
    <xf numFmtId="204" fontId="52" fillId="0" borderId="0" applyFont="0" applyFill="0" applyBorder="0" applyAlignment="0" applyProtection="0"/>
    <xf numFmtId="0" fontId="22" fillId="0" borderId="0"/>
    <xf numFmtId="323" fontId="84" fillId="0" borderId="0" applyFont="0" applyFill="0" applyBorder="0" applyAlignment="0" applyProtection="0"/>
    <xf numFmtId="164" fontId="52" fillId="0" borderId="0" applyFont="0" applyFill="0" applyBorder="0" applyAlignment="0" applyProtection="0"/>
    <xf numFmtId="179" fontId="52" fillId="0" borderId="0" applyFont="0" applyFill="0" applyBorder="0" applyAlignment="0" applyProtection="0"/>
    <xf numFmtId="164"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207" fontId="52" fillId="0" borderId="0" applyFont="0" applyFill="0" applyBorder="0" applyAlignment="0" applyProtection="0"/>
    <xf numFmtId="179" fontId="52" fillId="0" borderId="0" applyFont="0" applyFill="0" applyBorder="0" applyAlignment="0" applyProtection="0"/>
    <xf numFmtId="179"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187" fontId="52" fillId="0" borderId="0" applyFont="0" applyFill="0" applyBorder="0" applyAlignment="0" applyProtection="0"/>
    <xf numFmtId="210" fontId="52" fillId="0" borderId="0" applyFont="0" applyFill="0" applyBorder="0" applyAlignment="0" applyProtection="0"/>
    <xf numFmtId="164"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87" fontId="40" fillId="0" borderId="0" applyFont="0" applyFill="0" applyBorder="0" applyAlignment="0" applyProtection="0"/>
    <xf numFmtId="179" fontId="52" fillId="0" borderId="0" applyFont="0" applyFill="0" applyBorder="0" applyAlignment="0" applyProtection="0"/>
    <xf numFmtId="187" fontId="52" fillId="0" borderId="0" applyFont="0" applyFill="0" applyBorder="0" applyAlignment="0" applyProtection="0"/>
    <xf numFmtId="179" fontId="52" fillId="0" borderId="0" applyFont="0" applyFill="0" applyBorder="0" applyAlignment="0" applyProtection="0"/>
    <xf numFmtId="41" fontId="52" fillId="0" borderId="0" applyFont="0" applyFill="0" applyBorder="0" applyAlignment="0" applyProtection="0"/>
    <xf numFmtId="179" fontId="52" fillId="0" borderId="0" applyFont="0" applyFill="0" applyBorder="0" applyAlignment="0" applyProtection="0"/>
    <xf numFmtId="210" fontId="52" fillId="0" borderId="0" applyFont="0" applyFill="0" applyBorder="0" applyAlignment="0" applyProtection="0"/>
    <xf numFmtId="164" fontId="52" fillId="0" borderId="0" applyFont="0" applyFill="0" applyBorder="0" applyAlignment="0" applyProtection="0"/>
    <xf numFmtId="210" fontId="52" fillId="0" borderId="0" applyFont="0" applyFill="0" applyBorder="0" applyAlignment="0" applyProtection="0"/>
    <xf numFmtId="187" fontId="52" fillId="0" borderId="0" applyFont="0" applyFill="0" applyBorder="0" applyAlignment="0" applyProtection="0"/>
    <xf numFmtId="41" fontId="52" fillId="0" borderId="0" applyFont="0" applyFill="0" applyBorder="0" applyAlignment="0" applyProtection="0"/>
    <xf numFmtId="14" fontId="198" fillId="0" borderId="0"/>
    <xf numFmtId="0" fontId="199" fillId="0" borderId="0"/>
    <xf numFmtId="0" fontId="161" fillId="0" borderId="0"/>
    <xf numFmtId="0" fontId="162" fillId="0" borderId="0"/>
    <xf numFmtId="40" fontId="200" fillId="0" borderId="0" applyBorder="0">
      <alignment horizontal="right"/>
    </xf>
    <xf numFmtId="0" fontId="201" fillId="0" borderId="0"/>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03" fontId="202" fillId="0" borderId="6">
      <alignment horizontal="right" vertical="center"/>
    </xf>
    <xf numFmtId="303" fontId="202"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6" fontId="52" fillId="0" borderId="6">
      <alignment horizontal="right" vertical="center"/>
    </xf>
    <xf numFmtId="326" fontId="52"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7" fontId="30" fillId="0" borderId="6">
      <alignment horizontal="right" vertical="center"/>
    </xf>
    <xf numFmtId="327"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8" fontId="61" fillId="0" borderId="6">
      <alignment horizontal="right" vertical="center"/>
    </xf>
    <xf numFmtId="329" fontId="78" fillId="0" borderId="6">
      <alignment horizontal="right" vertical="center"/>
    </xf>
    <xf numFmtId="330" fontId="164" fillId="0" borderId="6">
      <alignment horizontal="right" vertical="center"/>
    </xf>
    <xf numFmtId="330" fontId="164" fillId="0" borderId="6">
      <alignment horizontal="right" vertical="center"/>
    </xf>
    <xf numFmtId="331" fontId="22" fillId="0" borderId="6">
      <alignment horizontal="right" vertical="center"/>
    </xf>
    <xf numFmtId="326" fontId="52" fillId="0" borderId="6">
      <alignment horizontal="right" vertical="center"/>
    </xf>
    <xf numFmtId="331" fontId="22" fillId="0" borderId="6">
      <alignment horizontal="right" vertical="center"/>
    </xf>
    <xf numFmtId="331" fontId="22"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30" fontId="20" fillId="0" borderId="6">
      <alignment horizontal="right" vertical="center"/>
    </xf>
    <xf numFmtId="330" fontId="20"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26" fontId="52" fillId="0" borderId="6">
      <alignment horizontal="right" vertical="center"/>
    </xf>
    <xf numFmtId="331" fontId="22" fillId="0" borderId="6">
      <alignment horizontal="right" vertical="center"/>
    </xf>
    <xf numFmtId="331" fontId="22"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0" fontId="20" fillId="0" borderId="6">
      <alignment horizontal="right" vertical="center"/>
    </xf>
    <xf numFmtId="330" fontId="20" fillId="0" borderId="6">
      <alignment horizontal="right" vertical="center"/>
    </xf>
    <xf numFmtId="327" fontId="30" fillId="0" borderId="6">
      <alignment horizontal="right" vertical="center"/>
    </xf>
    <xf numFmtId="327" fontId="30" fillId="0" borderId="6">
      <alignment horizontal="right" vertical="center"/>
    </xf>
    <xf numFmtId="326" fontId="52" fillId="0" borderId="6">
      <alignment horizontal="right" vertical="center"/>
    </xf>
    <xf numFmtId="326" fontId="52" fillId="0" borderId="6">
      <alignment horizontal="right" vertical="center"/>
    </xf>
    <xf numFmtId="333" fontId="30" fillId="0" borderId="6">
      <alignment horizontal="right" vertical="center"/>
    </xf>
    <xf numFmtId="333" fontId="30" fillId="0" borderId="6">
      <alignment horizontal="right" vertical="center"/>
    </xf>
    <xf numFmtId="333" fontId="30" fillId="0" borderId="6">
      <alignment horizontal="right" vertical="center"/>
    </xf>
    <xf numFmtId="333" fontId="30"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30" fontId="164" fillId="0" borderId="6">
      <alignment horizontal="right" vertical="center"/>
    </xf>
    <xf numFmtId="327" fontId="30" fillId="0" borderId="6">
      <alignment horizontal="right" vertical="center"/>
    </xf>
    <xf numFmtId="327" fontId="30" fillId="0" borderId="6">
      <alignment horizontal="right" vertical="center"/>
    </xf>
    <xf numFmtId="331" fontId="22" fillId="0" borderId="6">
      <alignment horizontal="right" vertical="center"/>
    </xf>
    <xf numFmtId="331" fontId="22"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1" fontId="22" fillId="0" borderId="6">
      <alignment horizontal="right" vertical="center"/>
    </xf>
    <xf numFmtId="331" fontId="22" fillId="0" borderId="6">
      <alignment horizontal="right" vertical="center"/>
    </xf>
    <xf numFmtId="331" fontId="22"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9" fontId="78" fillId="0" borderId="6">
      <alignment horizontal="right" vertical="center"/>
    </xf>
    <xf numFmtId="324" fontId="84" fillId="0" borderId="6">
      <alignment horizontal="right" vertical="center"/>
    </xf>
    <xf numFmtId="331" fontId="22" fillId="0" borderId="6">
      <alignment horizontal="right" vertical="center"/>
    </xf>
    <xf numFmtId="331" fontId="22" fillId="0" borderId="6">
      <alignment horizontal="right" vertical="center"/>
    </xf>
    <xf numFmtId="324" fontId="84"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6" fontId="52" fillId="0" borderId="6">
      <alignment horizontal="right" vertical="center"/>
    </xf>
    <xf numFmtId="326" fontId="52"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8" fontId="61" fillId="0" borderId="6">
      <alignment horizontal="right" vertical="center"/>
    </xf>
    <xf numFmtId="327" fontId="30" fillId="0" borderId="6">
      <alignment horizontal="right" vertical="center"/>
    </xf>
    <xf numFmtId="326" fontId="52" fillId="0" borderId="6">
      <alignment horizontal="right" vertical="center"/>
    </xf>
    <xf numFmtId="327" fontId="3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6" fontId="52"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7" fontId="30" fillId="0" borderId="6">
      <alignment horizontal="right" vertical="center"/>
    </xf>
    <xf numFmtId="327" fontId="30" fillId="0" borderId="6">
      <alignment horizontal="right" vertical="center"/>
    </xf>
    <xf numFmtId="333" fontId="30" fillId="0" borderId="6">
      <alignment horizontal="right" vertical="center"/>
    </xf>
    <xf numFmtId="333"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7" fontId="30" fillId="0" borderId="6">
      <alignment horizontal="right" vertical="center"/>
    </xf>
    <xf numFmtId="327" fontId="30" fillId="0" borderId="6">
      <alignment horizontal="right" vertical="center"/>
    </xf>
    <xf numFmtId="326" fontId="52" fillId="0" borderId="6">
      <alignment horizontal="right" vertical="center"/>
    </xf>
    <xf numFmtId="326" fontId="52" fillId="0" borderId="6">
      <alignment horizontal="right" vertical="center"/>
    </xf>
    <xf numFmtId="335" fontId="203" fillId="4" borderId="41" applyFont="0" applyFill="0" applyBorder="0"/>
    <xf numFmtId="335" fontId="203" fillId="4" borderId="41" applyFont="0" applyFill="0" applyBorder="0"/>
    <xf numFmtId="327" fontId="30" fillId="0" borderId="6">
      <alignment horizontal="right" vertical="center"/>
    </xf>
    <xf numFmtId="327"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6" fontId="52" fillId="0" borderId="6">
      <alignment horizontal="right" vertical="center"/>
    </xf>
    <xf numFmtId="326" fontId="52"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4" fontId="20" fillId="0" borderId="6">
      <alignment horizontal="right" vertical="center"/>
    </xf>
    <xf numFmtId="336" fontId="84" fillId="0" borderId="6">
      <alignment horizontal="right" vertical="center"/>
    </xf>
    <xf numFmtId="336" fontId="84" fillId="0" borderId="6">
      <alignment horizontal="right" vertical="center"/>
    </xf>
    <xf numFmtId="335" fontId="203" fillId="4" borderId="41" applyFont="0" applyFill="0" applyBorder="0"/>
    <xf numFmtId="335" fontId="203" fillId="4" borderId="41" applyFont="0" applyFill="0" applyBorder="0"/>
    <xf numFmtId="330" fontId="164" fillId="0" borderId="6">
      <alignment horizontal="right" vertical="center"/>
    </xf>
    <xf numFmtId="330" fontId="16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24" fontId="84" fillId="0" borderId="6">
      <alignment horizontal="right" vertical="center"/>
    </xf>
    <xf numFmtId="336" fontId="84" fillId="0" borderId="6">
      <alignment horizontal="right" vertical="center"/>
    </xf>
    <xf numFmtId="336" fontId="84"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27" fontId="30" fillId="0" borderId="6">
      <alignment horizontal="right" vertical="center"/>
    </xf>
    <xf numFmtId="327" fontId="3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26" fontId="52" fillId="0" borderId="6">
      <alignment horizontal="right" vertical="center"/>
    </xf>
    <xf numFmtId="326" fontId="52" fillId="0" borderId="6">
      <alignment horizontal="right" vertical="center"/>
    </xf>
    <xf numFmtId="327" fontId="30" fillId="0" borderId="6">
      <alignment horizontal="right" vertical="center"/>
    </xf>
    <xf numFmtId="327" fontId="30"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164" fillId="0" borderId="6">
      <alignment horizontal="right" vertical="center"/>
    </xf>
    <xf numFmtId="334" fontId="20" fillId="0" borderId="6">
      <alignment horizontal="right" vertical="center"/>
    </xf>
    <xf numFmtId="334" fontId="20" fillId="0" borderId="6">
      <alignment horizontal="right" vertical="center"/>
    </xf>
    <xf numFmtId="334" fontId="164" fillId="0" borderId="6">
      <alignment horizontal="right" vertical="center"/>
    </xf>
    <xf numFmtId="334" fontId="16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2" fontId="30" fillId="0" borderId="6">
      <alignment horizontal="right" vertical="center"/>
    </xf>
    <xf numFmtId="330" fontId="20" fillId="0" borderId="6">
      <alignment horizontal="right" vertical="center"/>
    </xf>
    <xf numFmtId="330" fontId="20" fillId="0" borderId="6">
      <alignment horizontal="right" vertical="center"/>
    </xf>
    <xf numFmtId="337" fontId="30" fillId="0" borderId="6">
      <alignment horizontal="right" vertical="center"/>
    </xf>
    <xf numFmtId="337" fontId="30"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7" fontId="30" fillId="0" borderId="6">
      <alignment horizontal="right" vertical="center"/>
    </xf>
    <xf numFmtId="327" fontId="30" fillId="0" borderId="6">
      <alignment horizontal="right" vertical="center"/>
    </xf>
    <xf numFmtId="333" fontId="30" fillId="0" borderId="6">
      <alignment horizontal="right" vertical="center"/>
    </xf>
    <xf numFmtId="333"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5" fontId="203" fillId="4" borderId="41" applyFont="0" applyFill="0" applyBorder="0"/>
    <xf numFmtId="327" fontId="30" fillId="0" borderId="6">
      <alignment horizontal="right" vertical="center"/>
    </xf>
    <xf numFmtId="327"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9" fontId="30" fillId="0" borderId="6">
      <alignment horizontal="right" vertical="center"/>
    </xf>
    <xf numFmtId="339" fontId="30" fillId="0" borderId="6">
      <alignment horizontal="right" vertical="center"/>
    </xf>
    <xf numFmtId="339" fontId="30" fillId="0" borderId="6">
      <alignment horizontal="right" vertical="center"/>
    </xf>
    <xf numFmtId="339" fontId="30" fillId="0" borderId="6">
      <alignment horizontal="right" vertical="center"/>
    </xf>
    <xf numFmtId="339" fontId="30" fillId="0" borderId="6">
      <alignment horizontal="right" vertical="center"/>
    </xf>
    <xf numFmtId="339" fontId="30"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9" fontId="78" fillId="0" borderId="6">
      <alignment horizontal="right" vertical="center"/>
    </xf>
    <xf numFmtId="327" fontId="30" fillId="0" borderId="6">
      <alignment horizontal="right" vertical="center"/>
    </xf>
    <xf numFmtId="327" fontId="30" fillId="0" borderId="6">
      <alignment horizontal="right" vertical="center"/>
    </xf>
    <xf numFmtId="326" fontId="52" fillId="0" borderId="6">
      <alignment horizontal="right" vertical="center"/>
    </xf>
    <xf numFmtId="326" fontId="52" fillId="0" borderId="6">
      <alignment horizontal="right" vertical="center"/>
    </xf>
    <xf numFmtId="335" fontId="203" fillId="4" borderId="41" applyFont="0" applyFill="0" applyBorder="0"/>
    <xf numFmtId="335" fontId="203" fillId="4" borderId="41" applyFont="0" applyFill="0" applyBorder="0"/>
    <xf numFmtId="340" fontId="84" fillId="0" borderId="6">
      <alignment horizontal="right" vertical="center"/>
    </xf>
    <xf numFmtId="340" fontId="84" fillId="0" borderId="6">
      <alignment horizontal="right" vertical="center"/>
    </xf>
    <xf numFmtId="331" fontId="22" fillId="0" borderId="6">
      <alignment horizontal="right" vertical="center"/>
    </xf>
    <xf numFmtId="331" fontId="22" fillId="0" borderId="6">
      <alignment horizontal="right" vertical="center"/>
    </xf>
    <xf numFmtId="325" fontId="78" fillId="0" borderId="6">
      <alignment horizontal="right" vertical="center"/>
    </xf>
    <xf numFmtId="325" fontId="78" fillId="0" borderId="6">
      <alignment horizontal="right" vertical="center"/>
    </xf>
    <xf numFmtId="327" fontId="30" fillId="0" borderId="6">
      <alignment horizontal="right" vertical="center"/>
    </xf>
    <xf numFmtId="327"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5" fontId="78" fillId="0" borderId="6">
      <alignment horizontal="right" vertical="center"/>
    </xf>
    <xf numFmtId="324" fontId="84" fillId="0" borderId="6">
      <alignment horizontal="right" vertical="center"/>
    </xf>
    <xf numFmtId="324" fontId="84" fillId="0" borderId="6">
      <alignment horizontal="right" vertical="center"/>
    </xf>
    <xf numFmtId="335" fontId="203" fillId="4" borderId="41" applyFont="0" applyFill="0" applyBorder="0"/>
    <xf numFmtId="335" fontId="203" fillId="4" borderId="41" applyFont="0" applyFill="0" applyBorder="0"/>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05"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03" fontId="202"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8" fontId="30" fillId="0" borderId="6">
      <alignment horizontal="right" vertical="center"/>
    </xf>
    <xf numFmtId="331" fontId="22" fillId="0" borderId="6">
      <alignment horizontal="right" vertical="center"/>
    </xf>
    <xf numFmtId="331" fontId="22"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1" fontId="22" fillId="0" borderId="6">
      <alignment horizontal="right" vertical="center"/>
    </xf>
    <xf numFmtId="331" fontId="22" fillId="0" borderId="6">
      <alignment horizontal="right" vertical="center"/>
    </xf>
    <xf numFmtId="335" fontId="203" fillId="4" borderId="41" applyFont="0" applyFill="0" applyBorder="0"/>
    <xf numFmtId="335" fontId="203" fillId="4" borderId="41" applyFont="0" applyFill="0" applyBorder="0"/>
    <xf numFmtId="324" fontId="84" fillId="0" borderId="6">
      <alignment horizontal="right" vertical="center"/>
    </xf>
    <xf numFmtId="324" fontId="84" fillId="0" borderId="6">
      <alignment horizontal="right" vertical="center"/>
    </xf>
    <xf numFmtId="327" fontId="30" fillId="0" borderId="6">
      <alignment horizontal="right" vertical="center"/>
    </xf>
    <xf numFmtId="327"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9" fontId="78" fillId="0" borderId="6">
      <alignment horizontal="right" vertical="center"/>
    </xf>
    <xf numFmtId="327" fontId="30" fillId="0" borderId="6">
      <alignment horizontal="right" vertical="center"/>
    </xf>
    <xf numFmtId="340" fontId="84" fillId="0" borderId="6">
      <alignment horizontal="right" vertical="center"/>
    </xf>
    <xf numFmtId="340"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41" fontId="204" fillId="0" borderId="6">
      <alignment horizontal="right" vertical="center"/>
    </xf>
    <xf numFmtId="341" fontId="204" fillId="0" borderId="6">
      <alignment horizontal="right" vertical="center"/>
    </xf>
    <xf numFmtId="324" fontId="84" fillId="0" borderId="6">
      <alignment horizontal="right" vertical="center"/>
    </xf>
    <xf numFmtId="324" fontId="8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41" fontId="204" fillId="0" borderId="6">
      <alignment horizontal="right" vertical="center"/>
    </xf>
    <xf numFmtId="326" fontId="52" fillId="0" borderId="6">
      <alignment horizontal="right" vertical="center"/>
    </xf>
    <xf numFmtId="326" fontId="52" fillId="0" borderId="6">
      <alignment horizontal="right" vertical="center"/>
    </xf>
    <xf numFmtId="324" fontId="84" fillId="0" borderId="6">
      <alignment horizontal="right" vertical="center"/>
    </xf>
    <xf numFmtId="324" fontId="84" fillId="0" borderId="6">
      <alignment horizontal="right" vertical="center"/>
    </xf>
    <xf numFmtId="49" fontId="53" fillId="0" borderId="0" applyFill="0" applyBorder="0" applyAlignment="0"/>
    <xf numFmtId="342"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43" fontId="20" fillId="0" borderId="0" applyFill="0" applyBorder="0" applyAlignment="0"/>
    <xf numFmtId="339"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344" fontId="20" fillId="0" borderId="0" applyFill="0" applyBorder="0" applyAlignment="0"/>
    <xf numFmtId="188" fontId="84" fillId="0" borderId="6">
      <alignment horizontal="center"/>
    </xf>
    <xf numFmtId="188" fontId="84" fillId="0" borderId="6">
      <alignment horizontal="center"/>
    </xf>
    <xf numFmtId="0" fontId="205" fillId="0" borderId="42" applyProtection="0"/>
    <xf numFmtId="0" fontId="84" fillId="0" borderId="0" applyProtection="0"/>
    <xf numFmtId="0" fontId="20" fillId="0" borderId="0" applyProtection="0"/>
    <xf numFmtId="0" fontId="91" fillId="0" borderId="0" applyProtection="0"/>
    <xf numFmtId="0" fontId="205" fillId="0" borderId="42" applyProtection="0"/>
    <xf numFmtId="0" fontId="84" fillId="0" borderId="0" applyProtection="0"/>
    <xf numFmtId="0" fontId="20" fillId="0" borderId="0" applyProtection="0"/>
    <xf numFmtId="0" fontId="91" fillId="0" borderId="0" applyProtection="0"/>
    <xf numFmtId="345" fontId="206" fillId="0" borderId="0" applyNumberFormat="0" applyFont="0" applyFill="0" applyBorder="0" applyAlignment="0">
      <alignment horizontal="centerContinuous"/>
    </xf>
    <xf numFmtId="0" fontId="46" fillId="0" borderId="0">
      <alignment vertical="center" wrapText="1"/>
      <protection locked="0"/>
    </xf>
    <xf numFmtId="0" fontId="205" fillId="0" borderId="43"/>
    <xf numFmtId="0" fontId="30" fillId="0" borderId="43"/>
    <xf numFmtId="0" fontId="84" fillId="0" borderId="0" applyNumberFormat="0" applyFill="0" applyBorder="0" applyAlignment="0" applyProtection="0"/>
    <xf numFmtId="0" fontId="84" fillId="0" borderId="0" applyNumberFormat="0" applyFill="0" applyBorder="0" applyAlignment="0" applyProtection="0"/>
    <xf numFmtId="0" fontId="20"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61" fillId="0" borderId="11" applyNumberFormat="0" applyBorder="0" applyAlignment="0"/>
    <xf numFmtId="0" fontId="61" fillId="0" borderId="11" applyNumberFormat="0" applyBorder="0" applyAlignment="0"/>
    <xf numFmtId="0" fontId="61" fillId="0" borderId="11" applyNumberFormat="0" applyBorder="0" applyAlignment="0"/>
    <xf numFmtId="0" fontId="207" fillId="0" borderId="13" applyNumberFormat="0" applyBorder="0" applyAlignment="0">
      <alignment horizontal="center"/>
    </xf>
    <xf numFmtId="0" fontId="207" fillId="0" borderId="13" applyNumberFormat="0" applyBorder="0" applyAlignment="0">
      <alignment horizontal="center"/>
    </xf>
    <xf numFmtId="3" fontId="208" fillId="0" borderId="17" applyNumberFormat="0" applyBorder="0" applyAlignment="0"/>
    <xf numFmtId="0" fontId="209" fillId="0" borderId="0" applyFill="0" applyBorder="0" applyProtection="0">
      <alignment horizontal="left" vertical="top"/>
    </xf>
    <xf numFmtId="0" fontId="210" fillId="0" borderId="11">
      <alignment horizontal="center" vertical="center" wrapText="1"/>
    </xf>
    <xf numFmtId="0" fontId="210" fillId="0" borderId="11">
      <alignment horizontal="center" vertical="center" wrapText="1"/>
    </xf>
    <xf numFmtId="0" fontId="210" fillId="0" borderId="11">
      <alignment horizontal="center" vertical="center" wrapText="1"/>
    </xf>
    <xf numFmtId="0" fontId="211" fillId="0" borderId="0" applyNumberFormat="0" applyFill="0" applyBorder="0" applyAlignment="0" applyProtection="0"/>
    <xf numFmtId="0" fontId="212" fillId="0" borderId="0">
      <alignment horizontal="center"/>
    </xf>
    <xf numFmtId="40" fontId="16" fillId="0" borderId="0"/>
    <xf numFmtId="0" fontId="213" fillId="24" borderId="21" applyNumberFormat="0" applyAlignment="0" applyProtection="0"/>
    <xf numFmtId="3" fontId="214" fillId="0" borderId="0" applyNumberFormat="0" applyFill="0" applyBorder="0" applyAlignment="0" applyProtection="0">
      <alignment horizontal="center" wrapText="1"/>
    </xf>
    <xf numFmtId="0" fontId="215" fillId="0" borderId="3" applyBorder="0" applyAlignment="0">
      <alignment horizontal="center" vertical="center"/>
    </xf>
    <xf numFmtId="0" fontId="215" fillId="0" borderId="3" applyBorder="0" applyAlignment="0">
      <alignment horizontal="center" vertical="center"/>
    </xf>
    <xf numFmtId="0" fontId="216" fillId="0" borderId="0" applyNumberFormat="0" applyFill="0" applyBorder="0" applyAlignment="0" applyProtection="0">
      <alignment horizontal="centerContinuous"/>
    </xf>
    <xf numFmtId="0" fontId="136" fillId="0" borderId="44" applyNumberFormat="0" applyFill="0" applyBorder="0" applyAlignment="0" applyProtection="0">
      <alignment horizontal="center" vertical="center" wrapText="1"/>
    </xf>
    <xf numFmtId="0" fontId="217" fillId="0" borderId="0" applyNumberFormat="0" applyFill="0" applyBorder="0" applyAlignment="0" applyProtection="0"/>
    <xf numFmtId="0" fontId="218" fillId="0" borderId="45" applyNumberFormat="0" applyFill="0" applyAlignment="0" applyProtection="0"/>
    <xf numFmtId="3" fontId="65" fillId="0" borderId="5" applyNumberFormat="0" applyAlignment="0">
      <alignment horizontal="center" vertical="center"/>
    </xf>
    <xf numFmtId="3" fontId="219" fillId="0" borderId="11" applyNumberFormat="0" applyAlignment="0">
      <alignment horizontal="left" wrapText="1"/>
    </xf>
    <xf numFmtId="3" fontId="219" fillId="0" borderId="11" applyNumberFormat="0" applyAlignment="0">
      <alignment horizontal="left" wrapText="1"/>
    </xf>
    <xf numFmtId="3" fontId="219" fillId="0" borderId="11" applyNumberFormat="0" applyAlignment="0">
      <alignment horizontal="left" wrapText="1"/>
    </xf>
    <xf numFmtId="3" fontId="65" fillId="0" borderId="5" applyNumberFormat="0" applyAlignment="0">
      <alignment horizontal="center" vertical="center"/>
    </xf>
    <xf numFmtId="0" fontId="220" fillId="0" borderId="46" applyNumberFormat="0" applyBorder="0" applyAlignment="0">
      <alignment vertical="center"/>
    </xf>
    <xf numFmtId="0" fontId="221" fillId="8" borderId="0" applyNumberFormat="0" applyBorder="0" applyAlignment="0" applyProtection="0"/>
    <xf numFmtId="0" fontId="222" fillId="0" borderId="45" applyNumberFormat="0" applyFill="0" applyAlignment="0" applyProtection="0"/>
    <xf numFmtId="0" fontId="163" fillId="0" borderId="47" applyNumberFormat="0" applyAlignment="0">
      <alignment horizontal="center"/>
    </xf>
    <xf numFmtId="0" fontId="223" fillId="33" borderId="0" applyNumberFormat="0" applyBorder="0" applyAlignment="0" applyProtection="0"/>
    <xf numFmtId="0" fontId="224" fillId="0" borderId="48">
      <alignment horizontal="center"/>
    </xf>
    <xf numFmtId="179" fontId="20" fillId="0" borderId="0" applyFont="0" applyFill="0" applyBorder="0" applyAlignment="0" applyProtection="0"/>
    <xf numFmtId="193" fontId="20" fillId="0" borderId="0" applyFont="0" applyFill="0" applyBorder="0" applyAlignment="0" applyProtection="0"/>
    <xf numFmtId="166" fontId="225" fillId="0" borderId="49" applyNumberFormat="0" applyFont="0" applyAlignment="0">
      <alignment horizontal="centerContinuous"/>
    </xf>
    <xf numFmtId="294" fontId="149" fillId="0" borderId="0" applyFont="0" applyFill="0" applyBorder="0" applyAlignment="0" applyProtection="0"/>
    <xf numFmtId="346" fontId="30" fillId="0" borderId="0" applyFont="0" applyFill="0" applyBorder="0" applyAlignment="0" applyProtection="0"/>
    <xf numFmtId="347" fontId="30" fillId="0" borderId="0" applyFont="0" applyFill="0" applyBorder="0" applyAlignment="0" applyProtection="0"/>
    <xf numFmtId="0" fontId="226" fillId="0" borderId="0" applyNumberFormat="0" applyFill="0" applyBorder="0" applyAlignment="0" applyProtection="0"/>
    <xf numFmtId="0" fontId="227" fillId="0" borderId="0" applyNumberFormat="0" applyFill="0" applyBorder="0" applyAlignment="0" applyProtection="0"/>
    <xf numFmtId="0" fontId="31" fillId="0" borderId="50">
      <alignment horizontal="center"/>
    </xf>
    <xf numFmtId="0" fontId="31" fillId="0" borderId="50">
      <alignment horizontal="center"/>
    </xf>
    <xf numFmtId="339" fontId="84" fillId="0" borderId="0"/>
    <xf numFmtId="340" fontId="84" fillId="0" borderId="1"/>
    <xf numFmtId="340" fontId="84" fillId="0" borderId="1"/>
    <xf numFmtId="0" fontId="33" fillId="0" borderId="0"/>
    <xf numFmtId="0" fontId="33" fillId="0" borderId="0" applyProtection="0"/>
    <xf numFmtId="0" fontId="228" fillId="0" borderId="0"/>
    <xf numFmtId="0" fontId="33" fillId="0" borderId="0"/>
    <xf numFmtId="0" fontId="228" fillId="0" borderId="0"/>
    <xf numFmtId="0" fontId="41" fillId="0" borderId="0"/>
    <xf numFmtId="3" fontId="84" fillId="0" borderId="0" applyNumberFormat="0" applyBorder="0" applyAlignment="0" applyProtection="0">
      <alignment horizontal="centerContinuous"/>
      <protection locked="0"/>
    </xf>
    <xf numFmtId="3" fontId="229" fillId="0" borderId="0">
      <protection locked="0"/>
    </xf>
    <xf numFmtId="3" fontId="60" fillId="0" borderId="0">
      <protection locked="0"/>
    </xf>
    <xf numFmtId="3" fontId="60" fillId="0" borderId="0">
      <protection locked="0"/>
    </xf>
    <xf numFmtId="0" fontId="33" fillId="0" borderId="0"/>
    <xf numFmtId="0" fontId="33" fillId="0" borderId="0" applyProtection="0"/>
    <xf numFmtId="0" fontId="228" fillId="0" borderId="0"/>
    <xf numFmtId="0" fontId="33" fillId="0" borderId="0"/>
    <xf numFmtId="0" fontId="228" fillId="0" borderId="0"/>
    <xf numFmtId="0" fontId="230" fillId="0" borderId="51" applyFill="0" applyBorder="0" applyAlignment="0">
      <alignment horizontal="center"/>
    </xf>
    <xf numFmtId="5" fontId="231" fillId="49" borderId="3">
      <alignment vertical="top"/>
    </xf>
    <xf numFmtId="5" fontId="231" fillId="49" borderId="3">
      <alignment vertical="top"/>
    </xf>
    <xf numFmtId="301" fontId="231" fillId="49" borderId="3">
      <alignment vertical="top"/>
    </xf>
    <xf numFmtId="0" fontId="232" fillId="50" borderId="1">
      <alignment horizontal="left" vertical="center"/>
    </xf>
    <xf numFmtId="0" fontId="232" fillId="50" borderId="1">
      <alignment horizontal="left" vertical="center"/>
    </xf>
    <xf numFmtId="6" fontId="233" fillId="51" borderId="3"/>
    <xf numFmtId="6" fontId="233" fillId="51" borderId="3"/>
    <xf numFmtId="348" fontId="233" fillId="51" borderId="3"/>
    <xf numFmtId="5" fontId="146" fillId="0" borderId="3">
      <alignment horizontal="left" vertical="top"/>
    </xf>
    <xf numFmtId="5" fontId="146" fillId="0" borderId="3">
      <alignment horizontal="left" vertical="top"/>
    </xf>
    <xf numFmtId="301" fontId="234" fillId="0" borderId="3">
      <alignment horizontal="left" vertical="top"/>
    </xf>
    <xf numFmtId="0" fontId="235" fillId="52" borderId="0">
      <alignment horizontal="left" vertical="center"/>
    </xf>
    <xf numFmtId="5"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301" fontId="236"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294" fontId="22" fillId="0" borderId="5">
      <alignment horizontal="left" vertical="top"/>
    </xf>
    <xf numFmtId="0" fontId="237" fillId="0" borderId="5">
      <alignment horizontal="left" vertical="center"/>
    </xf>
    <xf numFmtId="0" fontId="20" fillId="0" borderId="0" applyFont="0" applyFill="0" applyBorder="0" applyAlignment="0" applyProtection="0"/>
    <xf numFmtId="0" fontId="20" fillId="0" borderId="0" applyFont="0" applyFill="0" applyBorder="0" applyAlignment="0" applyProtection="0"/>
    <xf numFmtId="349" fontId="20" fillId="0" borderId="0" applyFont="0" applyFill="0" applyBorder="0" applyAlignment="0" applyProtection="0"/>
    <xf numFmtId="350" fontId="20" fillId="0" borderId="0" applyFont="0" applyFill="0" applyBorder="0" applyAlignment="0" applyProtection="0"/>
    <xf numFmtId="42" fontId="118" fillId="0" borderId="0" applyFont="0" applyFill="0" applyBorder="0" applyAlignment="0" applyProtection="0"/>
    <xf numFmtId="44" fontId="118" fillId="0" borderId="0" applyFont="0" applyFill="0" applyBorder="0" applyAlignment="0" applyProtection="0"/>
    <xf numFmtId="0" fontId="238" fillId="0" borderId="0" applyNumberFormat="0" applyFill="0" applyBorder="0" applyAlignment="0" applyProtection="0"/>
    <xf numFmtId="0" fontId="239" fillId="0" borderId="0" applyNumberFormat="0" applyFont="0" applyFill="0" applyBorder="0" applyProtection="0">
      <alignment horizontal="center" vertical="center" wrapText="1"/>
    </xf>
    <xf numFmtId="0" fontId="20" fillId="0" borderId="0" applyFont="0" applyFill="0" applyBorder="0" applyAlignment="0" applyProtection="0"/>
    <xf numFmtId="0" fontId="20" fillId="0" borderId="0" applyFont="0" applyFill="0" applyBorder="0" applyAlignment="0" applyProtection="0"/>
    <xf numFmtId="0" fontId="240" fillId="0" borderId="52" applyNumberFormat="0" applyFont="0" applyAlignment="0">
      <alignment horizontal="center"/>
    </xf>
    <xf numFmtId="0" fontId="241" fillId="7" borderId="0" applyNumberFormat="0" applyBorder="0" applyAlignment="0" applyProtection="0"/>
    <xf numFmtId="0" fontId="242" fillId="0" borderId="0" applyNumberFormat="0" applyFill="0" applyBorder="0" applyAlignment="0" applyProtection="0"/>
    <xf numFmtId="0" fontId="78" fillId="0" borderId="53" applyFont="0" applyBorder="0" applyAlignment="0">
      <alignment horizontal="center"/>
    </xf>
    <xf numFmtId="0" fontId="78" fillId="0" borderId="53" applyFont="0" applyBorder="0" applyAlignment="0">
      <alignment horizontal="center"/>
    </xf>
    <xf numFmtId="179" fontId="30" fillId="0" borderId="0" applyFont="0" applyFill="0" applyBorder="0" applyAlignment="0" applyProtection="0"/>
    <xf numFmtId="42" fontId="243" fillId="0" borderId="0" applyFont="0" applyFill="0" applyBorder="0" applyAlignment="0" applyProtection="0"/>
    <xf numFmtId="44" fontId="243" fillId="0" borderId="0" applyFont="0" applyFill="0" applyBorder="0" applyAlignment="0" applyProtection="0"/>
    <xf numFmtId="0" fontId="243" fillId="0" borderId="0"/>
    <xf numFmtId="9" fontId="244" fillId="0" borderId="0" applyBorder="0" applyAlignment="0" applyProtection="0"/>
    <xf numFmtId="0" fontId="245" fillId="0" borderId="19"/>
    <xf numFmtId="194" fontId="42" fillId="0" borderId="0" applyFont="0" applyFill="0" applyBorder="0" applyAlignment="0" applyProtection="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71" fillId="0" borderId="0" applyFont="0" applyFill="0" applyBorder="0" applyAlignment="0" applyProtection="0"/>
    <xf numFmtId="0" fontId="171" fillId="0" borderId="0" applyFont="0" applyFill="0" applyBorder="0" applyAlignment="0" applyProtection="0"/>
    <xf numFmtId="181" fontId="20" fillId="0" borderId="0" applyFont="0" applyFill="0" applyBorder="0" applyAlignment="0" applyProtection="0"/>
    <xf numFmtId="182" fontId="20" fillId="0" borderId="0" applyFont="0" applyFill="0" applyBorder="0" applyAlignment="0" applyProtection="0"/>
    <xf numFmtId="0" fontId="171" fillId="0" borderId="0"/>
    <xf numFmtId="0" fontId="171" fillId="0" borderId="0"/>
    <xf numFmtId="0" fontId="246" fillId="0" borderId="0"/>
    <xf numFmtId="43" fontId="20" fillId="0" borderId="0" applyFont="0" applyFill="0" applyBorder="0" applyAlignment="0" applyProtection="0"/>
    <xf numFmtId="41" fontId="20" fillId="0" borderId="0" applyFont="0" applyFill="0" applyBorder="0" applyAlignment="0" applyProtection="0"/>
    <xf numFmtId="0" fontId="20" fillId="0" borderId="0"/>
    <xf numFmtId="44" fontId="20" fillId="0" borderId="0" applyFont="0" applyFill="0" applyBorder="0" applyAlignment="0" applyProtection="0"/>
    <xf numFmtId="42" fontId="20" fillId="0" borderId="0" applyFont="0" applyFill="0" applyBorder="0" applyAlignment="0" applyProtection="0"/>
    <xf numFmtId="9" fontId="13" fillId="0" borderId="0" applyFont="0" applyFill="0" applyBorder="0" applyAlignment="0" applyProtection="0"/>
    <xf numFmtId="0" fontId="25" fillId="0" borderId="0"/>
    <xf numFmtId="0" fontId="20" fillId="0" borderId="0"/>
    <xf numFmtId="0" fontId="49" fillId="0" borderId="0" applyFont="0" applyFill="0" applyBorder="0" applyAlignment="0" applyProtection="0"/>
    <xf numFmtId="325" fontId="55" fillId="0" borderId="0" applyFont="0" applyFill="0" applyBorder="0" applyAlignment="0" applyProtection="0"/>
    <xf numFmtId="40" fontId="251" fillId="0" borderId="0" applyFont="0" applyFill="0" applyBorder="0" applyAlignment="0" applyProtection="0"/>
    <xf numFmtId="38" fontId="251" fillId="0" borderId="0" applyFont="0" applyFill="0" applyBorder="0" applyAlignment="0" applyProtection="0"/>
    <xf numFmtId="0" fontId="20" fillId="0" borderId="0"/>
    <xf numFmtId="0" fontId="252" fillId="0" borderId="0"/>
    <xf numFmtId="0" fontId="253" fillId="0" borderId="0" applyFont="0" applyFill="0" applyBorder="0" applyAlignment="0" applyProtection="0"/>
    <xf numFmtId="352" fontId="20" fillId="0" borderId="0" applyFont="0" applyFill="0" applyBorder="0" applyAlignment="0" applyProtection="0"/>
    <xf numFmtId="216" fontId="254" fillId="0" borderId="0" applyFont="0" applyFill="0" applyBorder="0" applyAlignment="0" applyProtection="0"/>
    <xf numFmtId="181" fontId="255" fillId="0" borderId="0" applyFont="0" applyFill="0" applyBorder="0" applyAlignment="0" applyProtection="0"/>
    <xf numFmtId="0" fontId="256" fillId="0" borderId="0"/>
    <xf numFmtId="179" fontId="255" fillId="0" borderId="0" applyFont="0" applyFill="0" applyBorder="0" applyAlignment="0" applyProtection="0"/>
    <xf numFmtId="40" fontId="253" fillId="0" borderId="0" applyFont="0" applyFill="0" applyBorder="0" applyAlignment="0" applyProtection="0"/>
    <xf numFmtId="38" fontId="253" fillId="0" borderId="0" applyFont="0" applyFill="0" applyBorder="0" applyAlignment="0" applyProtection="0"/>
    <xf numFmtId="9" fontId="257" fillId="0" borderId="0" applyFont="0" applyFill="0" applyBorder="0" applyAlignment="0" applyProtection="0"/>
    <xf numFmtId="180" fontId="255" fillId="0" borderId="0" applyFont="0" applyFill="0" applyBorder="0" applyAlignment="0" applyProtection="0"/>
    <xf numFmtId="353" fontId="20" fillId="0" borderId="0" applyFont="0" applyFill="0" applyBorder="0" applyAlignment="0" applyProtection="0"/>
    <xf numFmtId="217" fontId="254" fillId="0" borderId="0" applyFont="0" applyFill="0" applyBorder="0" applyAlignment="0" applyProtection="0"/>
    <xf numFmtId="217" fontId="254" fillId="0" borderId="0" applyFont="0" applyFill="0" applyBorder="0" applyAlignment="0" applyProtection="0"/>
    <xf numFmtId="0" fontId="255" fillId="0" borderId="0"/>
    <xf numFmtId="182" fontId="255" fillId="0" borderId="0" applyFont="0" applyFill="0" applyBorder="0" applyAlignment="0" applyProtection="0"/>
    <xf numFmtId="0" fontId="20" fillId="0" borderId="0"/>
    <xf numFmtId="0" fontId="253" fillId="0" borderId="0" applyFont="0" applyFill="0" applyBorder="0" applyAlignment="0" applyProtection="0"/>
    <xf numFmtId="0" fontId="55" fillId="0" borderId="0" applyFont="0" applyFill="0" applyBorder="0" applyAlignment="0" applyProtection="0"/>
    <xf numFmtId="42" fontId="52" fillId="0" borderId="0" applyFont="0" applyFill="0" applyBorder="0" applyAlignment="0" applyProtection="0"/>
    <xf numFmtId="0" fontId="55" fillId="0" borderId="0" applyFont="0" applyFill="0" applyBorder="0" applyAlignment="0" applyProtection="0"/>
    <xf numFmtId="42" fontId="52" fillId="0" borderId="0" applyFont="0" applyFill="0" applyBorder="0" applyAlignment="0" applyProtection="0"/>
    <xf numFmtId="191" fontId="52" fillId="0" borderId="0" applyFont="0" applyFill="0" applyBorder="0" applyAlignment="0" applyProtection="0"/>
    <xf numFmtId="0" fontId="35" fillId="0" borderId="0"/>
    <xf numFmtId="0" fontId="20" fillId="0" borderId="0"/>
    <xf numFmtId="0" fontId="55" fillId="0" borderId="0" applyFont="0" applyFill="0" applyBorder="0" applyAlignment="0" applyProtection="0"/>
    <xf numFmtId="194" fontId="52" fillId="0" borderId="0" applyFont="0" applyFill="0" applyBorder="0" applyAlignment="0" applyProtection="0"/>
    <xf numFmtId="42" fontId="52" fillId="0" borderId="0" applyFont="0" applyFill="0" applyBorder="0" applyAlignment="0" applyProtection="0"/>
    <xf numFmtId="354" fontId="52" fillId="0" borderId="0" applyFont="0" applyFill="0" applyBorder="0" applyAlignment="0" applyProtection="0"/>
    <xf numFmtId="194" fontId="52" fillId="0" borderId="0" applyFont="0" applyFill="0" applyBorder="0" applyAlignment="0" applyProtection="0"/>
    <xf numFmtId="207" fontId="52" fillId="0" borderId="0" applyFont="0" applyFill="0" applyBorder="0" applyAlignment="0" applyProtection="0"/>
    <xf numFmtId="42" fontId="52" fillId="0" borderId="0" applyFont="0" applyFill="0" applyBorder="0" applyAlignment="0" applyProtection="0"/>
    <xf numFmtId="354" fontId="52" fillId="0" borderId="0" applyFont="0" applyFill="0" applyBorder="0" applyAlignment="0" applyProtection="0"/>
    <xf numFmtId="207" fontId="52" fillId="0" borderId="0" applyFont="0" applyFill="0" applyBorder="0" applyAlignment="0" applyProtection="0"/>
    <xf numFmtId="194" fontId="52" fillId="0" borderId="0" applyFont="0" applyFill="0" applyBorder="0" applyAlignment="0" applyProtection="0"/>
    <xf numFmtId="0" fontId="55" fillId="0" borderId="0" applyFont="0" applyFill="0" applyBorder="0" applyAlignment="0" applyProtection="0"/>
    <xf numFmtId="207" fontId="52" fillId="0" borderId="0" applyFont="0" applyFill="0" applyBorder="0" applyAlignment="0" applyProtection="0"/>
    <xf numFmtId="194" fontId="52" fillId="0" borderId="0" applyFont="0" applyFill="0" applyBorder="0" applyAlignment="0" applyProtection="0"/>
    <xf numFmtId="354" fontId="52" fillId="0" borderId="0" applyFont="0" applyFill="0" applyBorder="0" applyAlignment="0" applyProtection="0"/>
    <xf numFmtId="355" fontId="46" fillId="0" borderId="0" applyFont="0" applyFill="0" applyBorder="0" applyAlignment="0" applyProtection="0"/>
    <xf numFmtId="356" fontId="39" fillId="0" borderId="0" applyFont="0" applyFill="0" applyBorder="0" applyAlignment="0" applyProtection="0"/>
    <xf numFmtId="182" fontId="29" fillId="0" borderId="0" applyFont="0" applyFill="0" applyBorder="0" applyAlignment="0" applyProtection="0"/>
    <xf numFmtId="181" fontId="29" fillId="0" borderId="0" applyFont="0" applyFill="0" applyBorder="0" applyAlignment="0" applyProtection="0"/>
    <xf numFmtId="356" fontId="39" fillId="0" borderId="0" applyFont="0" applyFill="0" applyBorder="0" applyAlignment="0" applyProtection="0"/>
    <xf numFmtId="182" fontId="29" fillId="0" borderId="0" applyFont="0" applyFill="0" applyBorder="0" applyAlignment="0" applyProtection="0"/>
    <xf numFmtId="357" fontId="22" fillId="0" borderId="0" applyFont="0" applyFill="0" applyBorder="0" applyAlignment="0" applyProtection="0"/>
    <xf numFmtId="217" fontId="171" fillId="0" borderId="0" applyFont="0" applyFill="0" applyBorder="0" applyAlignment="0" applyProtection="0"/>
    <xf numFmtId="0" fontId="63" fillId="4" borderId="0"/>
    <xf numFmtId="0" fontId="64" fillId="4" borderId="0"/>
    <xf numFmtId="0" fontId="63" fillId="4" borderId="0"/>
    <xf numFmtId="0" fontId="64" fillId="4" borderId="0"/>
    <xf numFmtId="0" fontId="63" fillId="4" borderId="0"/>
    <xf numFmtId="0" fontId="64" fillId="4" borderId="0"/>
    <xf numFmtId="0" fontId="64" fillId="4" borderId="0"/>
    <xf numFmtId="0" fontId="64" fillId="4" borderId="0"/>
    <xf numFmtId="0" fontId="64" fillId="4" borderId="0"/>
    <xf numFmtId="0" fontId="63" fillId="4" borderId="0"/>
    <xf numFmtId="0" fontId="64" fillId="4" borderId="0"/>
    <xf numFmtId="0" fontId="63" fillId="4" borderId="0"/>
    <xf numFmtId="0" fontId="64" fillId="4" borderId="0"/>
    <xf numFmtId="0" fontId="64" fillId="4" borderId="0"/>
    <xf numFmtId="0" fontId="63" fillId="4" borderId="0"/>
    <xf numFmtId="0" fontId="63" fillId="4" borderId="0"/>
    <xf numFmtId="0" fontId="63" fillId="4" borderId="0"/>
    <xf numFmtId="0" fontId="64" fillId="4" borderId="0"/>
    <xf numFmtId="0" fontId="64" fillId="4" borderId="0"/>
    <xf numFmtId="0" fontId="64" fillId="4" borderId="0"/>
    <xf numFmtId="0" fontId="64" fillId="4" borderId="0"/>
    <xf numFmtId="0" fontId="64" fillId="4" borderId="0"/>
    <xf numFmtId="0" fontId="6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63" fillId="4" borderId="0"/>
    <xf numFmtId="0" fontId="63" fillId="4" borderId="0"/>
    <xf numFmtId="0" fontId="64" fillId="4" borderId="0"/>
    <xf numFmtId="0" fontId="64" fillId="4" borderId="0"/>
    <xf numFmtId="0" fontId="64" fillId="4" borderId="0"/>
    <xf numFmtId="0" fontId="64" fillId="4" borderId="0"/>
    <xf numFmtId="0" fontId="63" fillId="4" borderId="0"/>
    <xf numFmtId="0" fontId="63" fillId="4" borderId="0"/>
    <xf numFmtId="215" fontId="57" fillId="0" borderId="0" applyFont="0" applyFill="0" applyBorder="0" applyAlignment="0" applyProtection="0"/>
    <xf numFmtId="0" fontId="64" fillId="4" borderId="0"/>
    <xf numFmtId="0" fontId="63" fillId="4" borderId="0"/>
    <xf numFmtId="0" fontId="64" fillId="4" borderId="0"/>
    <xf numFmtId="0" fontId="64" fillId="4" borderId="0"/>
    <xf numFmtId="0" fontId="63" fillId="4" borderId="0"/>
    <xf numFmtId="0" fontId="63" fillId="4" borderId="0"/>
    <xf numFmtId="0" fontId="67" fillId="0" borderId="1" applyNumberFormat="0" applyFont="0" applyBorder="0">
      <alignment horizontal="left" indent="2"/>
    </xf>
    <xf numFmtId="9" fontId="258" fillId="0" borderId="0" applyFont="0" applyFill="0" applyBorder="0" applyAlignment="0" applyProtection="0"/>
    <xf numFmtId="9" fontId="259" fillId="0" borderId="0" applyFont="0" applyFill="0" applyBorder="0" applyAlignment="0" applyProtection="0"/>
    <xf numFmtId="0" fontId="71" fillId="4" borderId="0"/>
    <xf numFmtId="0" fontId="64" fillId="4" borderId="0"/>
    <xf numFmtId="0" fontId="71" fillId="4" borderId="0"/>
    <xf numFmtId="0" fontId="64" fillId="4" borderId="0"/>
    <xf numFmtId="0" fontId="71" fillId="4" borderId="0"/>
    <xf numFmtId="0" fontId="64" fillId="4" borderId="0"/>
    <xf numFmtId="0" fontId="64" fillId="4" borderId="0"/>
    <xf numFmtId="0" fontId="64" fillId="4" borderId="0"/>
    <xf numFmtId="0" fontId="64" fillId="4" borderId="0"/>
    <xf numFmtId="0" fontId="71" fillId="4" borderId="0"/>
    <xf numFmtId="0" fontId="64" fillId="4" borderId="0"/>
    <xf numFmtId="0" fontId="71" fillId="4" borderId="0"/>
    <xf numFmtId="0" fontId="64" fillId="4" borderId="0"/>
    <xf numFmtId="0" fontId="64" fillId="4" borderId="0"/>
    <xf numFmtId="0" fontId="71" fillId="4" borderId="0"/>
    <xf numFmtId="0" fontId="71" fillId="4" borderId="0"/>
    <xf numFmtId="0" fontId="71" fillId="4" borderId="0"/>
    <xf numFmtId="0" fontId="64" fillId="4" borderId="0"/>
    <xf numFmtId="0" fontId="64" fillId="4" borderId="0"/>
    <xf numFmtId="0" fontId="64" fillId="4" borderId="0"/>
    <xf numFmtId="0" fontId="64" fillId="4" borderId="0"/>
    <xf numFmtId="0" fontId="64" fillId="4" borderId="0"/>
    <xf numFmtId="0" fontId="71"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1" fillId="4" borderId="0"/>
    <xf numFmtId="0" fontId="71" fillId="4" borderId="0"/>
    <xf numFmtId="0" fontId="64" fillId="4" borderId="0"/>
    <xf numFmtId="0" fontId="64" fillId="4" borderId="0"/>
    <xf numFmtId="0" fontId="64" fillId="4" borderId="0"/>
    <xf numFmtId="0" fontId="64" fillId="4" borderId="0"/>
    <xf numFmtId="0" fontId="71" fillId="4" borderId="0"/>
    <xf numFmtId="0" fontId="71" fillId="4" borderId="0"/>
    <xf numFmtId="0" fontId="64" fillId="4" borderId="0"/>
    <xf numFmtId="0" fontId="71" fillId="4" borderId="0"/>
    <xf numFmtId="0" fontId="64" fillId="4" borderId="0"/>
    <xf numFmtId="0" fontId="64" fillId="4" borderId="0"/>
    <xf numFmtId="0" fontId="71" fillId="4" borderId="0"/>
    <xf numFmtId="0" fontId="71" fillId="4" borderId="0"/>
    <xf numFmtId="0" fontId="67" fillId="0" borderId="1" applyNumberFormat="0" applyFont="0" applyBorder="0" applyAlignment="0">
      <alignment horizontal="center"/>
    </xf>
    <xf numFmtId="0" fontId="30" fillId="0" borderId="0"/>
    <xf numFmtId="0" fontId="73" fillId="4" borderId="0"/>
    <xf numFmtId="0" fontId="64" fillId="4" borderId="0"/>
    <xf numFmtId="0" fontId="73" fillId="4" borderId="0"/>
    <xf numFmtId="0" fontId="64" fillId="4" borderId="0"/>
    <xf numFmtId="0" fontId="73" fillId="4" borderId="0"/>
    <xf numFmtId="0" fontId="64" fillId="4" borderId="0"/>
    <xf numFmtId="0" fontId="64" fillId="4" borderId="0"/>
    <xf numFmtId="0" fontId="64" fillId="4" borderId="0"/>
    <xf numFmtId="0" fontId="64" fillId="4" borderId="0"/>
    <xf numFmtId="0" fontId="73" fillId="4" borderId="0"/>
    <xf numFmtId="0" fontId="64" fillId="4" borderId="0"/>
    <xf numFmtId="0" fontId="73" fillId="4" borderId="0"/>
    <xf numFmtId="0" fontId="64" fillId="4" borderId="0"/>
    <xf numFmtId="0" fontId="64" fillId="4" borderId="0"/>
    <xf numFmtId="0" fontId="73" fillId="4" borderId="0"/>
    <xf numFmtId="0" fontId="73" fillId="4" borderId="0"/>
    <xf numFmtId="0" fontId="73" fillId="4" borderId="0"/>
    <xf numFmtId="0" fontId="64" fillId="4" borderId="0"/>
    <xf numFmtId="0" fontId="64" fillId="4" borderId="0"/>
    <xf numFmtId="0" fontId="64" fillId="4" borderId="0"/>
    <xf numFmtId="0" fontId="64" fillId="4" borderId="0"/>
    <xf numFmtId="0" fontId="64" fillId="4" borderId="0"/>
    <xf numFmtId="0" fontId="73" fillId="4" borderId="0"/>
    <xf numFmtId="0" fontId="64" fillId="4" borderId="0"/>
    <xf numFmtId="0" fontId="64" fillId="4" borderId="0"/>
    <xf numFmtId="0" fontId="64" fillId="4" borderId="0"/>
    <xf numFmtId="0" fontId="64" fillId="4" borderId="0"/>
    <xf numFmtId="0" fontId="64" fillId="4" borderId="0"/>
    <xf numFmtId="0" fontId="64" fillId="4" borderId="0"/>
    <xf numFmtId="0" fontId="64" fillId="4" borderId="0"/>
    <xf numFmtId="0" fontId="73" fillId="4" borderId="0"/>
    <xf numFmtId="0" fontId="73" fillId="4" borderId="0"/>
    <xf numFmtId="0" fontId="64" fillId="4" borderId="0"/>
    <xf numFmtId="0" fontId="64" fillId="4" borderId="0"/>
    <xf numFmtId="0" fontId="64" fillId="4" borderId="0"/>
    <xf numFmtId="0" fontId="64" fillId="4" borderId="0"/>
    <xf numFmtId="0" fontId="73" fillId="4" borderId="0"/>
    <xf numFmtId="0" fontId="73" fillId="4" borderId="0"/>
    <xf numFmtId="0" fontId="64" fillId="4" borderId="0"/>
    <xf numFmtId="0" fontId="73" fillId="4" borderId="0"/>
    <xf numFmtId="0" fontId="64" fillId="4" borderId="0"/>
    <xf numFmtId="0" fontId="64" fillId="4" borderId="0"/>
    <xf numFmtId="0" fontId="73" fillId="4" borderId="0"/>
    <xf numFmtId="0" fontId="73" fillId="4" borderId="0"/>
    <xf numFmtId="0" fontId="74" fillId="0" borderId="0">
      <alignment wrapText="1"/>
    </xf>
    <xf numFmtId="0" fontId="64" fillId="0" borderId="0">
      <alignment wrapText="1"/>
    </xf>
    <xf numFmtId="0" fontId="7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74" fillId="0" borderId="0">
      <alignment wrapText="1"/>
    </xf>
    <xf numFmtId="0" fontId="7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74" fillId="0" borderId="0">
      <alignment wrapText="1"/>
    </xf>
    <xf numFmtId="0" fontId="64" fillId="0" borderId="0">
      <alignment wrapText="1"/>
    </xf>
    <xf numFmtId="0" fontId="64" fillId="0" borderId="0">
      <alignment wrapText="1"/>
    </xf>
    <xf numFmtId="0" fontId="64" fillId="0" borderId="0">
      <alignment wrapText="1"/>
    </xf>
    <xf numFmtId="0" fontId="64" fillId="0" borderId="0">
      <alignment wrapText="1"/>
    </xf>
    <xf numFmtId="0" fontId="74" fillId="0" borderId="0">
      <alignment wrapText="1"/>
    </xf>
    <xf numFmtId="0" fontId="74" fillId="0" borderId="0">
      <alignment wrapText="1"/>
    </xf>
    <xf numFmtId="0" fontId="64" fillId="0" borderId="0">
      <alignment wrapText="1"/>
    </xf>
    <xf numFmtId="0" fontId="74" fillId="0" borderId="0">
      <alignment wrapText="1"/>
    </xf>
    <xf numFmtId="0" fontId="64" fillId="0" borderId="0">
      <alignment wrapText="1"/>
    </xf>
    <xf numFmtId="0" fontId="64" fillId="0" borderId="0">
      <alignment wrapText="1"/>
    </xf>
    <xf numFmtId="0" fontId="74" fillId="0" borderId="0">
      <alignment wrapText="1"/>
    </xf>
    <xf numFmtId="0" fontId="74" fillId="0" borderId="0">
      <alignment wrapText="1"/>
    </xf>
    <xf numFmtId="0" fontId="22" fillId="0" borderId="0"/>
    <xf numFmtId="0" fontId="22" fillId="0" borderId="0"/>
    <xf numFmtId="0" fontId="22" fillId="0" borderId="0"/>
    <xf numFmtId="0" fontId="22" fillId="0" borderId="0"/>
    <xf numFmtId="0" fontId="251" fillId="0" borderId="0" applyFont="0" applyFill="0" applyBorder="0" applyAlignment="0" applyProtection="0"/>
    <xf numFmtId="0" fontId="251" fillId="0" borderId="0" applyFont="0" applyFill="0" applyBorder="0" applyAlignment="0" applyProtection="0"/>
    <xf numFmtId="0" fontId="20"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250" fontId="20" fillId="0" borderId="0" applyFill="0" applyBorder="0" applyAlignment="0"/>
    <xf numFmtId="0" fontId="20" fillId="0" borderId="0" applyFill="0" applyBorder="0" applyAlignment="0"/>
    <xf numFmtId="0" fontId="141" fillId="0" borderId="0" applyNumberFormat="0" applyFill="0" applyBorder="0" applyAlignment="0" applyProtection="0"/>
    <xf numFmtId="0" fontId="225" fillId="0" borderId="1"/>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180" fontId="3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15" fillId="0" borderId="0" applyFont="0" applyFill="0" applyBorder="0" applyAlignment="0" applyProtection="0"/>
    <xf numFmtId="165" fontId="24"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171" fontId="100" fillId="0" borderId="0" applyFont="0" applyFill="0" applyBorder="0" applyAlignment="0" applyProtection="0"/>
    <xf numFmtId="171" fontId="100" fillId="0" borderId="0" applyFont="0" applyFill="0" applyBorder="0" applyAlignment="0" applyProtection="0"/>
    <xf numFmtId="171" fontId="100" fillId="0" borderId="0" applyFont="0" applyFill="0" applyBorder="0" applyAlignment="0" applyProtection="0"/>
    <xf numFmtId="43" fontId="20"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20" fillId="0" borderId="0" applyFont="0" applyFill="0" applyBorder="0" applyAlignment="0" applyProtection="0"/>
    <xf numFmtId="165" fontId="26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358" fontId="46" fillId="0" borderId="0" applyFont="0" applyFill="0" applyBorder="0" applyAlignment="0" applyProtection="0"/>
    <xf numFmtId="180" fontId="29" fillId="0" borderId="0" applyFont="0" applyFill="0" applyBorder="0" applyAlignment="0" applyProtection="0"/>
    <xf numFmtId="0" fontId="261" fillId="0" borderId="13" applyNumberFormat="0" applyFont="0" applyAlignment="0">
      <alignment horizontal="center" vertical="center"/>
    </xf>
    <xf numFmtId="359" fontId="20" fillId="0" borderId="0" applyFont="0" applyFill="0" applyBorder="0" applyAlignment="0" applyProtection="0"/>
    <xf numFmtId="0" fontId="32" fillId="0" borderId="0" applyProtection="0"/>
    <xf numFmtId="360" fontId="46" fillId="0" borderId="0" applyFont="0" applyFill="0" applyBorder="0" applyAlignment="0" applyProtection="0"/>
    <xf numFmtId="353" fontId="20"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79" fontId="118" fillId="0" borderId="0" applyFont="0" applyFill="0" applyBorder="0" applyAlignment="0" applyProtection="0"/>
    <xf numFmtId="180" fontId="118" fillId="0" borderId="0" applyFont="0" applyFill="0" applyBorder="0" applyAlignment="0" applyProtection="0"/>
    <xf numFmtId="180" fontId="118" fillId="0" borderId="0" applyFont="0" applyFill="0" applyBorder="0" applyAlignment="0" applyProtection="0"/>
    <xf numFmtId="180" fontId="118" fillId="0" borderId="0" applyFont="0" applyFill="0" applyBorder="0" applyAlignment="0" applyProtection="0"/>
    <xf numFmtId="180" fontId="118" fillId="0" borderId="0" applyFont="0" applyFill="0" applyBorder="0" applyAlignment="0" applyProtection="0"/>
    <xf numFmtId="0" fontId="52" fillId="0" borderId="0"/>
    <xf numFmtId="0" fontId="20" fillId="0" borderId="0" applyFill="0" applyBorder="0" applyAlignment="0"/>
    <xf numFmtId="0" fontId="262" fillId="0" borderId="0" applyNumberFormat="0" applyFill="0" applyBorder="0" applyAlignment="0" applyProtection="0"/>
    <xf numFmtId="0" fontId="31" fillId="0" borderId="0" applyNumberFormat="0" applyFill="0" applyBorder="0" applyAlignment="0" applyProtection="0"/>
    <xf numFmtId="361" fontId="40" fillId="0" borderId="0">
      <protection locked="0"/>
    </xf>
    <xf numFmtId="0" fontId="31" fillId="0" borderId="0" applyProtection="0"/>
    <xf numFmtId="0" fontId="31" fillId="0" borderId="0" applyProtection="0"/>
    <xf numFmtId="0" fontId="31" fillId="0" borderId="0" applyProtection="0"/>
    <xf numFmtId="0" fontId="31" fillId="0" borderId="0" applyProtection="0"/>
    <xf numFmtId="0" fontId="31" fillId="0" borderId="0" applyProtection="0"/>
    <xf numFmtId="0" fontId="31" fillId="0" borderId="0" applyProtection="0"/>
    <xf numFmtId="361" fontId="40" fillId="0" borderId="0">
      <protection locked="0"/>
    </xf>
    <xf numFmtId="361" fontId="40" fillId="0" borderId="0">
      <protection locked="0"/>
    </xf>
    <xf numFmtId="0" fontId="31" fillId="0" borderId="0" applyProtection="0"/>
    <xf numFmtId="0" fontId="263" fillId="0" borderId="0"/>
    <xf numFmtId="0" fontId="36" fillId="0" borderId="0" applyFont="0" applyFill="0" applyBorder="0" applyAlignment="0" applyProtection="0"/>
    <xf numFmtId="0" fontId="36" fillId="0" borderId="0" applyFont="0" applyFill="0" applyBorder="0" applyAlignment="0" applyProtection="0"/>
    <xf numFmtId="0" fontId="20" fillId="0" borderId="0"/>
    <xf numFmtId="0" fontId="20" fillId="0" borderId="0"/>
    <xf numFmtId="0" fontId="35" fillId="0" borderId="0"/>
    <xf numFmtId="0" fontId="20" fillId="0" borderId="0" applyFill="0" applyBorder="0" applyAlignment="0"/>
    <xf numFmtId="0" fontId="5" fillId="0" borderId="0"/>
    <xf numFmtId="0" fontId="5" fillId="0" borderId="0"/>
    <xf numFmtId="0" fontId="72" fillId="0" borderId="0"/>
    <xf numFmtId="0" fontId="24" fillId="0" borderId="0"/>
    <xf numFmtId="0" fontId="24" fillId="0" borderId="0"/>
    <xf numFmtId="0" fontId="20" fillId="0" borderId="0">
      <alignment vertical="top"/>
    </xf>
    <xf numFmtId="0" fontId="24" fillId="0" borderId="0"/>
    <xf numFmtId="0" fontId="264" fillId="0" borderId="0"/>
    <xf numFmtId="0" fontId="20" fillId="0" borderId="0"/>
    <xf numFmtId="0" fontId="20" fillId="0" borderId="0"/>
    <xf numFmtId="0" fontId="20" fillId="0" borderId="0"/>
    <xf numFmtId="0" fontId="20" fillId="0" borderId="0"/>
    <xf numFmtId="0" fontId="24" fillId="0" borderId="0"/>
    <xf numFmtId="0" fontId="264" fillId="0" borderId="0"/>
    <xf numFmtId="0" fontId="20" fillId="0" borderId="0"/>
    <xf numFmtId="0" fontId="20" fillId="0" borderId="0"/>
    <xf numFmtId="0" fontId="264" fillId="0" borderId="0"/>
    <xf numFmtId="0" fontId="20" fillId="0" borderId="0"/>
    <xf numFmtId="0" fontId="173" fillId="0" borderId="0"/>
    <xf numFmtId="0" fontId="15" fillId="0" borderId="0"/>
    <xf numFmtId="0" fontId="5" fillId="0" borderId="0"/>
    <xf numFmtId="0" fontId="23" fillId="0" borderId="0"/>
    <xf numFmtId="0" fontId="23" fillId="0" borderId="0"/>
    <xf numFmtId="0" fontId="20" fillId="0" borderId="0"/>
    <xf numFmtId="0" fontId="264" fillId="0" borderId="0"/>
    <xf numFmtId="0" fontId="264" fillId="0" borderId="0"/>
    <xf numFmtId="0" fontId="264" fillId="0" borderId="0"/>
    <xf numFmtId="0" fontId="264" fillId="0" borderId="0"/>
    <xf numFmtId="0" fontId="264" fillId="0" borderId="0"/>
    <xf numFmtId="0" fontId="20" fillId="0" borderId="0"/>
    <xf numFmtId="0" fontId="5"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3" fillId="0" borderId="0"/>
    <xf numFmtId="0" fontId="20" fillId="0" borderId="0"/>
    <xf numFmtId="0" fontId="265" fillId="0" borderId="0"/>
    <xf numFmtId="0" fontId="173" fillId="0" borderId="0"/>
    <xf numFmtId="0" fontId="173" fillId="0" borderId="0"/>
    <xf numFmtId="0" fontId="15" fillId="0" borderId="0"/>
    <xf numFmtId="0" fontId="20" fillId="0" borderId="0"/>
    <xf numFmtId="0" fontId="20" fillId="0" borderId="0"/>
    <xf numFmtId="0" fontId="20" fillId="0" borderId="0"/>
    <xf numFmtId="0" fontId="20" fillId="0" borderId="0"/>
    <xf numFmtId="3" fontId="266" fillId="0" borderId="0" applyFont="0" applyFill="0" applyBorder="0" applyAlignment="0" applyProtection="0"/>
    <xf numFmtId="0" fontId="20" fillId="0" borderId="0" applyFill="0" applyBorder="0" applyAlignment="0"/>
    <xf numFmtId="0" fontId="141" fillId="0" borderId="0" applyNumberFormat="0" applyFill="0" applyBorder="0" applyAlignment="0" applyProtection="0"/>
    <xf numFmtId="3" fontId="52" fillId="0" borderId="54">
      <alignment horizontal="right" wrapText="1"/>
    </xf>
    <xf numFmtId="0" fontId="15" fillId="0" borderId="0">
      <alignment vertical="center"/>
    </xf>
    <xf numFmtId="0" fontId="267" fillId="0" borderId="0" applyNumberFormat="0" applyFill="0" applyBorder="0" applyAlignment="0" applyProtection="0">
      <alignment vertical="top"/>
      <protection locked="0"/>
    </xf>
    <xf numFmtId="207" fontId="52" fillId="0" borderId="0" applyFont="0" applyFill="0" applyBorder="0" applyAlignment="0" applyProtection="0"/>
    <xf numFmtId="327" fontId="30" fillId="0" borderId="6">
      <alignment horizontal="right" vertical="center"/>
    </xf>
    <xf numFmtId="186" fontId="93" fillId="0" borderId="6">
      <alignment horizontal="right" vertical="center"/>
    </xf>
    <xf numFmtId="305" fontId="30" fillId="0" borderId="6">
      <alignment horizontal="right" vertical="center"/>
    </xf>
    <xf numFmtId="305" fontId="30" fillId="0" borderId="6">
      <alignment horizontal="right" vertical="center"/>
    </xf>
    <xf numFmtId="335" fontId="203" fillId="4" borderId="41" applyFont="0" applyFill="0" applyBorder="0"/>
    <xf numFmtId="324" fontId="84" fillId="0" borderId="6">
      <alignment horizontal="right" vertical="center"/>
    </xf>
    <xf numFmtId="331" fontId="22" fillId="0" borderId="6">
      <alignment horizontal="right" vertical="center"/>
    </xf>
    <xf numFmtId="327" fontId="30" fillId="0" borderId="6">
      <alignment horizontal="right" vertical="center"/>
    </xf>
    <xf numFmtId="331" fontId="22" fillId="0" borderId="6">
      <alignment horizontal="right" vertical="center"/>
    </xf>
    <xf numFmtId="331" fontId="22" fillId="0" borderId="6">
      <alignment horizontal="right" vertical="center"/>
    </xf>
    <xf numFmtId="331" fontId="22" fillId="0" borderId="6">
      <alignment horizontal="right" vertical="center"/>
    </xf>
    <xf numFmtId="327" fontId="30" fillId="0" borderId="6">
      <alignment horizontal="right" vertical="center"/>
    </xf>
    <xf numFmtId="327" fontId="30" fillId="0" borderId="6">
      <alignment horizontal="right" vertical="center"/>
    </xf>
    <xf numFmtId="327" fontId="30" fillId="0" borderId="6">
      <alignment horizontal="right" vertical="center"/>
    </xf>
    <xf numFmtId="327" fontId="30" fillId="0" borderId="6">
      <alignment horizontal="right" vertical="center"/>
    </xf>
    <xf numFmtId="325" fontId="78" fillId="0" borderId="6">
      <alignment horizontal="right" vertical="center"/>
    </xf>
    <xf numFmtId="327" fontId="30" fillId="0" borderId="6">
      <alignment horizontal="right" vertical="center"/>
    </xf>
    <xf numFmtId="327" fontId="30" fillId="0" borderId="6">
      <alignment horizontal="right" vertical="center"/>
    </xf>
    <xf numFmtId="324" fontId="84" fillId="0" borderId="6">
      <alignment horizontal="right" vertical="center"/>
    </xf>
    <xf numFmtId="327" fontId="30" fillId="0" borderId="6">
      <alignment horizontal="right" vertical="center"/>
    </xf>
    <xf numFmtId="327" fontId="30" fillId="0" borderId="6">
      <alignment horizontal="right" vertical="center"/>
    </xf>
    <xf numFmtId="327" fontId="30" fillId="0" borderId="6">
      <alignment horizontal="right" vertical="center"/>
    </xf>
    <xf numFmtId="335" fontId="203" fillId="4" borderId="41" applyFont="0" applyFill="0" applyBorder="0"/>
    <xf numFmtId="327" fontId="30" fillId="0" borderId="6">
      <alignment horizontal="right" vertical="center"/>
    </xf>
    <xf numFmtId="327" fontId="30" fillId="0" borderId="6">
      <alignment horizontal="right" vertical="center"/>
    </xf>
    <xf numFmtId="324" fontId="84"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37" fontId="30" fillId="0" borderId="6">
      <alignment horizontal="right" vertical="center"/>
    </xf>
    <xf numFmtId="305" fontId="30" fillId="0" borderId="6">
      <alignment horizontal="right" vertical="center"/>
    </xf>
    <xf numFmtId="305" fontId="30" fillId="0" borderId="6">
      <alignment horizontal="right" vertical="center"/>
    </xf>
    <xf numFmtId="324" fontId="84" fillId="0" borderId="6">
      <alignment horizontal="right" vertical="center"/>
    </xf>
    <xf numFmtId="325" fontId="78" fillId="0" borderId="6">
      <alignment horizontal="right" vertical="center"/>
    </xf>
    <xf numFmtId="325" fontId="78"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5" fontId="78" fillId="0" borderId="6">
      <alignment horizontal="right" vertical="center"/>
    </xf>
    <xf numFmtId="305" fontId="30" fillId="0" borderId="6">
      <alignment horizontal="right" vertical="center"/>
    </xf>
    <xf numFmtId="324" fontId="84" fillId="0" borderId="6">
      <alignment horizontal="right" vertical="center"/>
    </xf>
    <xf numFmtId="327" fontId="30" fillId="0" borderId="6">
      <alignment horizontal="right" vertical="center"/>
    </xf>
    <xf numFmtId="327" fontId="30" fillId="0" borderId="6">
      <alignment horizontal="right" vertical="center"/>
    </xf>
    <xf numFmtId="305" fontId="30" fillId="0" borderId="6">
      <alignment horizontal="right" vertical="center"/>
    </xf>
    <xf numFmtId="324" fontId="84" fillId="0" borderId="6">
      <alignment horizontal="right" vertical="center"/>
    </xf>
    <xf numFmtId="329" fontId="78" fillId="0" borderId="6">
      <alignment horizontal="right" vertical="center"/>
    </xf>
    <xf numFmtId="327" fontId="30" fillId="0" borderId="6">
      <alignment horizontal="right" vertical="center"/>
    </xf>
    <xf numFmtId="327" fontId="30" fillId="0" borderId="6">
      <alignment horizontal="right" vertical="center"/>
    </xf>
    <xf numFmtId="325" fontId="78" fillId="0" borderId="6">
      <alignment horizontal="right" vertical="center"/>
    </xf>
    <xf numFmtId="324" fontId="84" fillId="0" borderId="6">
      <alignment horizontal="right" vertical="center"/>
    </xf>
    <xf numFmtId="305"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05" fontId="30"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24" fontId="84" fillId="0" borderId="6">
      <alignment horizontal="right" vertical="center"/>
    </xf>
    <xf numFmtId="331" fontId="22" fillId="0" borderId="6">
      <alignment horizontal="right" vertical="center"/>
    </xf>
    <xf numFmtId="331" fontId="22" fillId="0" borderId="6">
      <alignment horizontal="right" vertical="center"/>
    </xf>
    <xf numFmtId="331" fontId="22" fillId="0" borderId="6">
      <alignment horizontal="right" vertical="center"/>
    </xf>
    <xf numFmtId="0" fontId="20" fillId="0" borderId="0" applyFill="0" applyBorder="0" applyAlignment="0"/>
    <xf numFmtId="0" fontId="20" fillId="0" borderId="20" applyNumberFormat="0" applyFont="0" applyFill="0" applyAlignment="0" applyProtection="0"/>
    <xf numFmtId="0" fontId="268" fillId="0" borderId="0"/>
    <xf numFmtId="0" fontId="15" fillId="0" borderId="0">
      <alignment wrapText="1"/>
    </xf>
    <xf numFmtId="0" fontId="15" fillId="0" borderId="0">
      <alignment wrapText="1" shrinkToFit="1"/>
    </xf>
    <xf numFmtId="0" fontId="15" fillId="0" borderId="0">
      <alignment horizontal="center" vertical="center" wrapText="1" shrinkToFit="1"/>
    </xf>
    <xf numFmtId="0" fontId="269" fillId="53" borderId="1">
      <alignment horizontal="center" vertical="center"/>
      <protection hidden="1"/>
    </xf>
    <xf numFmtId="0" fontId="270" fillId="0" borderId="0"/>
    <xf numFmtId="0" fontId="4" fillId="0" borderId="0"/>
    <xf numFmtId="0" fontId="3" fillId="0" borderId="0"/>
    <xf numFmtId="0" fontId="2" fillId="0" borderId="0"/>
    <xf numFmtId="43" fontId="2" fillId="0" borderId="0" applyFont="0" applyFill="0" applyBorder="0" applyAlignment="0" applyProtection="0"/>
    <xf numFmtId="0" fontId="1" fillId="0" borderId="0"/>
    <xf numFmtId="43" fontId="1" fillId="0" borderId="0" applyFont="0" applyFill="0" applyBorder="0" applyAlignment="0" applyProtection="0"/>
    <xf numFmtId="0" fontId="20" fillId="0" borderId="0"/>
  </cellStyleXfs>
  <cellXfs count="541">
    <xf numFmtId="0" fontId="0" fillId="0" borderId="0" xfId="0"/>
    <xf numFmtId="0" fontId="11" fillId="0" borderId="11" xfId="1" applyFont="1" applyBorder="1" applyAlignment="1">
      <alignment vertical="center" wrapText="1"/>
    </xf>
    <xf numFmtId="0" fontId="10" fillId="0" borderId="11" xfId="1" applyFont="1" applyBorder="1" applyAlignment="1">
      <alignment vertical="center" wrapText="1"/>
    </xf>
    <xf numFmtId="0" fontId="15" fillId="0" borderId="11" xfId="1" applyFont="1" applyBorder="1" applyAlignment="1">
      <alignment vertical="center" wrapText="1"/>
    </xf>
    <xf numFmtId="0" fontId="14" fillId="0" borderId="11" xfId="1" applyFont="1" applyBorder="1" applyAlignment="1">
      <alignment vertical="center" wrapText="1"/>
    </xf>
    <xf numFmtId="0" fontId="15" fillId="0" borderId="11" xfId="1" applyFont="1" applyBorder="1" applyAlignment="1">
      <alignment horizontal="center" vertical="center" wrapText="1"/>
    </xf>
    <xf numFmtId="0" fontId="87" fillId="0" borderId="0" xfId="3144" applyFont="1" applyFill="1" applyAlignment="1">
      <alignment horizontal="center"/>
    </xf>
    <xf numFmtId="351" fontId="87" fillId="0" borderId="0" xfId="3144" applyNumberFormat="1" applyFont="1" applyFill="1" applyAlignment="1">
      <alignment horizontal="center"/>
    </xf>
    <xf numFmtId="0" fontId="23" fillId="0" borderId="11" xfId="0" applyFont="1" applyFill="1" applyBorder="1" applyAlignment="1">
      <alignment horizontal="left" vertical="center" wrapText="1"/>
    </xf>
    <xf numFmtId="1" fontId="23" fillId="0" borderId="11" xfId="3144" applyNumberFormat="1" applyFont="1" applyBorder="1" applyAlignment="1">
      <alignment horizontal="center" vertical="center" wrapText="1"/>
    </xf>
    <xf numFmtId="169" fontId="23" fillId="0" borderId="11" xfId="59" applyNumberFormat="1" applyFont="1" applyFill="1" applyBorder="1" applyAlignment="1">
      <alignment vertical="center" wrapText="1"/>
    </xf>
    <xf numFmtId="169" fontId="23" fillId="0" borderId="11" xfId="14" applyNumberFormat="1" applyFont="1" applyBorder="1" applyAlignment="1">
      <alignment vertical="center" wrapText="1"/>
    </xf>
    <xf numFmtId="169" fontId="23" fillId="2" borderId="11" xfId="44" applyNumberFormat="1" applyFont="1" applyFill="1" applyBorder="1" applyAlignment="1">
      <alignment vertical="center" wrapText="1"/>
    </xf>
    <xf numFmtId="169" fontId="23" fillId="0" borderId="11" xfId="60" applyNumberFormat="1" applyFont="1" applyFill="1" applyBorder="1" applyAlignment="1">
      <alignment vertical="center" wrapText="1"/>
    </xf>
    <xf numFmtId="169" fontId="23" fillId="2" borderId="11" xfId="3144" applyNumberFormat="1" applyFont="1" applyFill="1" applyBorder="1" applyAlignment="1">
      <alignment vertical="center" wrapText="1"/>
    </xf>
    <xf numFmtId="169" fontId="23" fillId="2" borderId="11" xfId="61" applyNumberFormat="1" applyFont="1" applyFill="1" applyBorder="1" applyAlignment="1">
      <alignment vertical="center" wrapText="1"/>
    </xf>
    <xf numFmtId="169" fontId="23" fillId="2" borderId="11" xfId="25" applyNumberFormat="1" applyFont="1" applyFill="1" applyBorder="1" applyAlignment="1">
      <alignment vertical="center" wrapText="1"/>
    </xf>
    <xf numFmtId="169" fontId="23" fillId="2" borderId="11" xfId="22" applyNumberFormat="1" applyFont="1" applyFill="1" applyBorder="1" applyAlignment="1">
      <alignment vertical="center" wrapText="1"/>
    </xf>
    <xf numFmtId="169" fontId="23" fillId="0" borderId="11" xfId="3144" applyNumberFormat="1" applyFont="1" applyBorder="1" applyAlignment="1">
      <alignment vertical="center" wrapText="1"/>
    </xf>
    <xf numFmtId="169" fontId="23" fillId="2" borderId="11" xfId="1954" applyNumberFormat="1" applyFont="1" applyFill="1" applyBorder="1" applyAlignment="1">
      <alignment vertical="center" wrapText="1"/>
    </xf>
    <xf numFmtId="0" fontId="14" fillId="0" borderId="11" xfId="1" applyFont="1" applyBorder="1" applyAlignment="1">
      <alignment horizontal="center" vertical="center" wrapText="1"/>
    </xf>
    <xf numFmtId="3" fontId="15" fillId="0" borderId="11" xfId="1" applyNumberFormat="1" applyFont="1" applyBorder="1" applyAlignment="1">
      <alignment horizontal="right" vertical="center" wrapText="1"/>
    </xf>
    <xf numFmtId="0" fontId="15" fillId="0" borderId="0" xfId="1" applyFont="1"/>
    <xf numFmtId="0" fontId="14" fillId="0" borderId="0" xfId="1" applyFont="1"/>
    <xf numFmtId="166" fontId="248" fillId="0" borderId="11" xfId="3" applyNumberFormat="1" applyFont="1" applyBorder="1" applyAlignment="1">
      <alignment horizontal="right" vertical="center" wrapText="1"/>
    </xf>
    <xf numFmtId="166" fontId="248" fillId="0" borderId="11" xfId="3" applyNumberFormat="1" applyFont="1" applyBorder="1" applyAlignment="1">
      <alignment horizontal="center" vertical="center" wrapText="1"/>
    </xf>
    <xf numFmtId="166" fontId="17" fillId="0" borderId="11" xfId="3" applyNumberFormat="1" applyFont="1" applyFill="1" applyBorder="1" applyAlignment="1">
      <alignment horizontal="left" vertical="center" wrapText="1"/>
    </xf>
    <xf numFmtId="166" fontId="17" fillId="0" borderId="11" xfId="3" applyNumberFormat="1" applyFont="1" applyFill="1" applyBorder="1" applyAlignment="1">
      <alignment vertical="center"/>
    </xf>
    <xf numFmtId="3" fontId="14" fillId="0" borderId="11" xfId="1" applyNumberFormat="1" applyFont="1" applyBorder="1" applyAlignment="1">
      <alignment horizontal="right" vertical="center" wrapText="1"/>
    </xf>
    <xf numFmtId="0" fontId="274" fillId="0" borderId="0" xfId="1" applyFont="1"/>
    <xf numFmtId="0" fontId="17" fillId="0" borderId="0" xfId="1" applyFont="1" applyFill="1"/>
    <xf numFmtId="166" fontId="17" fillId="0" borderId="11" xfId="3" applyNumberFormat="1" applyFont="1" applyFill="1" applyBorder="1" applyAlignment="1">
      <alignment horizontal="center" vertical="center" wrapText="1"/>
    </xf>
    <xf numFmtId="41" fontId="17" fillId="0" borderId="1" xfId="2" applyNumberFormat="1" applyFont="1" applyFill="1" applyBorder="1" applyAlignment="1">
      <alignment horizontal="center" vertical="center" wrapText="1"/>
    </xf>
    <xf numFmtId="0" fontId="17" fillId="0" borderId="11" xfId="0" applyFont="1" applyFill="1" applyBorder="1" applyAlignment="1">
      <alignment horizontal="center" vertical="center" wrapText="1"/>
    </xf>
    <xf numFmtId="0" fontId="17" fillId="0" borderId="11" xfId="0" applyFont="1" applyFill="1" applyBorder="1" applyAlignment="1">
      <alignment horizontal="left" vertical="center" wrapText="1"/>
    </xf>
    <xf numFmtId="3" fontId="17" fillId="0" borderId="11" xfId="0" applyNumberFormat="1" applyFont="1" applyFill="1" applyBorder="1" applyAlignment="1">
      <alignment horizontal="left" vertical="center" wrapText="1"/>
    </xf>
    <xf numFmtId="166" fontId="17" fillId="0" borderId="11" xfId="1" applyNumberFormat="1" applyFont="1" applyFill="1" applyBorder="1" applyAlignment="1">
      <alignment vertical="center"/>
    </xf>
    <xf numFmtId="0" fontId="17" fillId="0" borderId="11" xfId="1" applyFont="1" applyFill="1" applyBorder="1" applyAlignment="1">
      <alignment horizontal="center" vertical="center" wrapText="1"/>
    </xf>
    <xf numFmtId="166" fontId="17" fillId="0" borderId="11" xfId="3" applyNumberFormat="1" applyFont="1" applyFill="1" applyBorder="1" applyAlignment="1">
      <alignment horizontal="right" vertical="center"/>
    </xf>
    <xf numFmtId="0" fontId="17" fillId="0" borderId="11" xfId="1" applyFont="1" applyFill="1" applyBorder="1" applyAlignment="1">
      <alignment vertical="center"/>
    </xf>
    <xf numFmtId="1" fontId="248" fillId="0" borderId="0" xfId="3144" applyNumberFormat="1" applyFont="1" applyBorder="1" applyAlignment="1">
      <alignment horizontal="center" vertical="center"/>
    </xf>
    <xf numFmtId="169" fontId="248" fillId="0" borderId="0" xfId="3144" applyNumberFormat="1" applyFont="1" applyBorder="1" applyAlignment="1">
      <alignment horizontal="right" vertical="center"/>
    </xf>
    <xf numFmtId="3" fontId="17" fillId="0" borderId="14" xfId="0" applyNumberFormat="1" applyFont="1" applyFill="1" applyBorder="1" applyAlignment="1">
      <alignment horizontal="left" vertical="center" wrapText="1"/>
    </xf>
    <xf numFmtId="0" fontId="275" fillId="0" borderId="0" xfId="1" applyFont="1"/>
    <xf numFmtId="1" fontId="15" fillId="0" borderId="11" xfId="1" applyNumberFormat="1" applyFont="1" applyBorder="1" applyAlignment="1">
      <alignment horizontal="center" vertical="center" wrapText="1"/>
    </xf>
    <xf numFmtId="0" fontId="276" fillId="0" borderId="0" xfId="5795" applyFont="1"/>
    <xf numFmtId="0" fontId="276" fillId="0" borderId="0" xfId="5795" applyFont="1" applyAlignment="1">
      <alignment vertical="center" wrapText="1"/>
    </xf>
    <xf numFmtId="0" fontId="278" fillId="0" borderId="1" xfId="5795" applyFont="1" applyBorder="1" applyAlignment="1">
      <alignment horizontal="center" vertical="center" wrapText="1"/>
    </xf>
    <xf numFmtId="0" fontId="277" fillId="0" borderId="0" xfId="5795" applyFont="1"/>
    <xf numFmtId="0" fontId="279" fillId="0" borderId="11" xfId="5795" applyFont="1" applyBorder="1" applyAlignment="1">
      <alignment horizontal="center" vertical="center" wrapText="1"/>
    </xf>
    <xf numFmtId="0" fontId="279" fillId="0" borderId="11" xfId="5795" applyFont="1" applyBorder="1" applyAlignment="1">
      <alignment vertical="center" wrapText="1"/>
    </xf>
    <xf numFmtId="3" fontId="279" fillId="0" borderId="11" xfId="5795" applyNumberFormat="1" applyFont="1" applyBorder="1" applyAlignment="1">
      <alignment vertical="center" wrapText="1"/>
    </xf>
    <xf numFmtId="2" fontId="279" fillId="0" borderId="11" xfId="5795" applyNumberFormat="1" applyFont="1" applyBorder="1" applyAlignment="1">
      <alignment vertical="center" wrapText="1"/>
    </xf>
    <xf numFmtId="166" fontId="279" fillId="0" borderId="11" xfId="5795" applyNumberFormat="1" applyFont="1" applyBorder="1" applyAlignment="1">
      <alignment vertical="center" wrapText="1"/>
    </xf>
    <xf numFmtId="166" fontId="277" fillId="0" borderId="0" xfId="5795" applyNumberFormat="1" applyFont="1"/>
    <xf numFmtId="0" fontId="279" fillId="0" borderId="11" xfId="5795" applyNumberFormat="1" applyFont="1" applyBorder="1" applyAlignment="1">
      <alignment vertical="center" wrapText="1"/>
    </xf>
    <xf numFmtId="0" fontId="277" fillId="0" borderId="11" xfId="5795" applyFont="1" applyBorder="1" applyAlignment="1">
      <alignment horizontal="center" vertical="center" wrapText="1"/>
    </xf>
    <xf numFmtId="0" fontId="277" fillId="0" borderId="11" xfId="5795" applyFont="1" applyBorder="1" applyAlignment="1">
      <alignment vertical="center" wrapText="1"/>
    </xf>
    <xf numFmtId="166" fontId="21" fillId="0" borderId="11" xfId="5796" applyNumberFormat="1" applyFont="1" applyBorder="1" applyAlignment="1">
      <alignment vertical="center" wrapText="1"/>
    </xf>
    <xf numFmtId="0" fontId="277" fillId="0" borderId="12" xfId="5795" applyFont="1" applyBorder="1" applyAlignment="1">
      <alignment horizontal="center" vertical="center" wrapText="1"/>
    </xf>
    <xf numFmtId="3" fontId="277" fillId="0" borderId="12" xfId="5795" applyNumberFormat="1" applyFont="1" applyBorder="1" applyAlignment="1">
      <alignment vertical="center" wrapText="1"/>
    </xf>
    <xf numFmtId="2" fontId="279" fillId="0" borderId="12" xfId="5795" applyNumberFormat="1" applyFont="1" applyBorder="1" applyAlignment="1">
      <alignment vertical="center" wrapText="1"/>
    </xf>
    <xf numFmtId="169" fontId="23" fillId="0" borderId="0" xfId="3144" applyNumberFormat="1" applyFont="1" applyBorder="1"/>
    <xf numFmtId="169" fontId="23" fillId="0" borderId="0" xfId="3144" applyNumberFormat="1" applyFont="1" applyBorder="1" applyAlignment="1">
      <alignment horizontal="right"/>
    </xf>
    <xf numFmtId="169" fontId="23" fillId="0" borderId="0" xfId="3144" applyNumberFormat="1" applyFont="1" applyBorder="1" applyAlignment="1"/>
    <xf numFmtId="169" fontId="23" fillId="0" borderId="0" xfId="3144" applyNumberFormat="1" applyFont="1"/>
    <xf numFmtId="169" fontId="15" fillId="0" borderId="0" xfId="3144" applyNumberFormat="1" applyFont="1"/>
    <xf numFmtId="1" fontId="249" fillId="0" borderId="0" xfId="3144" applyNumberFormat="1" applyFont="1" applyBorder="1" applyAlignment="1">
      <alignment horizontal="center" vertical="center"/>
    </xf>
    <xf numFmtId="166" fontId="23" fillId="0" borderId="0" xfId="3" applyNumberFormat="1" applyFont="1" applyBorder="1" applyAlignment="1">
      <alignment horizontal="right"/>
    </xf>
    <xf numFmtId="169" fontId="249" fillId="0" borderId="0" xfId="3144" applyNumberFormat="1" applyFont="1" applyBorder="1" applyAlignment="1">
      <alignment horizontal="right" vertical="center"/>
    </xf>
    <xf numFmtId="169" fontId="23" fillId="0" borderId="0" xfId="3144" applyNumberFormat="1" applyFont="1" applyAlignment="1">
      <alignment horizontal="center"/>
    </xf>
    <xf numFmtId="169" fontId="249" fillId="0" borderId="1" xfId="3144" applyNumberFormat="1" applyFont="1" applyBorder="1" applyAlignment="1">
      <alignment horizontal="center" vertical="center" wrapText="1"/>
    </xf>
    <xf numFmtId="1" fontId="23" fillId="0" borderId="0" xfId="3144" applyNumberFormat="1" applyFont="1" applyAlignment="1">
      <alignment horizontal="center"/>
    </xf>
    <xf numFmtId="1" fontId="248" fillId="0" borderId="11" xfId="3144" applyNumberFormat="1" applyFont="1" applyBorder="1" applyAlignment="1">
      <alignment horizontal="center" vertical="center" wrapText="1"/>
    </xf>
    <xf numFmtId="169" fontId="23" fillId="0" borderId="0" xfId="3144" applyNumberFormat="1" applyFont="1" applyAlignment="1">
      <alignment horizontal="right"/>
    </xf>
    <xf numFmtId="169" fontId="23" fillId="2" borderId="11" xfId="62" applyNumberFormat="1" applyFont="1" applyFill="1" applyBorder="1" applyAlignment="1">
      <alignment vertical="center" wrapText="1"/>
    </xf>
    <xf numFmtId="169" fontId="23" fillId="0" borderId="0" xfId="3144" applyNumberFormat="1" applyFont="1" applyAlignment="1"/>
    <xf numFmtId="0" fontId="0" fillId="0" borderId="0" xfId="0" applyAlignment="1">
      <alignment horizontal="center"/>
    </xf>
    <xf numFmtId="166" fontId="0" fillId="0" borderId="0" xfId="0" applyNumberFormat="1"/>
    <xf numFmtId="0" fontId="273" fillId="0" borderId="0" xfId="0" applyFont="1"/>
    <xf numFmtId="0" fontId="282" fillId="0" borderId="0" xfId="1" applyFont="1" applyAlignment="1">
      <alignment horizontal="right" vertical="center"/>
    </xf>
    <xf numFmtId="0" fontId="14" fillId="0" borderId="13" xfId="1" applyFont="1" applyBorder="1" applyAlignment="1">
      <alignment horizontal="center" vertical="center" wrapText="1"/>
    </xf>
    <xf numFmtId="0" fontId="14" fillId="0" borderId="13" xfId="1" applyFont="1" applyBorder="1" applyAlignment="1">
      <alignment vertical="center" wrapText="1"/>
    </xf>
    <xf numFmtId="166" fontId="15" fillId="0" borderId="13" xfId="3" applyNumberFormat="1" applyFont="1" applyBorder="1" applyAlignment="1">
      <alignment horizontal="center" vertical="center" wrapText="1"/>
    </xf>
    <xf numFmtId="0" fontId="15" fillId="0" borderId="13" xfId="1" applyFont="1" applyBorder="1" applyAlignment="1">
      <alignment horizontal="center" vertical="center" wrapText="1"/>
    </xf>
    <xf numFmtId="166" fontId="275" fillId="0" borderId="0" xfId="1" applyNumberFormat="1" applyFont="1"/>
    <xf numFmtId="0" fontId="15" fillId="0" borderId="11" xfId="0" applyFont="1" applyBorder="1" applyAlignment="1">
      <alignment vertical="center" wrapText="1"/>
    </xf>
    <xf numFmtId="3" fontId="274" fillId="0" borderId="0" xfId="1" applyNumberFormat="1" applyFont="1"/>
    <xf numFmtId="166" fontId="274" fillId="0" borderId="0" xfId="1" applyNumberFormat="1" applyFont="1"/>
    <xf numFmtId="0" fontId="282" fillId="0" borderId="11" xfId="1" applyFont="1" applyBorder="1" applyAlignment="1">
      <alignment horizontal="center" vertical="center" wrapText="1"/>
    </xf>
    <xf numFmtId="0" fontId="282" fillId="0" borderId="11" xfId="1" applyFont="1" applyBorder="1" applyAlignment="1">
      <alignment vertical="center" wrapText="1"/>
    </xf>
    <xf numFmtId="0" fontId="283" fillId="0" borderId="0" xfId="1" applyFont="1"/>
    <xf numFmtId="166" fontId="14" fillId="0" borderId="11" xfId="3" applyNumberFormat="1" applyFont="1" applyFill="1" applyBorder="1" applyAlignment="1">
      <alignment horizontal="center" vertical="center" wrapText="1"/>
    </xf>
    <xf numFmtId="0" fontId="15" fillId="0" borderId="11" xfId="1" applyFont="1" applyFill="1" applyBorder="1" applyAlignment="1">
      <alignment horizontal="center" vertical="center" wrapText="1"/>
    </xf>
    <xf numFmtId="0" fontId="15" fillId="0" borderId="11" xfId="0" applyFont="1" applyFill="1" applyBorder="1" applyAlignment="1">
      <alignment horizontal="justify" vertical="center" wrapText="1"/>
    </xf>
    <xf numFmtId="166" fontId="15" fillId="0" borderId="11" xfId="3" applyNumberFormat="1" applyFont="1" applyFill="1" applyBorder="1" applyAlignment="1">
      <alignment horizontal="center" vertical="center" wrapText="1"/>
    </xf>
    <xf numFmtId="1" fontId="15" fillId="0" borderId="11" xfId="1" applyNumberFormat="1" applyFont="1" applyFill="1" applyBorder="1" applyAlignment="1">
      <alignment horizontal="center" vertical="center" wrapText="1"/>
    </xf>
    <xf numFmtId="0" fontId="274" fillId="0" borderId="0" xfId="1" applyFont="1" applyFill="1"/>
    <xf numFmtId="0" fontId="15" fillId="0" borderId="14" xfId="1" applyFont="1" applyBorder="1" applyAlignment="1">
      <alignment horizontal="center" vertical="center" wrapText="1"/>
    </xf>
    <xf numFmtId="0" fontId="14" fillId="0" borderId="12" xfId="1" applyFont="1" applyBorder="1" applyAlignment="1">
      <alignment horizontal="center" vertical="center" wrapText="1"/>
    </xf>
    <xf numFmtId="0" fontId="14" fillId="0" borderId="12" xfId="1" applyFont="1" applyBorder="1" applyAlignment="1">
      <alignment vertical="center" wrapText="1"/>
    </xf>
    <xf numFmtId="1" fontId="15" fillId="0" borderId="12" xfId="1" applyNumberFormat="1" applyFont="1" applyBorder="1" applyAlignment="1">
      <alignment horizontal="center" vertical="center" wrapText="1"/>
    </xf>
    <xf numFmtId="166" fontId="274" fillId="0" borderId="0" xfId="3" applyNumberFormat="1" applyFont="1"/>
    <xf numFmtId="0" fontId="284" fillId="0" borderId="0" xfId="1" applyFont="1" applyAlignment="1">
      <alignment horizontal="left" vertical="center"/>
    </xf>
    <xf numFmtId="0" fontId="274" fillId="0" borderId="0" xfId="1" applyFont="1" applyAlignment="1">
      <alignment horizontal="left"/>
    </xf>
    <xf numFmtId="169" fontId="249" fillId="0" borderId="1" xfId="3144" applyNumberFormat="1" applyFont="1" applyBorder="1" applyAlignment="1">
      <alignment horizontal="center" vertical="center" wrapText="1"/>
    </xf>
    <xf numFmtId="169" fontId="14" fillId="0" borderId="0" xfId="3144" applyNumberFormat="1" applyFont="1" applyBorder="1" applyAlignment="1">
      <alignment horizontal="center" vertical="center"/>
    </xf>
    <xf numFmtId="1" fontId="14" fillId="0" borderId="11" xfId="1" applyNumberFormat="1" applyFont="1" applyBorder="1" applyAlignment="1">
      <alignment horizontal="center" vertical="center" wrapText="1"/>
    </xf>
    <xf numFmtId="0" fontId="14" fillId="0" borderId="11" xfId="5333" applyFont="1" applyFill="1" applyBorder="1" applyAlignment="1">
      <alignment vertical="center" wrapText="1"/>
    </xf>
    <xf numFmtId="0" fontId="15" fillId="0" borderId="1" xfId="1" applyFont="1" applyBorder="1" applyAlignment="1">
      <alignment horizontal="center" vertical="center" wrapText="1"/>
    </xf>
    <xf numFmtId="1" fontId="248" fillId="0" borderId="3" xfId="3144" applyNumberFormat="1" applyFont="1" applyBorder="1" applyAlignment="1">
      <alignment horizontal="center" vertical="center" wrapText="1"/>
    </xf>
    <xf numFmtId="3" fontId="23" fillId="0" borderId="0" xfId="3144" applyNumberFormat="1" applyFont="1"/>
    <xf numFmtId="3" fontId="23" fillId="0" borderId="0" xfId="3144" applyNumberFormat="1" applyFont="1" applyBorder="1" applyAlignment="1">
      <alignment horizontal="right"/>
    </xf>
    <xf numFmtId="172" fontId="17" fillId="0" borderId="11" xfId="6" applyNumberFormat="1" applyFont="1" applyFill="1" applyBorder="1" applyAlignment="1">
      <alignment horizontal="left" vertical="center" wrapText="1"/>
    </xf>
    <xf numFmtId="3" fontId="282" fillId="0" borderId="11" xfId="1" applyNumberFormat="1" applyFont="1" applyBorder="1" applyAlignment="1">
      <alignment horizontal="right" vertical="center" wrapText="1"/>
    </xf>
    <xf numFmtId="3" fontId="15" fillId="0" borderId="11" xfId="0" applyNumberFormat="1" applyFont="1" applyFill="1" applyBorder="1" applyAlignment="1">
      <alignment horizontal="left" vertical="center" wrapText="1"/>
    </xf>
    <xf numFmtId="0" fontId="15" fillId="0" borderId="11" xfId="0" applyFont="1" applyFill="1" applyBorder="1" applyAlignment="1">
      <alignment vertical="center" wrapText="1"/>
    </xf>
    <xf numFmtId="0" fontId="15" fillId="0" borderId="14" xfId="0" applyFont="1" applyFill="1" applyBorder="1" applyAlignment="1">
      <alignment vertical="center" wrapText="1"/>
    </xf>
    <xf numFmtId="166" fontId="15" fillId="0" borderId="11" xfId="3" applyNumberFormat="1" applyFont="1" applyFill="1" applyBorder="1" applyAlignment="1">
      <alignment horizontal="right" vertical="center" wrapText="1"/>
    </xf>
    <xf numFmtId="0" fontId="0" fillId="0" borderId="1" xfId="0" applyBorder="1" applyAlignment="1">
      <alignment horizontal="center"/>
    </xf>
    <xf numFmtId="0" fontId="15" fillId="0" borderId="0" xfId="60" applyFont="1" applyFill="1" applyAlignment="1">
      <alignment vertical="center" wrapText="1"/>
    </xf>
    <xf numFmtId="0" fontId="14" fillId="0" borderId="0" xfId="40" applyFont="1" applyFill="1" applyAlignment="1">
      <alignment horizontal="center" vertical="center" wrapText="1"/>
    </xf>
    <xf numFmtId="0" fontId="15" fillId="0" borderId="0" xfId="40" applyFont="1" applyFill="1" applyAlignment="1">
      <alignment vertical="center" wrapText="1"/>
    </xf>
    <xf numFmtId="0" fontId="15" fillId="0" borderId="0" xfId="40" applyFont="1" applyFill="1" applyAlignment="1">
      <alignment horizontal="center" vertical="center" wrapText="1"/>
    </xf>
    <xf numFmtId="3" fontId="15" fillId="0" borderId="0" xfId="60" applyNumberFormat="1" applyFont="1" applyFill="1" applyAlignment="1">
      <alignment vertical="center" wrapText="1"/>
    </xf>
    <xf numFmtId="3" fontId="15" fillId="0" borderId="9" xfId="40" applyNumberFormat="1" applyFont="1" applyFill="1" applyBorder="1" applyAlignment="1">
      <alignment vertical="center" wrapText="1"/>
    </xf>
    <xf numFmtId="0" fontId="15" fillId="0" borderId="2" xfId="40" applyFont="1" applyFill="1" applyBorder="1" applyAlignment="1">
      <alignment horizontal="center" vertical="center" wrapText="1"/>
    </xf>
    <xf numFmtId="0" fontId="14" fillId="0" borderId="0" xfId="40" applyFont="1" applyFill="1" applyBorder="1" applyAlignment="1">
      <alignment horizontal="center" vertical="center" wrapText="1"/>
    </xf>
    <xf numFmtId="0" fontId="14" fillId="0" borderId="1" xfId="40" applyFont="1" applyFill="1" applyBorder="1" applyAlignment="1">
      <alignment horizontal="center" vertical="center" wrapText="1"/>
    </xf>
    <xf numFmtId="0" fontId="282" fillId="0" borderId="1" xfId="40" applyFont="1" applyFill="1" applyBorder="1" applyAlignment="1">
      <alignment horizontal="center" vertical="center" wrapText="1"/>
    </xf>
    <xf numFmtId="0" fontId="15" fillId="0" borderId="1" xfId="40" applyFont="1" applyFill="1" applyBorder="1" applyAlignment="1">
      <alignment horizontal="center" vertical="center" wrapText="1"/>
    </xf>
    <xf numFmtId="3" fontId="15" fillId="0" borderId="0" xfId="5798" applyNumberFormat="1" applyFont="1" applyFill="1" applyAlignment="1">
      <alignment vertical="center" wrapText="1"/>
    </xf>
    <xf numFmtId="0" fontId="23" fillId="0" borderId="1" xfId="40" applyFont="1" applyFill="1" applyBorder="1" applyAlignment="1">
      <alignment horizontal="center" vertical="center" wrapText="1"/>
    </xf>
    <xf numFmtId="0" fontId="23" fillId="0" borderId="1" xfId="60" applyFont="1" applyFill="1" applyBorder="1" applyAlignment="1">
      <alignment horizontal="center" vertical="center" wrapText="1"/>
    </xf>
    <xf numFmtId="0" fontId="285" fillId="0" borderId="5" xfId="40" applyFont="1" applyFill="1" applyBorder="1" applyAlignment="1">
      <alignment horizontal="center" vertical="center" wrapText="1"/>
    </xf>
    <xf numFmtId="3" fontId="285" fillId="0" borderId="5" xfId="40" applyNumberFormat="1" applyFont="1" applyFill="1" applyBorder="1" applyAlignment="1">
      <alignment horizontal="right" vertical="center" wrapText="1"/>
    </xf>
    <xf numFmtId="166" fontId="285" fillId="0" borderId="0" xfId="5798" applyNumberFormat="1" applyFont="1" applyFill="1" applyBorder="1" applyAlignment="1">
      <alignment horizontal="center" vertical="center" wrapText="1"/>
    </xf>
    <xf numFmtId="0" fontId="15" fillId="0" borderId="11" xfId="40" applyFont="1" applyFill="1" applyBorder="1" applyAlignment="1">
      <alignment vertical="center" wrapText="1"/>
    </xf>
    <xf numFmtId="0" fontId="15" fillId="0" borderId="11" xfId="40" applyFont="1" applyFill="1" applyBorder="1" applyAlignment="1">
      <alignment horizontal="center" vertical="center" wrapText="1"/>
    </xf>
    <xf numFmtId="14" fontId="15" fillId="0" borderId="11" xfId="40" applyNumberFormat="1" applyFont="1" applyFill="1" applyBorder="1" applyAlignment="1">
      <alignment horizontal="center" vertical="center" wrapText="1"/>
    </xf>
    <xf numFmtId="0" fontId="15" fillId="0" borderId="11" xfId="60" applyFont="1" applyFill="1" applyBorder="1" applyAlignment="1">
      <alignment horizontal="left" vertical="center" wrapText="1"/>
    </xf>
    <xf numFmtId="3" fontId="15" fillId="0" borderId="11" xfId="43" applyNumberFormat="1" applyFont="1" applyFill="1" applyBorder="1" applyAlignment="1">
      <alignment vertical="center" wrapText="1"/>
    </xf>
    <xf numFmtId="3" fontId="15" fillId="0" borderId="11" xfId="60" applyNumberFormat="1" applyFont="1" applyFill="1" applyBorder="1" applyAlignment="1">
      <alignment vertical="center" wrapText="1"/>
    </xf>
    <xf numFmtId="3" fontId="15" fillId="0" borderId="11" xfId="60" applyNumberFormat="1" applyFont="1" applyFill="1" applyBorder="1" applyAlignment="1">
      <alignment horizontal="left" vertical="center" wrapText="1"/>
    </xf>
    <xf numFmtId="0" fontId="15" fillId="0" borderId="11" xfId="60" applyFont="1" applyFill="1" applyBorder="1" applyAlignment="1">
      <alignment vertical="center" wrapText="1"/>
    </xf>
    <xf numFmtId="166" fontId="15" fillId="0" borderId="11" xfId="5798" applyNumberFormat="1" applyFont="1" applyFill="1" applyBorder="1" applyAlignment="1">
      <alignment vertical="center" wrapText="1"/>
    </xf>
    <xf numFmtId="0" fontId="15" fillId="0" borderId="11" xfId="43" applyFont="1" applyFill="1" applyBorder="1" applyAlignment="1">
      <alignment vertical="center" wrapText="1"/>
    </xf>
    <xf numFmtId="0" fontId="15" fillId="0" borderId="11" xfId="43" applyFont="1" applyFill="1" applyBorder="1" applyAlignment="1">
      <alignment horizontal="center" vertical="center" wrapText="1"/>
    </xf>
    <xf numFmtId="14" fontId="15" fillId="0" borderId="11" xfId="43" applyNumberFormat="1" applyFont="1" applyFill="1" applyBorder="1" applyAlignment="1">
      <alignment horizontal="center" vertical="center" wrapText="1"/>
    </xf>
    <xf numFmtId="14" fontId="15" fillId="0" borderId="11" xfId="60" applyNumberFormat="1" applyFont="1" applyFill="1" applyBorder="1" applyAlignment="1">
      <alignment horizontal="left" vertical="center" wrapText="1"/>
    </xf>
    <xf numFmtId="0" fontId="287" fillId="0" borderId="11" xfId="40" applyFont="1" applyFill="1" applyBorder="1" applyAlignment="1">
      <alignment vertical="center" wrapText="1"/>
    </xf>
    <xf numFmtId="3" fontId="287" fillId="0" borderId="11" xfId="60" applyNumberFormat="1" applyFont="1" applyFill="1" applyBorder="1" applyAlignment="1">
      <alignment horizontal="center" vertical="center" wrapText="1"/>
    </xf>
    <xf numFmtId="14" fontId="287" fillId="0" borderId="11" xfId="40" applyNumberFormat="1" applyFont="1" applyFill="1" applyBorder="1" applyAlignment="1">
      <alignment horizontal="center" vertical="center" wrapText="1"/>
    </xf>
    <xf numFmtId="0" fontId="287" fillId="0" borderId="11" xfId="60" applyNumberFormat="1" applyFont="1" applyFill="1" applyBorder="1" applyAlignment="1">
      <alignment vertical="center" wrapText="1"/>
    </xf>
    <xf numFmtId="166" fontId="15" fillId="0" borderId="11" xfId="5798" applyNumberFormat="1" applyFont="1" applyFill="1" applyBorder="1" applyAlignment="1">
      <alignment horizontal="right" vertical="center" wrapText="1"/>
    </xf>
    <xf numFmtId="49" fontId="15" fillId="0" borderId="11" xfId="5799" applyNumberFormat="1" applyFont="1" applyFill="1" applyBorder="1" applyAlignment="1">
      <alignment horizontal="justify" vertical="center" wrapText="1"/>
    </xf>
    <xf numFmtId="0" fontId="15" fillId="0" borderId="11" xfId="5799" applyNumberFormat="1" applyFont="1" applyFill="1" applyBorder="1" applyAlignment="1">
      <alignment vertical="center" wrapText="1"/>
    </xf>
    <xf numFmtId="0" fontId="15" fillId="0" borderId="11" xfId="5799" applyFont="1" applyFill="1" applyBorder="1" applyAlignment="1">
      <alignment vertical="center" wrapText="1"/>
    </xf>
    <xf numFmtId="3" fontId="15" fillId="0" borderId="11" xfId="5799" applyNumberFormat="1" applyFont="1" applyFill="1" applyBorder="1" applyAlignment="1">
      <alignment horizontal="left" vertical="center" wrapText="1"/>
    </xf>
    <xf numFmtId="0" fontId="15" fillId="0" borderId="0" xfId="0" applyFont="1" applyFill="1" applyAlignment="1">
      <alignment vertical="center" wrapText="1"/>
    </xf>
    <xf numFmtId="3" fontId="15" fillId="0" borderId="0" xfId="0" applyNumberFormat="1" applyFont="1" applyFill="1" applyAlignment="1">
      <alignment vertical="center" wrapText="1"/>
    </xf>
    <xf numFmtId="0" fontId="15" fillId="0" borderId="9"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0" xfId="0" applyFont="1" applyFill="1" applyBorder="1" applyAlignment="1">
      <alignment horizontal="center" vertical="center" wrapText="1"/>
    </xf>
    <xf numFmtId="0" fontId="23" fillId="0" borderId="0" xfId="0" applyFont="1" applyFill="1" applyAlignment="1">
      <alignment vertical="center" wrapText="1"/>
    </xf>
    <xf numFmtId="3" fontId="23" fillId="0" borderId="0" xfId="0" applyNumberFormat="1" applyFont="1" applyFill="1" applyAlignment="1">
      <alignment vertical="center" wrapText="1"/>
    </xf>
    <xf numFmtId="0" fontId="285" fillId="0" borderId="5" xfId="0" applyFont="1" applyFill="1" applyBorder="1" applyAlignment="1">
      <alignment horizontal="center" vertical="center" wrapText="1"/>
    </xf>
    <xf numFmtId="3" fontId="286" fillId="0" borderId="0" xfId="0" applyNumberFormat="1" applyFont="1" applyFill="1" applyAlignment="1">
      <alignment vertical="center" wrapText="1"/>
    </xf>
    <xf numFmtId="3" fontId="285" fillId="0" borderId="0" xfId="0" applyNumberFormat="1" applyFont="1" applyFill="1" applyAlignment="1">
      <alignment vertical="center" wrapText="1"/>
    </xf>
    <xf numFmtId="0" fontId="285" fillId="0" borderId="0" xfId="0" applyFont="1" applyFill="1" applyAlignment="1">
      <alignment vertical="center" wrapText="1"/>
    </xf>
    <xf numFmtId="0" fontId="14" fillId="0" borderId="11" xfId="0" applyFont="1" applyFill="1" applyBorder="1" applyAlignment="1">
      <alignment vertical="center" wrapText="1"/>
    </xf>
    <xf numFmtId="0" fontId="14" fillId="0" borderId="0" xfId="0" applyFont="1" applyFill="1" applyBorder="1" applyAlignment="1">
      <alignment vertical="center" wrapText="1"/>
    </xf>
    <xf numFmtId="0" fontId="14" fillId="0" borderId="0" xfId="0" applyFont="1" applyFill="1" applyAlignment="1">
      <alignment vertical="center" wrapText="1"/>
    </xf>
    <xf numFmtId="3" fontId="15" fillId="0" borderId="11" xfId="0" applyNumberFormat="1" applyFont="1" applyFill="1" applyBorder="1" applyAlignment="1">
      <alignment vertical="center" wrapText="1"/>
    </xf>
    <xf numFmtId="0" fontId="15" fillId="0" borderId="0" xfId="0" applyFont="1" applyFill="1" applyBorder="1" applyAlignment="1">
      <alignment vertical="center" wrapText="1"/>
    </xf>
    <xf numFmtId="3" fontId="15" fillId="0" borderId="0" xfId="0" applyNumberFormat="1" applyFont="1" applyFill="1" applyBorder="1" applyAlignment="1">
      <alignment vertical="center" wrapText="1"/>
    </xf>
    <xf numFmtId="0" fontId="15" fillId="0" borderId="17" xfId="0" applyFont="1" applyFill="1" applyBorder="1" applyAlignment="1">
      <alignment vertical="center" wrapText="1"/>
    </xf>
    <xf numFmtId="0" fontId="15" fillId="0" borderId="11" xfId="0" applyFont="1" applyFill="1" applyBorder="1" applyAlignment="1">
      <alignment horizontal="center" vertical="center" wrapText="1"/>
    </xf>
    <xf numFmtId="166" fontId="15" fillId="0" borderId="0" xfId="0" applyNumberFormat="1" applyFont="1" applyFill="1" applyAlignment="1">
      <alignment vertical="center" wrapText="1"/>
    </xf>
    <xf numFmtId="0" fontId="282" fillId="0" borderId="0" xfId="0" applyFont="1" applyFill="1" applyAlignment="1">
      <alignment vertical="center" wrapText="1"/>
    </xf>
    <xf numFmtId="0" fontId="287" fillId="0" borderId="11" xfId="0" applyFont="1" applyFill="1" applyBorder="1" applyAlignment="1">
      <alignment vertical="center" wrapText="1"/>
    </xf>
    <xf numFmtId="3" fontId="287" fillId="0" borderId="11" xfId="0" applyNumberFormat="1" applyFont="1" applyFill="1" applyBorder="1" applyAlignment="1">
      <alignment vertical="center" wrapText="1"/>
    </xf>
    <xf numFmtId="0" fontId="287" fillId="0" borderId="0" xfId="0" applyFont="1" applyFill="1" applyBorder="1" applyAlignment="1">
      <alignment vertical="center" wrapText="1"/>
    </xf>
    <xf numFmtId="0" fontId="287" fillId="0" borderId="0" xfId="0" applyFont="1" applyFill="1" applyAlignment="1">
      <alignment vertical="center" wrapText="1"/>
    </xf>
    <xf numFmtId="166" fontId="287" fillId="0" borderId="11" xfId="0" applyNumberFormat="1" applyFont="1" applyFill="1" applyBorder="1" applyAlignment="1">
      <alignment vertical="center" wrapText="1"/>
    </xf>
    <xf numFmtId="0" fontId="17" fillId="0" borderId="11" xfId="0" applyFont="1" applyFill="1" applyBorder="1" applyAlignment="1">
      <alignment vertical="center" wrapText="1"/>
    </xf>
    <xf numFmtId="3" fontId="14" fillId="0" borderId="0" xfId="0" applyNumberFormat="1" applyFont="1" applyFill="1" applyAlignment="1">
      <alignment vertical="center" wrapText="1"/>
    </xf>
    <xf numFmtId="0" fontId="14" fillId="0" borderId="11" xfId="0" applyFont="1" applyFill="1" applyBorder="1" applyAlignment="1">
      <alignment horizontal="center" vertical="center" wrapText="1"/>
    </xf>
    <xf numFmtId="166" fontId="15" fillId="0" borderId="11" xfId="0" applyNumberFormat="1" applyFont="1" applyFill="1" applyBorder="1" applyAlignment="1">
      <alignment vertical="center" wrapText="1"/>
    </xf>
    <xf numFmtId="166" fontId="14" fillId="0" borderId="11" xfId="0" applyNumberFormat="1" applyFont="1" applyFill="1" applyBorder="1" applyAlignment="1">
      <alignment horizontal="right" vertical="center" wrapText="1"/>
    </xf>
    <xf numFmtId="166" fontId="15" fillId="0" borderId="11" xfId="0" applyNumberFormat="1" applyFont="1" applyFill="1" applyBorder="1" applyAlignment="1">
      <alignment horizontal="right" vertical="center" wrapText="1"/>
    </xf>
    <xf numFmtId="166" fontId="14" fillId="0" borderId="0" xfId="0" applyNumberFormat="1" applyFont="1" applyFill="1" applyAlignment="1">
      <alignment vertical="center" wrapText="1"/>
    </xf>
    <xf numFmtId="166" fontId="15" fillId="0" borderId="0" xfId="0" applyNumberFormat="1" applyFont="1" applyFill="1" applyBorder="1" applyAlignment="1">
      <alignment vertical="center" wrapText="1"/>
    </xf>
    <xf numFmtId="1" fontId="15" fillId="0" borderId="11" xfId="0" applyNumberFormat="1" applyFont="1" applyFill="1" applyBorder="1" applyAlignment="1">
      <alignment vertical="center" wrapText="1"/>
    </xf>
    <xf numFmtId="1" fontId="15" fillId="0" borderId="0" xfId="0" applyNumberFormat="1" applyFont="1" applyFill="1" applyBorder="1" applyAlignment="1">
      <alignment vertical="center" wrapText="1"/>
    </xf>
    <xf numFmtId="1" fontId="15" fillId="0" borderId="0" xfId="0" applyNumberFormat="1" applyFont="1" applyFill="1" applyAlignment="1">
      <alignment vertical="center" wrapText="1"/>
    </xf>
    <xf numFmtId="3" fontId="17" fillId="0" borderId="11" xfId="0" applyNumberFormat="1" applyFont="1" applyFill="1" applyBorder="1" applyAlignment="1">
      <alignment vertical="center" wrapText="1"/>
    </xf>
    <xf numFmtId="3" fontId="282" fillId="0" borderId="0" xfId="0" applyNumberFormat="1" applyFont="1" applyFill="1" applyAlignment="1">
      <alignment vertical="center" wrapText="1"/>
    </xf>
    <xf numFmtId="3" fontId="14" fillId="0" borderId="0" xfId="40" applyNumberFormat="1" applyFont="1" applyFill="1" applyBorder="1" applyAlignment="1">
      <alignment horizontal="center" vertical="center" wrapText="1"/>
    </xf>
    <xf numFmtId="0" fontId="281" fillId="0" borderId="0" xfId="0" applyFont="1"/>
    <xf numFmtId="166" fontId="273" fillId="0" borderId="0" xfId="0" applyNumberFormat="1" applyFont="1"/>
    <xf numFmtId="0" fontId="273" fillId="0" borderId="1" xfId="0" applyFont="1" applyBorder="1" applyAlignment="1">
      <alignment horizontal="center"/>
    </xf>
    <xf numFmtId="0" fontId="273" fillId="0" borderId="1" xfId="0" applyFont="1" applyBorder="1"/>
    <xf numFmtId="0" fontId="0" fillId="0" borderId="1" xfId="0" applyBorder="1"/>
    <xf numFmtId="166" fontId="273" fillId="0" borderId="1" xfId="3" applyNumberFormat="1" applyFont="1" applyBorder="1"/>
    <xf numFmtId="166" fontId="0" fillId="0" borderId="1" xfId="3" applyNumberFormat="1" applyFont="1" applyBorder="1"/>
    <xf numFmtId="0" fontId="281" fillId="0" borderId="1" xfId="0" applyFont="1" applyBorder="1" applyAlignment="1">
      <alignment horizontal="center"/>
    </xf>
    <xf numFmtId="0" fontId="281" fillId="0" borderId="1" xfId="0" applyFont="1" applyBorder="1"/>
    <xf numFmtId="166" fontId="281" fillId="0" borderId="1" xfId="3" applyNumberFormat="1" applyFont="1" applyBorder="1"/>
    <xf numFmtId="0" fontId="273" fillId="0" borderId="1" xfId="0" applyFont="1" applyBorder="1" applyAlignment="1">
      <alignment horizontal="left" vertical="center" wrapText="1"/>
    </xf>
    <xf numFmtId="0" fontId="272" fillId="0" borderId="1" xfId="0" applyFont="1" applyBorder="1" applyAlignment="1">
      <alignment horizontal="left" vertical="center" wrapText="1"/>
    </xf>
    <xf numFmtId="166" fontId="272" fillId="0" borderId="1" xfId="3" applyNumberFormat="1" applyFont="1" applyBorder="1"/>
    <xf numFmtId="166" fontId="248" fillId="0" borderId="11" xfId="3" applyNumberFormat="1" applyFont="1" applyFill="1" applyBorder="1" applyAlignment="1">
      <alignment horizontal="right" vertical="center" wrapText="1"/>
    </xf>
    <xf numFmtId="166" fontId="0" fillId="0" borderId="0" xfId="3" applyNumberFormat="1" applyFont="1"/>
    <xf numFmtId="166" fontId="275" fillId="0" borderId="0" xfId="3" applyNumberFormat="1" applyFont="1"/>
    <xf numFmtId="166" fontId="283" fillId="0" borderId="0" xfId="1" applyNumberFormat="1" applyFont="1"/>
    <xf numFmtId="166" fontId="273" fillId="0" borderId="0" xfId="3" applyNumberFormat="1" applyFont="1"/>
    <xf numFmtId="3" fontId="14" fillId="0" borderId="12" xfId="1" applyNumberFormat="1" applyFont="1" applyBorder="1" applyAlignment="1">
      <alignment horizontal="right" vertical="center" wrapText="1"/>
    </xf>
    <xf numFmtId="1" fontId="23" fillId="0" borderId="12" xfId="3144" applyNumberFormat="1" applyFont="1" applyBorder="1" applyAlignment="1">
      <alignment horizontal="center" vertical="center" wrapText="1"/>
    </xf>
    <xf numFmtId="0" fontId="15" fillId="0" borderId="0" xfId="1" applyFont="1" applyFill="1" applyAlignment="1">
      <alignment horizontal="center"/>
    </xf>
    <xf numFmtId="0" fontId="15" fillId="0" borderId="0" xfId="1" applyFont="1" applyFill="1" applyAlignment="1">
      <alignment wrapText="1"/>
    </xf>
    <xf numFmtId="0" fontId="15" fillId="0" borderId="0" xfId="1" applyFont="1" applyFill="1"/>
    <xf numFmtId="0" fontId="14" fillId="0" borderId="0" xfId="1" applyFont="1" applyFill="1" applyAlignment="1">
      <alignment vertical="center" wrapText="1"/>
    </xf>
    <xf numFmtId="166" fontId="14" fillId="0" borderId="0" xfId="1" applyNumberFormat="1" applyFont="1" applyFill="1" applyAlignment="1">
      <alignment horizontal="center" vertical="center"/>
    </xf>
    <xf numFmtId="361" fontId="14" fillId="0" borderId="0" xfId="3" applyNumberFormat="1" applyFont="1" applyFill="1" applyAlignment="1">
      <alignment horizontal="center" vertical="center"/>
    </xf>
    <xf numFmtId="362" fontId="14" fillId="0" borderId="0" xfId="3" applyNumberFormat="1" applyFont="1" applyFill="1" applyAlignment="1">
      <alignment horizontal="center" vertical="center"/>
    </xf>
    <xf numFmtId="364" fontId="14" fillId="0" borderId="0" xfId="3" applyNumberFormat="1" applyFont="1" applyFill="1" applyAlignment="1">
      <alignment horizontal="center" vertical="center"/>
    </xf>
    <xf numFmtId="365" fontId="14" fillId="0" borderId="0" xfId="3" applyNumberFormat="1" applyFont="1" applyFill="1" applyAlignment="1">
      <alignment horizontal="center" vertical="center"/>
    </xf>
    <xf numFmtId="0" fontId="14" fillId="0" borderId="0" xfId="3" applyNumberFormat="1" applyFont="1" applyFill="1" applyAlignment="1">
      <alignment horizontal="center" vertical="center"/>
    </xf>
    <xf numFmtId="166" fontId="15" fillId="0" borderId="0" xfId="1" applyNumberFormat="1" applyFont="1" applyFill="1"/>
    <xf numFmtId="166" fontId="15" fillId="0" borderId="0" xfId="3" applyNumberFormat="1" applyFont="1" applyFill="1"/>
    <xf numFmtId="0" fontId="15" fillId="0" borderId="1" xfId="1" applyFont="1" applyFill="1" applyBorder="1" applyAlignment="1">
      <alignment horizontal="center" vertical="center"/>
    </xf>
    <xf numFmtId="166" fontId="14" fillId="0" borderId="11" xfId="3" applyNumberFormat="1" applyFont="1" applyFill="1" applyBorder="1" applyAlignment="1">
      <alignment horizontal="center" vertical="center"/>
    </xf>
    <xf numFmtId="166" fontId="15" fillId="0" borderId="11" xfId="3" applyNumberFormat="1" applyFont="1" applyFill="1" applyBorder="1" applyAlignment="1">
      <alignment horizontal="center" vertical="center"/>
    </xf>
    <xf numFmtId="166" fontId="15" fillId="0" borderId="11" xfId="3" applyNumberFormat="1" applyFont="1" applyFill="1" applyBorder="1" applyAlignment="1">
      <alignment vertical="center" wrapText="1"/>
    </xf>
    <xf numFmtId="166" fontId="15" fillId="0" borderId="11" xfId="3" applyNumberFormat="1" applyFont="1" applyFill="1" applyBorder="1" applyAlignment="1">
      <alignment vertical="center"/>
    </xf>
    <xf numFmtId="363" fontId="15" fillId="0" borderId="0" xfId="1" applyNumberFormat="1" applyFont="1" applyFill="1"/>
    <xf numFmtId="3" fontId="15" fillId="0" borderId="11" xfId="14" applyNumberFormat="1" applyFont="1" applyFill="1" applyBorder="1" applyAlignment="1">
      <alignment vertical="center" wrapText="1"/>
    </xf>
    <xf numFmtId="172" fontId="15" fillId="0" borderId="0" xfId="6" applyNumberFormat="1" applyFont="1" applyFill="1" applyAlignment="1">
      <alignment vertical="center"/>
    </xf>
    <xf numFmtId="166" fontId="15" fillId="0" borderId="17" xfId="3" applyNumberFormat="1" applyFont="1" applyFill="1" applyBorder="1" applyAlignment="1">
      <alignment horizontal="center" vertical="center"/>
    </xf>
    <xf numFmtId="166" fontId="15" fillId="0" borderId="12" xfId="3" applyNumberFormat="1" applyFont="1" applyFill="1" applyBorder="1" applyAlignment="1">
      <alignment horizontal="center" vertical="center"/>
    </xf>
    <xf numFmtId="0" fontId="15" fillId="0" borderId="12" xfId="0" applyFont="1" applyFill="1" applyBorder="1" applyAlignment="1">
      <alignment vertical="center" wrapText="1"/>
    </xf>
    <xf numFmtId="166" fontId="15" fillId="0" borderId="12" xfId="3" applyNumberFormat="1" applyFont="1" applyFill="1" applyBorder="1" applyAlignment="1">
      <alignment vertical="center"/>
    </xf>
    <xf numFmtId="0" fontId="17" fillId="0" borderId="12" xfId="0" applyFont="1" applyFill="1" applyBorder="1" applyAlignment="1">
      <alignment horizontal="center" vertical="center" wrapText="1"/>
    </xf>
    <xf numFmtId="0" fontId="17" fillId="0" borderId="12" xfId="0" applyFont="1" applyFill="1" applyBorder="1" applyAlignment="1">
      <alignment horizontal="left" vertical="center" wrapText="1"/>
    </xf>
    <xf numFmtId="0" fontId="279" fillId="0" borderId="17" xfId="5795" applyFont="1" applyBorder="1" applyAlignment="1">
      <alignment horizontal="center" vertical="center" wrapText="1"/>
    </xf>
    <xf numFmtId="0" fontId="279" fillId="0" borderId="17" xfId="5795" applyFont="1" applyBorder="1" applyAlignment="1">
      <alignment horizontal="left" vertical="center" wrapText="1"/>
    </xf>
    <xf numFmtId="3" fontId="279" fillId="0" borderId="17" xfId="5795" applyNumberFormat="1" applyFont="1" applyBorder="1" applyAlignment="1">
      <alignment vertical="center" wrapText="1"/>
    </xf>
    <xf numFmtId="2" fontId="279" fillId="0" borderId="17" xfId="5795" applyNumberFormat="1" applyFont="1" applyBorder="1" applyAlignment="1">
      <alignment vertical="center" wrapText="1"/>
    </xf>
    <xf numFmtId="0" fontId="278" fillId="0" borderId="13" xfId="5795" applyFont="1" applyBorder="1" applyAlignment="1">
      <alignment horizontal="center" vertical="center" wrapText="1"/>
    </xf>
    <xf numFmtId="3" fontId="278" fillId="0" borderId="13" xfId="5795" applyNumberFormat="1" applyFont="1" applyBorder="1" applyAlignment="1">
      <alignment vertical="center" wrapText="1"/>
    </xf>
    <xf numFmtId="2" fontId="278" fillId="0" borderId="13" xfId="5795" applyNumberFormat="1" applyFont="1" applyBorder="1" applyAlignment="1">
      <alignment vertical="center" wrapText="1"/>
    </xf>
    <xf numFmtId="0" fontId="15" fillId="0" borderId="1" xfId="1" applyFont="1" applyFill="1" applyBorder="1" applyAlignment="1">
      <alignment horizontal="center" vertical="center" wrapText="1"/>
    </xf>
    <xf numFmtId="169" fontId="23" fillId="2" borderId="12" xfId="22" applyNumberFormat="1" applyFont="1" applyFill="1" applyBorder="1" applyAlignment="1">
      <alignment vertical="center" wrapText="1"/>
    </xf>
    <xf numFmtId="0" fontId="16" fillId="0" borderId="0" xfId="1" applyFont="1" applyFill="1"/>
    <xf numFmtId="0" fontId="14" fillId="0" borderId="0" xfId="1" applyFont="1" applyFill="1" applyAlignment="1">
      <alignment horizontal="center" vertical="center" wrapText="1"/>
    </xf>
    <xf numFmtId="166" fontId="274" fillId="0" borderId="0" xfId="3" applyNumberFormat="1" applyFont="1" applyFill="1"/>
    <xf numFmtId="0" fontId="15" fillId="2" borderId="1" xfId="1" applyFont="1" applyFill="1" applyBorder="1" applyAlignment="1">
      <alignment horizontal="center" vertical="center" wrapText="1"/>
    </xf>
    <xf numFmtId="166" fontId="274" fillId="0" borderId="0" xfId="1" applyNumberFormat="1" applyFont="1" applyFill="1"/>
    <xf numFmtId="0" fontId="285" fillId="0" borderId="5" xfId="1" applyFont="1" applyFill="1" applyBorder="1" applyAlignment="1">
      <alignment horizontal="center" vertical="center" wrapText="1"/>
    </xf>
    <xf numFmtId="166" fontId="285" fillId="0" borderId="5" xfId="3" applyNumberFormat="1" applyFont="1" applyFill="1" applyBorder="1" applyAlignment="1">
      <alignment horizontal="center" vertical="center" wrapText="1"/>
    </xf>
    <xf numFmtId="166" fontId="285" fillId="0" borderId="17" xfId="3" applyNumberFormat="1" applyFont="1" applyFill="1" applyBorder="1" applyAlignment="1">
      <alignment horizontal="center" vertical="center" wrapText="1"/>
    </xf>
    <xf numFmtId="166" fontId="288" fillId="0" borderId="0" xfId="1" applyNumberFormat="1" applyFont="1" applyFill="1"/>
    <xf numFmtId="166" fontId="288" fillId="0" borderId="0" xfId="3" applyNumberFormat="1" applyFont="1" applyFill="1"/>
    <xf numFmtId="0" fontId="288" fillId="0" borderId="0" xfId="1" applyFont="1" applyFill="1"/>
    <xf numFmtId="0" fontId="15" fillId="0" borderId="11" xfId="1" applyFont="1" applyFill="1" applyBorder="1" applyAlignment="1">
      <alignment vertical="center" wrapText="1"/>
    </xf>
    <xf numFmtId="166" fontId="15" fillId="0" borderId="11" xfId="4" applyNumberFormat="1" applyFont="1" applyFill="1" applyBorder="1" applyAlignment="1">
      <alignment horizontal="center" vertical="center" wrapText="1"/>
    </xf>
    <xf numFmtId="0" fontId="15" fillId="0" borderId="12" xfId="1" applyFont="1" applyFill="1" applyBorder="1" applyAlignment="1">
      <alignment horizontal="center" vertical="center" wrapText="1"/>
    </xf>
    <xf numFmtId="0" fontId="15" fillId="0" borderId="12" xfId="1" applyFont="1" applyFill="1" applyBorder="1" applyAlignment="1">
      <alignment vertical="center" wrapText="1"/>
    </xf>
    <xf numFmtId="166" fontId="15" fillId="0" borderId="12" xfId="4" applyNumberFormat="1" applyFont="1" applyFill="1" applyBorder="1" applyAlignment="1">
      <alignment horizontal="center" vertical="center" wrapText="1"/>
    </xf>
    <xf numFmtId="166" fontId="15" fillId="0" borderId="12" xfId="3" applyNumberFormat="1" applyFont="1" applyFill="1" applyBorder="1" applyAlignment="1">
      <alignment horizontal="center" vertical="center" wrapText="1"/>
    </xf>
    <xf numFmtId="0" fontId="289" fillId="0" borderId="0" xfId="1" applyFont="1" applyFill="1" applyAlignment="1">
      <alignment vertical="center" wrapText="1"/>
    </xf>
    <xf numFmtId="1" fontId="15" fillId="0" borderId="11" xfId="3" applyNumberFormat="1" applyFont="1" applyFill="1" applyBorder="1" applyAlignment="1">
      <alignment horizontal="center" vertical="center"/>
    </xf>
    <xf numFmtId="1" fontId="15" fillId="0" borderId="12" xfId="3" applyNumberFormat="1" applyFont="1" applyFill="1" applyBorder="1" applyAlignment="1">
      <alignment horizontal="center" vertical="center"/>
    </xf>
    <xf numFmtId="1" fontId="282" fillId="0" borderId="11" xfId="1" applyNumberFormat="1" applyFont="1" applyBorder="1" applyAlignment="1">
      <alignment horizontal="center" vertical="center" wrapText="1"/>
    </xf>
    <xf numFmtId="363" fontId="283" fillId="0" borderId="0" xfId="1" applyNumberFormat="1" applyFont="1"/>
    <xf numFmtId="1" fontId="23" fillId="0" borderId="1" xfId="3144" applyNumberFormat="1" applyFont="1" applyBorder="1" applyAlignment="1">
      <alignment horizontal="center" vertical="center" wrapText="1"/>
    </xf>
    <xf numFmtId="1" fontId="23" fillId="0" borderId="1" xfId="3144" applyNumberFormat="1" applyFont="1" applyBorder="1" applyAlignment="1">
      <alignment vertical="center" wrapText="1"/>
    </xf>
    <xf numFmtId="0" fontId="279" fillId="0" borderId="1" xfId="5795" applyFont="1" applyBorder="1" applyAlignment="1">
      <alignment horizontal="center" vertical="center" wrapText="1"/>
    </xf>
    <xf numFmtId="166" fontId="250" fillId="0" borderId="11" xfId="3" applyNumberFormat="1" applyFont="1" applyFill="1" applyBorder="1" applyAlignment="1">
      <alignment horizontal="right" vertical="center" wrapText="1"/>
    </xf>
    <xf numFmtId="166" fontId="17" fillId="0" borderId="11" xfId="3" applyNumberFormat="1" applyFont="1" applyFill="1" applyBorder="1" applyAlignment="1">
      <alignment horizontal="right" vertical="center" wrapText="1"/>
    </xf>
    <xf numFmtId="0" fontId="14" fillId="0" borderId="0" xfId="1" applyFont="1" applyFill="1" applyAlignment="1">
      <alignment vertical="center"/>
    </xf>
    <xf numFmtId="0" fontId="250" fillId="0" borderId="11" xfId="1" applyFont="1" applyBorder="1" applyAlignment="1">
      <alignment vertical="center" wrapText="1"/>
    </xf>
    <xf numFmtId="3" fontId="23" fillId="0" borderId="11" xfId="3" applyNumberFormat="1" applyFont="1" applyBorder="1" applyAlignment="1">
      <alignment horizontal="right" vertical="center" wrapText="1"/>
    </xf>
    <xf numFmtId="3" fontId="23" fillId="0" borderId="11" xfId="3" applyNumberFormat="1" applyFont="1" applyBorder="1" applyAlignment="1">
      <alignment horizontal="center" vertical="center" wrapText="1"/>
    </xf>
    <xf numFmtId="3" fontId="23" fillId="0" borderId="11" xfId="3" applyNumberFormat="1" applyFont="1" applyBorder="1" applyAlignment="1">
      <alignment vertical="center" wrapText="1"/>
    </xf>
    <xf numFmtId="3" fontId="23" fillId="0" borderId="11" xfId="3" applyNumberFormat="1" applyFont="1" applyBorder="1" applyAlignment="1">
      <alignment horizontal="right" vertical="center"/>
    </xf>
    <xf numFmtId="3" fontId="23" fillId="2" borderId="11" xfId="3" applyNumberFormat="1" applyFont="1" applyFill="1" applyBorder="1" applyAlignment="1">
      <alignment horizontal="right" vertical="center"/>
    </xf>
    <xf numFmtId="3" fontId="23" fillId="0" borderId="11" xfId="3144" applyNumberFormat="1" applyFont="1" applyBorder="1" applyAlignment="1">
      <alignment horizontal="right" vertical="center"/>
    </xf>
    <xf numFmtId="3" fontId="23" fillId="0" borderId="11" xfId="3" applyNumberFormat="1" applyFont="1" applyBorder="1" applyAlignment="1">
      <alignment vertical="center"/>
    </xf>
    <xf numFmtId="3" fontId="23" fillId="0" borderId="12" xfId="3" applyNumberFormat="1" applyFont="1" applyBorder="1" applyAlignment="1">
      <alignment horizontal="right" vertical="center" wrapText="1"/>
    </xf>
    <xf numFmtId="3" fontId="23" fillId="0" borderId="12" xfId="3" applyNumberFormat="1" applyFont="1" applyBorder="1" applyAlignment="1">
      <alignment horizontal="center" vertical="center" wrapText="1"/>
    </xf>
    <xf numFmtId="3" fontId="23" fillId="0" borderId="12" xfId="3" applyNumberFormat="1" applyFont="1" applyBorder="1" applyAlignment="1">
      <alignment vertical="center" wrapText="1"/>
    </xf>
    <xf numFmtId="166" fontId="15" fillId="0" borderId="11" xfId="3" applyNumberFormat="1" applyFont="1" applyFill="1" applyBorder="1" applyAlignment="1">
      <alignment horizontal="left" vertical="center" wrapText="1"/>
    </xf>
    <xf numFmtId="3" fontId="0" fillId="0" borderId="0" xfId="0" applyNumberFormat="1"/>
    <xf numFmtId="166" fontId="290" fillId="0" borderId="0" xfId="3" applyNumberFormat="1" applyFont="1"/>
    <xf numFmtId="166" fontId="281" fillId="0" borderId="0" xfId="3" applyNumberFormat="1" applyFont="1"/>
    <xf numFmtId="0" fontId="0" fillId="0" borderId="0" xfId="0" applyAlignment="1">
      <alignment vertical="center" wrapText="1"/>
    </xf>
    <xf numFmtId="166" fontId="272" fillId="0" borderId="0" xfId="3" applyNumberFormat="1" applyFont="1"/>
    <xf numFmtId="0" fontId="272" fillId="0" borderId="0" xfId="0" applyFont="1"/>
    <xf numFmtId="166" fontId="272" fillId="0" borderId="0" xfId="3" applyNumberFormat="1" applyFont="1" applyAlignment="1">
      <alignment wrapText="1"/>
    </xf>
    <xf numFmtId="0" fontId="273" fillId="0" borderId="13" xfId="0" applyFont="1" applyBorder="1" applyAlignment="1">
      <alignment vertical="center" wrapText="1"/>
    </xf>
    <xf numFmtId="0" fontId="273" fillId="0" borderId="11" xfId="0" applyFont="1" applyBorder="1" applyAlignment="1">
      <alignment vertical="center" wrapText="1"/>
    </xf>
    <xf numFmtId="0" fontId="281" fillId="0" borderId="11" xfId="0" applyFont="1" applyBorder="1" applyAlignment="1">
      <alignment vertical="center" wrapText="1"/>
    </xf>
    <xf numFmtId="0" fontId="0" fillId="0" borderId="11" xfId="0" applyBorder="1" applyAlignment="1">
      <alignment vertical="center" wrapText="1"/>
    </xf>
    <xf numFmtId="0" fontId="272" fillId="0" borderId="11" xfId="0" applyFont="1" applyBorder="1" applyAlignment="1">
      <alignment vertical="center" wrapText="1"/>
    </xf>
    <xf numFmtId="166" fontId="273" fillId="0" borderId="11" xfId="3" applyNumberFormat="1" applyFont="1" applyBorder="1" applyAlignment="1">
      <alignment vertical="center"/>
    </xf>
    <xf numFmtId="0" fontId="0" fillId="0" borderId="12" xfId="0" applyBorder="1" applyAlignment="1">
      <alignment vertical="center" wrapText="1"/>
    </xf>
    <xf numFmtId="0" fontId="0" fillId="0" borderId="13" xfId="0" applyBorder="1" applyAlignment="1">
      <alignment horizontal="center" vertical="center"/>
    </xf>
    <xf numFmtId="166" fontId="0" fillId="0" borderId="13" xfId="3" applyNumberFormat="1" applyFont="1" applyBorder="1" applyAlignment="1">
      <alignment vertical="center"/>
    </xf>
    <xf numFmtId="0" fontId="273" fillId="0" borderId="11" xfId="0" applyFont="1" applyBorder="1" applyAlignment="1">
      <alignment horizontal="center" vertical="center"/>
    </xf>
    <xf numFmtId="166" fontId="273" fillId="0" borderId="11" xfId="3" applyNumberFormat="1" applyFont="1" applyBorder="1" applyAlignment="1">
      <alignment vertical="center" wrapText="1"/>
    </xf>
    <xf numFmtId="0" fontId="281" fillId="0" borderId="11" xfId="0" applyFont="1" applyBorder="1" applyAlignment="1">
      <alignment horizontal="center" vertical="center"/>
    </xf>
    <xf numFmtId="166" fontId="281" fillId="0" borderId="11" xfId="3" applyNumberFormat="1" applyFont="1" applyBorder="1" applyAlignment="1">
      <alignment vertical="center"/>
    </xf>
    <xf numFmtId="166" fontId="272" fillId="0" borderId="11" xfId="3" applyNumberFormat="1" applyFont="1" applyBorder="1" applyAlignment="1">
      <alignment vertical="center" wrapText="1"/>
    </xf>
    <xf numFmtId="0" fontId="0" fillId="0" borderId="11" xfId="0" applyBorder="1" applyAlignment="1">
      <alignment horizontal="center" vertical="center"/>
    </xf>
    <xf numFmtId="166" fontId="0" fillId="0" borderId="11" xfId="3" applyNumberFormat="1" applyFont="1" applyBorder="1" applyAlignment="1">
      <alignment vertical="center"/>
    </xf>
    <xf numFmtId="0" fontId="272" fillId="0" borderId="11" xfId="0" applyFont="1" applyBorder="1" applyAlignment="1">
      <alignment horizontal="center" vertical="center"/>
    </xf>
    <xf numFmtId="166" fontId="272" fillId="0" borderId="11" xfId="3" applyNumberFormat="1" applyFont="1" applyBorder="1" applyAlignment="1">
      <alignment vertical="center"/>
    </xf>
    <xf numFmtId="0" fontId="0" fillId="0" borderId="12" xfId="0" applyBorder="1" applyAlignment="1">
      <alignment horizontal="center" vertical="center"/>
    </xf>
    <xf numFmtId="166" fontId="0" fillId="0" borderId="12" xfId="3" applyNumberFormat="1" applyFont="1" applyBorder="1" applyAlignment="1">
      <alignment vertical="center"/>
    </xf>
    <xf numFmtId="166" fontId="272" fillId="0" borderId="12" xfId="3" applyNumberFormat="1" applyFont="1" applyBorder="1" applyAlignment="1">
      <alignment vertical="center" wrapText="1"/>
    </xf>
    <xf numFmtId="166" fontId="273" fillId="0" borderId="13" xfId="3" applyNumberFormat="1" applyFont="1" applyBorder="1" applyAlignment="1">
      <alignment horizontal="center" vertical="center" wrapText="1"/>
    </xf>
    <xf numFmtId="169" fontId="247" fillId="0" borderId="1" xfId="3144" applyNumberFormat="1" applyFont="1" applyFill="1" applyBorder="1" applyAlignment="1">
      <alignment horizontal="center" vertical="center" wrapText="1"/>
    </xf>
    <xf numFmtId="9" fontId="247" fillId="0" borderId="1" xfId="5332" applyFont="1" applyFill="1" applyBorder="1" applyAlignment="1">
      <alignment horizontal="center" vertical="center" wrapText="1"/>
    </xf>
    <xf numFmtId="170" fontId="15" fillId="0" borderId="11" xfId="1" applyNumberFormat="1" applyFont="1" applyBorder="1" applyAlignment="1">
      <alignment horizontal="center" vertical="center" wrapText="1"/>
    </xf>
    <xf numFmtId="37" fontId="15" fillId="0" borderId="11" xfId="3" applyNumberFormat="1" applyFont="1" applyBorder="1" applyAlignment="1">
      <alignment horizontal="right" vertical="center" wrapText="1"/>
    </xf>
    <xf numFmtId="37" fontId="282" fillId="0" borderId="11" xfId="3" applyNumberFormat="1" applyFont="1" applyBorder="1" applyAlignment="1">
      <alignment horizontal="right" vertical="center" wrapText="1"/>
    </xf>
    <xf numFmtId="37" fontId="14" fillId="0" borderId="11" xfId="3" applyNumberFormat="1" applyFont="1" applyBorder="1" applyAlignment="1">
      <alignment horizontal="right" vertical="center" wrapText="1"/>
    </xf>
    <xf numFmtId="37" fontId="15" fillId="0" borderId="11" xfId="2286" applyNumberFormat="1" applyFont="1" applyFill="1" applyBorder="1" applyAlignment="1">
      <alignment horizontal="right" vertical="center" wrapText="1"/>
    </xf>
    <xf numFmtId="37" fontId="14" fillId="0" borderId="11" xfId="3" applyNumberFormat="1" applyFont="1" applyFill="1" applyBorder="1" applyAlignment="1">
      <alignment horizontal="right" vertical="center" wrapText="1"/>
    </xf>
    <xf numFmtId="37" fontId="15" fillId="0" borderId="11" xfId="3" applyNumberFormat="1" applyFont="1" applyFill="1" applyBorder="1" applyAlignment="1">
      <alignment horizontal="right" vertical="center" wrapText="1"/>
    </xf>
    <xf numFmtId="37" fontId="15" fillId="0" borderId="14" xfId="3" applyNumberFormat="1" applyFont="1" applyBorder="1" applyAlignment="1">
      <alignment horizontal="right" vertical="center" wrapText="1"/>
    </xf>
    <xf numFmtId="37" fontId="15" fillId="0" borderId="12" xfId="3" applyNumberFormat="1" applyFont="1" applyBorder="1" applyAlignment="1">
      <alignment horizontal="right" vertical="center" wrapText="1"/>
    </xf>
    <xf numFmtId="37" fontId="14" fillId="0" borderId="12" xfId="3" applyNumberFormat="1" applyFont="1" applyBorder="1" applyAlignment="1">
      <alignment horizontal="right" vertical="center" wrapText="1"/>
    </xf>
    <xf numFmtId="3" fontId="14" fillId="0" borderId="11" xfId="3" applyNumberFormat="1" applyFont="1" applyBorder="1" applyAlignment="1">
      <alignment horizontal="right" vertical="center" wrapText="1"/>
    </xf>
    <xf numFmtId="3" fontId="15" fillId="0" borderId="11" xfId="3" applyNumberFormat="1" applyFont="1" applyBorder="1" applyAlignment="1">
      <alignment horizontal="right" vertical="center" wrapText="1"/>
    </xf>
    <xf numFmtId="3" fontId="15" fillId="0" borderId="11" xfId="3" applyNumberFormat="1" applyFont="1" applyFill="1" applyBorder="1" applyAlignment="1">
      <alignment horizontal="right" vertical="center" wrapText="1"/>
    </xf>
    <xf numFmtId="9" fontId="15" fillId="0" borderId="0" xfId="5332" applyFont="1" applyFill="1" applyAlignment="1">
      <alignment horizontal="center" vertical="center"/>
    </xf>
    <xf numFmtId="9" fontId="14" fillId="0" borderId="0" xfId="5332" applyFont="1" applyFill="1" applyAlignment="1">
      <alignment horizontal="center" vertical="center"/>
    </xf>
    <xf numFmtId="9" fontId="15" fillId="0" borderId="0" xfId="5332" applyFont="1" applyFill="1" applyAlignment="1">
      <alignment horizontal="center" vertical="center" wrapText="1"/>
    </xf>
    <xf numFmtId="0" fontId="14" fillId="0" borderId="0" xfId="3144" applyFont="1" applyFill="1" applyAlignment="1">
      <alignment vertical="center"/>
    </xf>
    <xf numFmtId="0" fontId="15" fillId="0" borderId="0" xfId="3144" applyFont="1" applyFill="1"/>
    <xf numFmtId="0" fontId="14" fillId="0" borderId="11" xfId="3144" applyFont="1" applyFill="1" applyBorder="1" applyAlignment="1">
      <alignment horizontal="center" vertical="center" wrapText="1"/>
    </xf>
    <xf numFmtId="0" fontId="14" fillId="0" borderId="11" xfId="3144" applyFont="1" applyFill="1" applyBorder="1" applyAlignment="1">
      <alignment vertical="center" wrapText="1"/>
    </xf>
    <xf numFmtId="49" fontId="15" fillId="0" borderId="11" xfId="3144" applyNumberFormat="1" applyFont="1" applyFill="1" applyBorder="1" applyAlignment="1">
      <alignment vertical="center" wrapText="1"/>
    </xf>
    <xf numFmtId="0" fontId="15" fillId="0" borderId="11" xfId="3144" applyFont="1" applyFill="1" applyBorder="1" applyAlignment="1">
      <alignment vertical="center" wrapText="1"/>
    </xf>
    <xf numFmtId="0" fontId="250" fillId="0" borderId="11" xfId="3144" applyFont="1" applyFill="1" applyBorder="1" applyAlignment="1">
      <alignment vertical="center" wrapText="1"/>
    </xf>
    <xf numFmtId="0" fontId="15" fillId="0" borderId="12" xfId="3144" applyFont="1" applyFill="1" applyBorder="1" applyAlignment="1">
      <alignment vertical="center" wrapText="1"/>
    </xf>
    <xf numFmtId="0" fontId="15" fillId="0" borderId="0" xfId="3144" applyFont="1" applyFill="1" applyAlignment="1">
      <alignment vertical="center"/>
    </xf>
    <xf numFmtId="169" fontId="14" fillId="0" borderId="0" xfId="3144" applyNumberFormat="1" applyFont="1" applyFill="1" applyAlignment="1">
      <alignment horizontal="right" vertical="center"/>
    </xf>
    <xf numFmtId="0" fontId="282" fillId="0" borderId="0" xfId="3144" applyFont="1" applyFill="1" applyAlignment="1">
      <alignment horizontal="right" vertical="center"/>
    </xf>
    <xf numFmtId="169" fontId="15" fillId="0" borderId="0" xfId="3144" applyNumberFormat="1" applyFont="1" applyFill="1" applyAlignment="1">
      <alignment horizontal="right"/>
    </xf>
    <xf numFmtId="9" fontId="15" fillId="0" borderId="0" xfId="5332" applyFont="1" applyFill="1" applyAlignment="1">
      <alignment horizontal="center"/>
    </xf>
    <xf numFmtId="166" fontId="14" fillId="0" borderId="11" xfId="3" applyNumberFormat="1" applyFont="1" applyFill="1" applyBorder="1" applyAlignment="1">
      <alignment horizontal="right" vertical="center" wrapText="1"/>
    </xf>
    <xf numFmtId="0" fontId="14" fillId="0" borderId="0" xfId="3144" applyFont="1" applyFill="1"/>
    <xf numFmtId="0" fontId="15" fillId="0" borderId="11" xfId="3144" applyFont="1" applyFill="1" applyBorder="1" applyAlignment="1">
      <alignment horizontal="center" vertical="center" wrapText="1"/>
    </xf>
    <xf numFmtId="9" fontId="15" fillId="0" borderId="11" xfId="5332" applyFont="1" applyFill="1" applyBorder="1" applyAlignment="1">
      <alignment horizontal="center" vertical="center" wrapText="1"/>
    </xf>
    <xf numFmtId="0" fontId="250" fillId="0" borderId="11" xfId="3144" applyFont="1" applyFill="1" applyBorder="1" applyAlignment="1">
      <alignment horizontal="center" vertical="center" wrapText="1"/>
    </xf>
    <xf numFmtId="9" fontId="250" fillId="0" borderId="11" xfId="5332" applyFont="1" applyFill="1" applyBorder="1" applyAlignment="1">
      <alignment horizontal="center" vertical="center" wrapText="1"/>
    </xf>
    <xf numFmtId="166" fontId="250" fillId="0" borderId="0" xfId="3144" applyNumberFormat="1" applyFont="1" applyFill="1"/>
    <xf numFmtId="0" fontId="250" fillId="0" borderId="0" xfId="3144" applyFont="1" applyFill="1"/>
    <xf numFmtId="0" fontId="15" fillId="0" borderId="12" xfId="3144" applyFont="1" applyFill="1" applyBorder="1" applyAlignment="1">
      <alignment horizontal="center" vertical="center" wrapText="1"/>
    </xf>
    <xf numFmtId="166" fontId="15" fillId="0" borderId="12" xfId="3" applyNumberFormat="1" applyFont="1" applyFill="1" applyBorder="1" applyAlignment="1">
      <alignment horizontal="right" vertical="center" wrapText="1"/>
    </xf>
    <xf numFmtId="9" fontId="15" fillId="0" borderId="12" xfId="5332" applyFont="1" applyFill="1" applyBorder="1" applyAlignment="1">
      <alignment horizontal="center" vertical="center" wrapText="1"/>
    </xf>
    <xf numFmtId="169" fontId="15" fillId="0" borderId="0" xfId="3144" applyNumberFormat="1" applyFont="1" applyFill="1" applyAlignment="1">
      <alignment horizontal="right" vertical="center"/>
    </xf>
    <xf numFmtId="0" fontId="16" fillId="0" borderId="11" xfId="3144" applyFont="1" applyFill="1" applyBorder="1" applyAlignment="1">
      <alignment horizontal="center" vertical="center" wrapText="1"/>
    </xf>
    <xf numFmtId="0" fontId="248" fillId="0" borderId="11" xfId="3144" applyFont="1" applyFill="1" applyBorder="1" applyAlignment="1">
      <alignment horizontal="center" vertical="center" wrapText="1"/>
    </xf>
    <xf numFmtId="9" fontId="248" fillId="0" borderId="11" xfId="5332" applyFont="1" applyFill="1" applyBorder="1" applyAlignment="1">
      <alignment horizontal="center" vertical="center" wrapText="1"/>
    </xf>
    <xf numFmtId="166" fontId="248" fillId="0" borderId="0" xfId="3" applyNumberFormat="1" applyFont="1" applyFill="1"/>
    <xf numFmtId="0" fontId="248" fillId="0" borderId="0" xfId="3144" applyFont="1" applyFill="1"/>
    <xf numFmtId="9" fontId="14" fillId="0" borderId="0" xfId="5332" applyFont="1" applyFill="1" applyAlignment="1">
      <alignment vertical="center"/>
    </xf>
    <xf numFmtId="9" fontId="15" fillId="0" borderId="0" xfId="5332" applyFont="1" applyFill="1" applyAlignment="1">
      <alignment vertical="center" wrapText="1"/>
    </xf>
    <xf numFmtId="1" fontId="247" fillId="0" borderId="1" xfId="3144" applyNumberFormat="1" applyFont="1" applyFill="1" applyBorder="1" applyAlignment="1">
      <alignment horizontal="center" vertical="center" wrapText="1"/>
    </xf>
    <xf numFmtId="1" fontId="247" fillId="0" borderId="0" xfId="3144" applyNumberFormat="1" applyFont="1" applyFill="1" applyAlignment="1">
      <alignment horizontal="center"/>
    </xf>
    <xf numFmtId="0" fontId="16" fillId="0" borderId="0" xfId="3144" applyFont="1" applyFill="1" applyAlignment="1">
      <alignment vertical="center"/>
    </xf>
    <xf numFmtId="0" fontId="17" fillId="0" borderId="0" xfId="3144" applyFont="1" applyFill="1"/>
    <xf numFmtId="1" fontId="16" fillId="0" borderId="1" xfId="3144" applyNumberFormat="1" applyFont="1" applyFill="1" applyBorder="1" applyAlignment="1">
      <alignment horizontal="center" vertical="center" wrapText="1"/>
    </xf>
    <xf numFmtId="0" fontId="17" fillId="0" borderId="11" xfId="3144" applyFont="1" applyFill="1" applyBorder="1" applyAlignment="1">
      <alignment horizontal="center" vertical="center" wrapText="1"/>
    </xf>
    <xf numFmtId="0" fontId="292" fillId="0" borderId="11" xfId="3144" applyFont="1" applyFill="1" applyBorder="1" applyAlignment="1">
      <alignment horizontal="center" vertical="center" wrapText="1"/>
    </xf>
    <xf numFmtId="0" fontId="17" fillId="0" borderId="12" xfId="3144" applyFont="1" applyFill="1" applyBorder="1" applyAlignment="1">
      <alignment horizontal="center" vertical="center" wrapText="1"/>
    </xf>
    <xf numFmtId="0" fontId="17" fillId="0" borderId="0" xfId="3144" applyFont="1" applyFill="1" applyAlignment="1">
      <alignment vertical="center"/>
    </xf>
    <xf numFmtId="0" fontId="17" fillId="0" borderId="11" xfId="3144" quotePrefix="1" applyFont="1" applyFill="1" applyBorder="1" applyAlignment="1">
      <alignment horizontal="center" vertical="center" wrapText="1"/>
    </xf>
    <xf numFmtId="37" fontId="275" fillId="0" borderId="0" xfId="1" applyNumberFormat="1" applyFont="1"/>
    <xf numFmtId="37" fontId="274" fillId="0" borderId="0" xfId="1" applyNumberFormat="1" applyFont="1"/>
    <xf numFmtId="37" fontId="293" fillId="0" borderId="0" xfId="1" applyNumberFormat="1" applyFont="1"/>
    <xf numFmtId="166" fontId="293" fillId="0" borderId="0" xfId="1" applyNumberFormat="1" applyFont="1"/>
    <xf numFmtId="0" fontId="293" fillId="0" borderId="0" xfId="1" applyFont="1"/>
    <xf numFmtId="0" fontId="14" fillId="0" borderId="0" xfId="1" applyFont="1" applyFill="1" applyAlignment="1">
      <alignment horizontal="center" vertical="center"/>
    </xf>
    <xf numFmtId="0" fontId="15" fillId="0" borderId="1" xfId="1" applyFont="1" applyFill="1" applyBorder="1" applyAlignment="1">
      <alignment horizontal="center" vertical="center" wrapText="1"/>
    </xf>
    <xf numFmtId="166" fontId="282" fillId="0" borderId="9" xfId="1" applyNumberFormat="1" applyFont="1" applyFill="1" applyBorder="1" applyAlignment="1"/>
    <xf numFmtId="166" fontId="14" fillId="0" borderId="0" xfId="1" applyNumberFormat="1" applyFont="1" applyFill="1" applyAlignment="1">
      <alignment vertical="center"/>
    </xf>
    <xf numFmtId="0" fontId="17" fillId="0" borderId="0" xfId="1" applyFont="1" applyFill="1" applyAlignment="1">
      <alignment horizontal="center" vertical="center"/>
    </xf>
    <xf numFmtId="0" fontId="17" fillId="0" borderId="0" xfId="1" applyFont="1" applyFill="1" applyAlignment="1">
      <alignment horizontal="left" vertical="center" wrapText="1"/>
    </xf>
    <xf numFmtId="166" fontId="17" fillId="0" borderId="0" xfId="3" applyNumberFormat="1" applyFont="1" applyFill="1"/>
    <xf numFmtId="166" fontId="17" fillId="0" borderId="0" xfId="1" applyNumberFormat="1" applyFont="1" applyFill="1"/>
    <xf numFmtId="361" fontId="17" fillId="0" borderId="0" xfId="1" applyNumberFormat="1" applyFont="1" applyFill="1"/>
    <xf numFmtId="0" fontId="271" fillId="0" borderId="0" xfId="1" applyFont="1" applyFill="1" applyAlignment="1">
      <alignment horizontal="right" vertical="center"/>
    </xf>
    <xf numFmtId="364" fontId="17" fillId="0" borderId="0" xfId="3" applyNumberFormat="1" applyFont="1" applyFill="1"/>
    <xf numFmtId="0" fontId="17" fillId="0" borderId="1" xfId="1" applyFont="1" applyFill="1" applyBorder="1" applyAlignment="1">
      <alignment horizontal="center" vertical="center" wrapText="1"/>
    </xf>
    <xf numFmtId="14" fontId="17" fillId="0" borderId="1" xfId="1" quotePrefix="1" applyNumberFormat="1" applyFont="1" applyFill="1" applyBorder="1" applyAlignment="1">
      <alignment horizontal="center" vertical="center" wrapText="1"/>
    </xf>
    <xf numFmtId="0" fontId="16" fillId="0" borderId="11" xfId="1" applyFont="1" applyFill="1" applyBorder="1" applyAlignment="1">
      <alignment horizontal="center" vertical="center" wrapText="1"/>
    </xf>
    <xf numFmtId="0" fontId="16" fillId="0" borderId="3" xfId="1" applyFont="1" applyFill="1" applyBorder="1" applyAlignment="1">
      <alignment horizontal="left" vertical="center" wrapText="1"/>
    </xf>
    <xf numFmtId="166" fontId="16" fillId="0" borderId="11" xfId="1" applyNumberFormat="1" applyFont="1" applyFill="1" applyBorder="1" applyAlignment="1">
      <alignment horizontal="center" vertical="center" wrapText="1"/>
    </xf>
    <xf numFmtId="166" fontId="17" fillId="0" borderId="0" xfId="3" applyNumberFormat="1" applyFont="1" applyFill="1" applyAlignment="1">
      <alignment vertical="center"/>
    </xf>
    <xf numFmtId="166" fontId="17" fillId="0" borderId="0" xfId="1" applyNumberFormat="1" applyFont="1" applyFill="1" applyAlignment="1">
      <alignment vertical="center"/>
    </xf>
    <xf numFmtId="0" fontId="17" fillId="0" borderId="0" xfId="1" applyFont="1" applyFill="1" applyAlignment="1">
      <alignment vertical="center"/>
    </xf>
    <xf numFmtId="166" fontId="17" fillId="0" borderId="11" xfId="1" applyNumberFormat="1" applyFont="1" applyFill="1" applyBorder="1" applyAlignment="1">
      <alignment horizontal="center" vertical="center" wrapText="1"/>
    </xf>
    <xf numFmtId="1" fontId="17" fillId="0" borderId="11" xfId="1" applyNumberFormat="1" applyFont="1" applyFill="1" applyBorder="1" applyAlignment="1">
      <alignment horizontal="center" vertical="center" wrapText="1"/>
    </xf>
    <xf numFmtId="166" fontId="17" fillId="0" borderId="14" xfId="3" applyNumberFormat="1" applyFont="1" applyFill="1" applyBorder="1" applyAlignment="1">
      <alignment vertical="center"/>
    </xf>
    <xf numFmtId="166" fontId="17" fillId="0" borderId="14" xfId="1" applyNumberFormat="1" applyFont="1" applyFill="1" applyBorder="1" applyAlignment="1">
      <alignment vertical="center"/>
    </xf>
    <xf numFmtId="166" fontId="17" fillId="0" borderId="12" xfId="3" applyNumberFormat="1" applyFont="1" applyFill="1" applyBorder="1" applyAlignment="1">
      <alignment horizontal="center" vertical="center" wrapText="1"/>
    </xf>
    <xf numFmtId="0" fontId="17" fillId="0" borderId="12" xfId="1" applyFont="1" applyFill="1" applyBorder="1" applyAlignment="1">
      <alignment vertical="center"/>
    </xf>
    <xf numFmtId="166" fontId="17" fillId="0" borderId="12" xfId="3" applyNumberFormat="1" applyFont="1" applyFill="1" applyBorder="1" applyAlignment="1">
      <alignment vertical="center"/>
    </xf>
    <xf numFmtId="166" fontId="17" fillId="0" borderId="12" xfId="1" applyNumberFormat="1" applyFont="1" applyFill="1" applyBorder="1" applyAlignment="1">
      <alignment vertical="center"/>
    </xf>
    <xf numFmtId="9" fontId="14" fillId="0" borderId="0" xfId="5332" applyFont="1" applyFill="1" applyAlignment="1">
      <alignment horizontal="center" vertical="center"/>
    </xf>
    <xf numFmtId="9" fontId="15" fillId="0" borderId="0" xfId="5332" applyFont="1" applyFill="1" applyAlignment="1">
      <alignment horizontal="center" vertical="center" wrapText="1"/>
    </xf>
    <xf numFmtId="0" fontId="277" fillId="0" borderId="12" xfId="5795" applyFont="1" applyFill="1" applyBorder="1" applyAlignment="1">
      <alignment vertical="center"/>
    </xf>
    <xf numFmtId="0" fontId="15" fillId="0" borderId="0" xfId="5793" applyFont="1" applyFill="1" applyAlignment="1">
      <alignment horizontal="center" vertical="center"/>
    </xf>
    <xf numFmtId="0" fontId="15" fillId="0" borderId="0" xfId="5793" applyFont="1" applyFill="1" applyAlignment="1">
      <alignment horizontal="left"/>
    </xf>
    <xf numFmtId="0" fontId="15" fillId="0" borderId="0" xfId="5793" applyFont="1" applyFill="1"/>
    <xf numFmtId="0" fontId="14" fillId="0" borderId="0" xfId="5793" applyFont="1" applyFill="1" applyAlignment="1">
      <alignment vertical="center"/>
    </xf>
    <xf numFmtId="0" fontId="14" fillId="0" borderId="0" xfId="5793" applyFont="1" applyFill="1" applyAlignment="1">
      <alignment horizontal="right" vertical="center"/>
    </xf>
    <xf numFmtId="0" fontId="15" fillId="0" borderId="1" xfId="5793" applyFont="1" applyFill="1" applyBorder="1" applyAlignment="1">
      <alignment horizontal="center" vertical="center" wrapText="1"/>
    </xf>
    <xf numFmtId="0" fontId="15" fillId="0" borderId="1" xfId="5793" applyFont="1" applyFill="1" applyBorder="1" applyAlignment="1">
      <alignment horizontal="center" vertical="center"/>
    </xf>
    <xf numFmtId="0" fontId="15" fillId="0" borderId="1" xfId="5793" applyFont="1" applyFill="1" applyBorder="1" applyAlignment="1">
      <alignment horizontal="center"/>
    </xf>
    <xf numFmtId="166" fontId="15" fillId="0" borderId="0" xfId="5793" applyNumberFormat="1" applyFont="1" applyFill="1"/>
    <xf numFmtId="0" fontId="285" fillId="0" borderId="3" xfId="5793" applyFont="1" applyFill="1" applyBorder="1" applyAlignment="1">
      <alignment horizontal="center" vertical="center"/>
    </xf>
    <xf numFmtId="166" fontId="285" fillId="0" borderId="3" xfId="3" applyNumberFormat="1" applyFont="1" applyFill="1" applyBorder="1" applyAlignment="1">
      <alignment horizontal="right" vertical="center" wrapText="1"/>
    </xf>
    <xf numFmtId="0" fontId="285" fillId="0" borderId="0" xfId="5793" applyFont="1" applyFill="1"/>
    <xf numFmtId="0" fontId="15" fillId="0" borderId="11" xfId="5793" applyFont="1" applyFill="1" applyBorder="1" applyAlignment="1">
      <alignment horizontal="center" vertical="center" wrapText="1"/>
    </xf>
    <xf numFmtId="0" fontId="15" fillId="0" borderId="11" xfId="5793" applyFont="1" applyFill="1" applyBorder="1" applyAlignment="1">
      <alignment horizontal="left" vertical="center" wrapText="1"/>
    </xf>
    <xf numFmtId="3" fontId="15" fillId="0" borderId="11" xfId="0" applyNumberFormat="1" applyFont="1" applyFill="1" applyBorder="1" applyAlignment="1">
      <alignment horizontal="right" vertical="center" wrapText="1"/>
    </xf>
    <xf numFmtId="170" fontId="15" fillId="0" borderId="11" xfId="0" applyNumberFormat="1" applyFont="1" applyFill="1" applyBorder="1" applyAlignment="1">
      <alignment vertical="center" wrapText="1"/>
    </xf>
    <xf numFmtId="166" fontId="15" fillId="0" borderId="11" xfId="3" applyNumberFormat="1" applyFont="1" applyFill="1" applyBorder="1" applyAlignment="1">
      <alignment horizontal="right" vertical="center"/>
    </xf>
    <xf numFmtId="0" fontId="15" fillId="0" borderId="12" xfId="5793" applyFont="1" applyFill="1" applyBorder="1" applyAlignment="1">
      <alignment horizontal="center" vertical="center" wrapText="1"/>
    </xf>
    <xf numFmtId="0" fontId="15" fillId="0" borderId="12" xfId="5793" applyFont="1" applyFill="1" applyBorder="1" applyAlignment="1">
      <alignment horizontal="left" vertical="center" wrapText="1"/>
    </xf>
    <xf numFmtId="0" fontId="14" fillId="0" borderId="1" xfId="1" applyFont="1" applyBorder="1" applyAlignment="1">
      <alignment horizontal="center" vertical="center" wrapText="1"/>
    </xf>
    <xf numFmtId="0" fontId="15" fillId="0" borderId="11" xfId="5333" applyFont="1" applyFill="1" applyBorder="1" applyAlignment="1">
      <alignment vertical="center" wrapText="1"/>
    </xf>
    <xf numFmtId="0" fontId="17" fillId="0" borderId="0" xfId="1" applyFont="1"/>
    <xf numFmtId="0" fontId="271" fillId="0" borderId="0" xfId="1" applyFont="1"/>
    <xf numFmtId="170" fontId="14" fillId="0" borderId="11" xfId="1" applyNumberFormat="1" applyFont="1" applyBorder="1" applyAlignment="1">
      <alignment horizontal="center" vertical="center" wrapText="1"/>
    </xf>
    <xf numFmtId="3" fontId="15" fillId="0" borderId="11" xfId="5333" applyNumberFormat="1" applyFont="1" applyFill="1" applyBorder="1" applyAlignment="1">
      <alignment horizontal="right" vertical="center" wrapText="1"/>
    </xf>
    <xf numFmtId="3" fontId="14" fillId="0" borderId="11" xfId="5333" applyNumberFormat="1" applyFont="1" applyFill="1" applyBorder="1" applyAlignment="1">
      <alignment horizontal="right" vertical="center" wrapText="1"/>
    </xf>
    <xf numFmtId="0" fontId="14" fillId="0" borderId="11" xfId="0" applyFont="1" applyBorder="1" applyAlignment="1">
      <alignment vertical="center" wrapText="1"/>
    </xf>
    <xf numFmtId="170" fontId="14" fillId="0" borderId="11" xfId="3" applyNumberFormat="1" applyFont="1" applyBorder="1" applyAlignment="1">
      <alignment horizontal="center" vertical="center" wrapText="1"/>
    </xf>
    <xf numFmtId="170" fontId="15" fillId="0" borderId="11" xfId="3" applyNumberFormat="1" applyFont="1" applyBorder="1" applyAlignment="1">
      <alignment horizontal="center" vertical="center" wrapText="1"/>
    </xf>
    <xf numFmtId="170" fontId="14" fillId="0" borderId="12" xfId="1" applyNumberFormat="1" applyFont="1" applyBorder="1" applyAlignment="1">
      <alignment horizontal="center" vertical="center" wrapText="1"/>
    </xf>
    <xf numFmtId="0" fontId="15" fillId="0" borderId="11" xfId="1" quotePrefix="1" applyFont="1" applyBorder="1" applyAlignment="1">
      <alignment horizontal="center" vertical="center" wrapText="1"/>
    </xf>
    <xf numFmtId="166" fontId="16" fillId="0" borderId="0" xfId="3" applyNumberFormat="1" applyFont="1"/>
    <xf numFmtId="166" fontId="16" fillId="0" borderId="0" xfId="1" applyNumberFormat="1" applyFont="1"/>
    <xf numFmtId="0" fontId="16" fillId="0" borderId="0" xfId="1" applyFont="1"/>
    <xf numFmtId="3" fontId="16" fillId="0" borderId="0" xfId="1" applyNumberFormat="1" applyFont="1"/>
    <xf numFmtId="3" fontId="17" fillId="0" borderId="0" xfId="1" applyNumberFormat="1" applyFont="1"/>
    <xf numFmtId="169" fontId="16" fillId="0" borderId="0" xfId="1" applyNumberFormat="1" applyFont="1"/>
    <xf numFmtId="363" fontId="17" fillId="0" borderId="0" xfId="3" applyNumberFormat="1" applyFont="1"/>
    <xf numFmtId="0" fontId="14" fillId="0" borderId="11" xfId="1" applyFont="1" applyBorder="1" applyAlignment="1">
      <alignment horizontal="center"/>
    </xf>
    <xf numFmtId="0" fontId="276" fillId="0" borderId="0" xfId="5795" applyFont="1" applyAlignment="1">
      <alignment horizontal="center" vertical="center" wrapText="1"/>
    </xf>
    <xf numFmtId="0" fontId="280" fillId="0" borderId="9" xfId="5795" applyFont="1" applyBorder="1" applyAlignment="1">
      <alignment horizontal="right"/>
    </xf>
    <xf numFmtId="0" fontId="9" fillId="0" borderId="0" xfId="1" applyFont="1" applyAlignment="1">
      <alignment horizontal="center" vertical="center"/>
    </xf>
    <xf numFmtId="0" fontId="21" fillId="0" borderId="0" xfId="1" applyFont="1" applyAlignment="1">
      <alignment horizontal="center" vertical="center" wrapText="1"/>
    </xf>
    <xf numFmtId="0" fontId="15" fillId="0" borderId="0" xfId="1" applyFont="1" applyFill="1" applyAlignment="1">
      <alignment horizontal="center" vertical="center" wrapText="1"/>
    </xf>
    <xf numFmtId="0" fontId="14" fillId="0" borderId="0" xfId="5793" applyFont="1" applyFill="1" applyAlignment="1">
      <alignment horizontal="center" vertical="center"/>
    </xf>
    <xf numFmtId="0" fontId="282" fillId="0" borderId="9" xfId="5793" applyFont="1" applyFill="1" applyBorder="1" applyAlignment="1">
      <alignment horizontal="right" vertical="center"/>
    </xf>
    <xf numFmtId="0" fontId="14" fillId="0" borderId="3" xfId="5793" applyFont="1" applyFill="1" applyBorder="1" applyAlignment="1">
      <alignment horizontal="center" vertical="center"/>
    </xf>
    <xf numFmtId="0" fontId="14" fillId="0" borderId="5" xfId="5793" applyFont="1" applyFill="1" applyBorder="1" applyAlignment="1">
      <alignment horizontal="center" vertical="center"/>
    </xf>
    <xf numFmtId="0" fontId="14" fillId="0" borderId="4" xfId="5793" applyFont="1" applyFill="1" applyBorder="1" applyAlignment="1">
      <alignment horizontal="center" vertical="center"/>
    </xf>
    <xf numFmtId="0" fontId="14" fillId="0" borderId="1" xfId="5793" applyFont="1" applyFill="1" applyBorder="1" applyAlignment="1">
      <alignment horizontal="center" vertical="center" wrapText="1"/>
    </xf>
    <xf numFmtId="9" fontId="14" fillId="0" borderId="0" xfId="5332" applyFont="1" applyFill="1" applyAlignment="1">
      <alignment horizontal="center" vertical="center"/>
    </xf>
    <xf numFmtId="9" fontId="15" fillId="0" borderId="0" xfId="5332" applyFont="1" applyFill="1" applyAlignment="1">
      <alignment horizontal="center" vertical="center" wrapText="1"/>
    </xf>
    <xf numFmtId="9" fontId="282" fillId="0" borderId="9" xfId="5332" applyFont="1" applyFill="1" applyBorder="1" applyAlignment="1">
      <alignment horizontal="right" vertical="center"/>
    </xf>
    <xf numFmtId="0" fontId="291" fillId="0" borderId="0" xfId="3144" applyFont="1" applyFill="1" applyAlignment="1">
      <alignment horizontal="center" vertical="center"/>
    </xf>
    <xf numFmtId="169" fontId="247" fillId="0" borderId="1" xfId="3144" applyNumberFormat="1" applyFont="1" applyFill="1" applyBorder="1" applyAlignment="1">
      <alignment horizontal="center" vertical="center" wrapText="1"/>
    </xf>
    <xf numFmtId="0" fontId="247" fillId="0" borderId="1" xfId="3144" applyFont="1" applyFill="1" applyBorder="1" applyAlignment="1">
      <alignment horizontal="center" vertical="center" wrapText="1"/>
    </xf>
    <xf numFmtId="0" fontId="247" fillId="0" borderId="3" xfId="3144" applyFont="1" applyFill="1" applyBorder="1" applyAlignment="1">
      <alignment horizontal="center" vertical="center" wrapText="1"/>
    </xf>
    <xf numFmtId="0" fontId="247" fillId="0" borderId="5" xfId="3144" applyFont="1" applyFill="1" applyBorder="1" applyAlignment="1">
      <alignment horizontal="center" vertical="center" wrapText="1"/>
    </xf>
    <xf numFmtId="0" fontId="247" fillId="0" borderId="4" xfId="3144" applyFont="1" applyFill="1" applyBorder="1" applyAlignment="1">
      <alignment horizontal="center" vertical="center" wrapText="1"/>
    </xf>
    <xf numFmtId="169" fontId="247" fillId="0" borderId="6" xfId="3144" applyNumberFormat="1" applyFont="1" applyFill="1" applyBorder="1" applyAlignment="1">
      <alignment horizontal="center" vertical="center" wrapText="1"/>
    </xf>
    <xf numFmtId="169" fontId="247" fillId="0" borderId="15" xfId="3144" applyNumberFormat="1" applyFont="1" applyFill="1" applyBorder="1" applyAlignment="1">
      <alignment horizontal="center" vertical="center" wrapText="1"/>
    </xf>
    <xf numFmtId="169" fontId="247" fillId="0" borderId="7" xfId="3144" applyNumberFormat="1" applyFont="1" applyFill="1" applyBorder="1" applyAlignment="1">
      <alignment horizontal="center" vertical="center" wrapText="1"/>
    </xf>
    <xf numFmtId="169" fontId="247" fillId="0" borderId="3" xfId="3144" applyNumberFormat="1" applyFont="1" applyFill="1" applyBorder="1" applyAlignment="1">
      <alignment horizontal="center" vertical="center" wrapText="1"/>
    </xf>
    <xf numFmtId="169" fontId="247" fillId="0" borderId="4" xfId="3144" applyNumberFormat="1" applyFont="1" applyFill="1" applyBorder="1" applyAlignment="1">
      <alignment horizontal="center" vertical="center" wrapText="1"/>
    </xf>
    <xf numFmtId="9" fontId="247" fillId="0" borderId="1" xfId="5332" applyFont="1" applyFill="1" applyBorder="1" applyAlignment="1">
      <alignment horizontal="center" vertical="center" wrapText="1"/>
    </xf>
    <xf numFmtId="0" fontId="247" fillId="0" borderId="6" xfId="3144" applyFont="1" applyFill="1" applyBorder="1" applyAlignment="1">
      <alignment horizontal="center" vertical="center" wrapText="1"/>
    </xf>
    <xf numFmtId="0" fontId="247" fillId="0" borderId="15" xfId="3144" applyFont="1" applyFill="1" applyBorder="1" applyAlignment="1">
      <alignment horizontal="center" vertical="center" wrapText="1"/>
    </xf>
    <xf numFmtId="0" fontId="247" fillId="0" borderId="7" xfId="3144" applyFont="1" applyFill="1" applyBorder="1" applyAlignment="1">
      <alignment horizontal="center" vertical="center" wrapText="1"/>
    </xf>
    <xf numFmtId="0" fontId="23" fillId="0" borderId="0" xfId="1" applyFont="1" applyFill="1" applyAlignment="1">
      <alignment horizontal="center" vertical="center" wrapText="1"/>
    </xf>
    <xf numFmtId="0" fontId="14" fillId="0" borderId="0" xfId="1" applyFont="1" applyFill="1" applyAlignment="1">
      <alignment horizontal="center" vertical="center"/>
    </xf>
    <xf numFmtId="0" fontId="14" fillId="0" borderId="0" xfId="1" applyFont="1" applyFill="1" applyAlignment="1">
      <alignment horizontal="center" vertical="center" wrapText="1"/>
    </xf>
    <xf numFmtId="0" fontId="14" fillId="0" borderId="1" xfId="1" applyFont="1" applyFill="1" applyBorder="1" applyAlignment="1">
      <alignment horizontal="center" vertical="center" wrapText="1"/>
    </xf>
    <xf numFmtId="0" fontId="282" fillId="0" borderId="1" xfId="1" applyFont="1" applyFill="1" applyBorder="1" applyAlignment="1">
      <alignment horizontal="center" vertical="center" wrapText="1"/>
    </xf>
    <xf numFmtId="0" fontId="282" fillId="0" borderId="9" xfId="0" applyFont="1" applyFill="1" applyBorder="1" applyAlignment="1">
      <alignment horizontal="right" vertical="center"/>
    </xf>
    <xf numFmtId="0" fontId="15" fillId="0" borderId="0" xfId="1" applyFont="1" applyAlignment="1">
      <alignment horizontal="center" vertical="center" wrapText="1"/>
    </xf>
    <xf numFmtId="0" fontId="14" fillId="0" borderId="0" xfId="1" applyFont="1" applyAlignment="1">
      <alignment horizontal="center" vertical="center"/>
    </xf>
    <xf numFmtId="0" fontId="14" fillId="0" borderId="3" xfId="1" applyFont="1" applyFill="1" applyBorder="1" applyAlignment="1">
      <alignment horizontal="center" vertical="center" wrapText="1"/>
    </xf>
    <xf numFmtId="0" fontId="14" fillId="0" borderId="4" xfId="1" applyFont="1" applyFill="1" applyBorder="1" applyAlignment="1">
      <alignment horizontal="center" vertical="center" wrapText="1"/>
    </xf>
    <xf numFmtId="0" fontId="282" fillId="0" borderId="0" xfId="1" applyFont="1" applyFill="1" applyAlignment="1">
      <alignment horizontal="left" wrapText="1"/>
    </xf>
    <xf numFmtId="0" fontId="15" fillId="0" borderId="0" xfId="1" applyFont="1" applyFill="1" applyAlignment="1">
      <alignment horizontal="left" wrapText="1"/>
    </xf>
    <xf numFmtId="0" fontId="16" fillId="0" borderId="0" xfId="1" applyFont="1" applyFill="1" applyAlignment="1">
      <alignment horizontal="center" vertical="center"/>
    </xf>
    <xf numFmtId="0" fontId="17" fillId="0" borderId="3" xfId="1" applyFont="1" applyFill="1" applyBorder="1" applyAlignment="1">
      <alignment horizontal="center" vertical="center" wrapText="1"/>
    </xf>
    <xf numFmtId="0" fontId="17" fillId="0" borderId="4" xfId="1" applyFont="1" applyFill="1" applyBorder="1" applyAlignment="1">
      <alignment horizontal="center" vertical="center" wrapText="1"/>
    </xf>
    <xf numFmtId="0" fontId="17" fillId="0" borderId="2" xfId="1" applyFont="1" applyFill="1" applyBorder="1" applyAlignment="1">
      <alignment horizontal="center" vertical="center" wrapText="1"/>
    </xf>
    <xf numFmtId="0" fontId="17" fillId="0" borderId="8" xfId="1" applyFont="1" applyFill="1" applyBorder="1" applyAlignment="1">
      <alignment horizontal="center" vertical="center" wrapText="1"/>
    </xf>
    <xf numFmtId="0" fontId="17" fillId="0" borderId="9" xfId="1" applyFont="1" applyFill="1" applyBorder="1" applyAlignment="1">
      <alignment horizontal="center" vertical="center" wrapText="1"/>
    </xf>
    <xf numFmtId="0" fontId="17" fillId="0" borderId="10" xfId="1" applyFont="1" applyFill="1" applyBorder="1" applyAlignment="1">
      <alignment horizontal="center" vertical="center" wrapText="1"/>
    </xf>
    <xf numFmtId="0" fontId="16" fillId="0" borderId="1" xfId="1" applyFont="1" applyFill="1" applyBorder="1" applyAlignment="1">
      <alignment horizontal="center" vertical="center" wrapText="1"/>
    </xf>
    <xf numFmtId="0" fontId="17" fillId="0" borderId="1" xfId="1" applyFont="1" applyFill="1" applyBorder="1" applyAlignment="1">
      <alignment horizontal="center" vertical="center" wrapText="1"/>
    </xf>
    <xf numFmtId="0" fontId="17" fillId="0" borderId="0" xfId="1" applyFont="1" applyFill="1" applyAlignment="1">
      <alignment horizontal="center" vertical="center" wrapText="1"/>
    </xf>
    <xf numFmtId="0" fontId="15" fillId="0" borderId="1" xfId="1" applyFont="1" applyFill="1" applyBorder="1" applyAlignment="1">
      <alignment horizontal="center" vertical="center" wrapText="1"/>
    </xf>
    <xf numFmtId="0" fontId="14" fillId="0" borderId="1" xfId="1" applyFont="1" applyFill="1" applyBorder="1" applyAlignment="1">
      <alignment horizontal="center" vertical="center"/>
    </xf>
    <xf numFmtId="0" fontId="282" fillId="0" borderId="9" xfId="1" applyFont="1" applyFill="1" applyBorder="1" applyAlignment="1">
      <alignment horizontal="center" vertical="center"/>
    </xf>
    <xf numFmtId="169" fontId="23" fillId="0" borderId="1" xfId="3144" applyNumberFormat="1" applyFont="1" applyBorder="1" applyAlignment="1">
      <alignment horizontal="center" vertical="center" wrapText="1"/>
    </xf>
    <xf numFmtId="169" fontId="14" fillId="0" borderId="0" xfId="3144" applyNumberFormat="1" applyFont="1" applyBorder="1" applyAlignment="1">
      <alignment horizontal="center" vertical="center"/>
    </xf>
    <xf numFmtId="1" fontId="248" fillId="0" borderId="1" xfId="3144" applyNumberFormat="1" applyFont="1" applyBorder="1" applyAlignment="1">
      <alignment horizontal="center" vertical="center" wrapText="1"/>
    </xf>
    <xf numFmtId="169" fontId="248" fillId="0" borderId="1" xfId="3144" applyNumberFormat="1" applyFont="1" applyBorder="1" applyAlignment="1">
      <alignment horizontal="center" vertical="center" wrapText="1"/>
    </xf>
    <xf numFmtId="0" fontId="12" fillId="0" borderId="0" xfId="1" applyFont="1" applyAlignment="1">
      <alignment horizontal="center" vertical="center" wrapText="1"/>
    </xf>
    <xf numFmtId="169" fontId="249" fillId="0" borderId="1" xfId="3144" applyNumberFormat="1" applyFont="1" applyBorder="1" applyAlignment="1">
      <alignment horizontal="center" vertical="center" wrapText="1"/>
    </xf>
    <xf numFmtId="169" fontId="248" fillId="0" borderId="3" xfId="3144" applyNumberFormat="1" applyFont="1" applyBorder="1" applyAlignment="1">
      <alignment horizontal="center" vertical="center" wrapText="1"/>
    </xf>
    <xf numFmtId="169" fontId="248" fillId="0" borderId="4" xfId="3144" applyNumberFormat="1" applyFont="1" applyBorder="1" applyAlignment="1">
      <alignment horizontal="center" vertical="center" wrapText="1"/>
    </xf>
    <xf numFmtId="0" fontId="14" fillId="0" borderId="0" xfId="1" applyFont="1" applyAlignment="1">
      <alignment horizontal="center" vertical="center" wrapText="1"/>
    </xf>
    <xf numFmtId="0" fontId="282" fillId="0" borderId="0" xfId="1" applyFont="1" applyAlignment="1">
      <alignment horizontal="center" vertical="center" wrapText="1"/>
    </xf>
    <xf numFmtId="0" fontId="282" fillId="0" borderId="0" xfId="1" applyFont="1" applyAlignment="1">
      <alignment horizontal="left" vertical="center" wrapText="1"/>
    </xf>
    <xf numFmtId="0" fontId="284" fillId="0" borderId="2" xfId="1" applyFont="1" applyBorder="1" applyAlignment="1">
      <alignment horizontal="left" vertical="center" wrapText="1"/>
    </xf>
    <xf numFmtId="0" fontId="14" fillId="0" borderId="13" xfId="1" applyFont="1" applyBorder="1" applyAlignment="1">
      <alignment horizontal="center" vertical="center" wrapText="1"/>
    </xf>
    <xf numFmtId="0" fontId="14" fillId="0" borderId="11" xfId="1" applyFont="1" applyBorder="1" applyAlignment="1">
      <alignment horizontal="center" vertical="center" wrapText="1"/>
    </xf>
    <xf numFmtId="0" fontId="14" fillId="0" borderId="0" xfId="0" applyFont="1" applyFill="1" applyAlignment="1">
      <alignment horizontal="center" vertical="center" wrapText="1"/>
    </xf>
    <xf numFmtId="0" fontId="15" fillId="0" borderId="6" xfId="40" applyFont="1" applyFill="1" applyBorder="1" applyAlignment="1">
      <alignment horizontal="center" vertical="center" wrapText="1"/>
    </xf>
    <xf numFmtId="0" fontId="15" fillId="0" borderId="15" xfId="40" applyFont="1" applyFill="1" applyBorder="1" applyAlignment="1">
      <alignment horizontal="center" vertical="center" wrapText="1"/>
    </xf>
    <xf numFmtId="0" fontId="15" fillId="0" borderId="3" xfId="40" applyFont="1" applyFill="1" applyBorder="1" applyAlignment="1">
      <alignment horizontal="center" vertical="center" wrapText="1"/>
    </xf>
    <xf numFmtId="0" fontId="15" fillId="0" borderId="4" xfId="40" applyFont="1" applyFill="1" applyBorder="1" applyAlignment="1">
      <alignment horizontal="center" vertical="center" wrapText="1"/>
    </xf>
    <xf numFmtId="0" fontId="14" fillId="0" borderId="1" xfId="40" applyFont="1" applyFill="1" applyBorder="1" applyAlignment="1">
      <alignment horizontal="center" vertical="center" wrapText="1"/>
    </xf>
    <xf numFmtId="0" fontId="15" fillId="0" borderId="14" xfId="0" applyFont="1" applyFill="1" applyBorder="1" applyAlignment="1">
      <alignment horizontal="center" vertical="center" wrapText="1"/>
    </xf>
    <xf numFmtId="0" fontId="15" fillId="0" borderId="17" xfId="0" applyFont="1" applyFill="1" applyBorder="1" applyAlignment="1">
      <alignment horizontal="center" vertical="center" wrapText="1"/>
    </xf>
    <xf numFmtId="0" fontId="282" fillId="0" borderId="0" xfId="0" applyFont="1" applyFill="1" applyAlignment="1">
      <alignment horizontal="center" vertical="center" wrapText="1"/>
    </xf>
    <xf numFmtId="0" fontId="14" fillId="0" borderId="3" xfId="40" applyFont="1" applyFill="1" applyBorder="1" applyAlignment="1">
      <alignment horizontal="center" vertical="center" wrapText="1"/>
    </xf>
    <xf numFmtId="0" fontId="14" fillId="0" borderId="4" xfId="40" applyFont="1" applyFill="1" applyBorder="1" applyAlignment="1">
      <alignment horizontal="center" vertical="center" wrapText="1"/>
    </xf>
    <xf numFmtId="0" fontId="15" fillId="0" borderId="1" xfId="40" applyFont="1" applyFill="1" applyBorder="1" applyAlignment="1">
      <alignment horizontal="center" vertical="center" wrapText="1"/>
    </xf>
    <xf numFmtId="0" fontId="15" fillId="0" borderId="0" xfId="43" applyFont="1" applyFill="1" applyAlignment="1">
      <alignment horizontal="left" vertical="center" wrapText="1"/>
    </xf>
    <xf numFmtId="0" fontId="14" fillId="0" borderId="0" xfId="40" applyFont="1" applyFill="1" applyAlignment="1">
      <alignment horizontal="left" vertical="center" wrapText="1"/>
    </xf>
    <xf numFmtId="0" fontId="14" fillId="0" borderId="0" xfId="40" applyFont="1" applyFill="1" applyAlignment="1">
      <alignment horizontal="center" vertical="center" wrapText="1"/>
    </xf>
    <xf numFmtId="0" fontId="15" fillId="0" borderId="9" xfId="0" applyFont="1" applyFill="1" applyBorder="1" applyAlignment="1">
      <alignment horizontal="center" vertical="center" wrapText="1"/>
    </xf>
  </cellXfs>
  <cellStyles count="5800">
    <cellStyle name="_x0001_" xfId="64"/>
    <cellStyle name="          _x000a__x000a_shell=progman.exe_x000a__x000a_m" xfId="65"/>
    <cellStyle name="          _x000d__x000a_shell=progman.exe_x000d__x000a_m" xfId="66"/>
    <cellStyle name="          _x005f_x000d__x005f_x000a_shell=progman.exe_x005f_x000d__x005f_x000a_m" xfId="67"/>
    <cellStyle name="_x000a__x000a_JournalTemplate=C:\COMFO\CTALK\JOURSTD.TPL_x000a__x000a_LbStateAddress=3 3 0 251 1 89 2 311_x000a__x000a_LbStateJou" xfId="68"/>
    <cellStyle name="_x000d__x000a_JournalTemplate=C:\COMFO\CTALK\JOURSTD.TPL_x000d__x000a_LbStateAddress=3 3 0 251 1 89 2 311_x000d__x000a_LbStateJou" xfId="69"/>
    <cellStyle name="_x000d__x000a_JournalTemplate=C:\COMFO\CTALK\JOURSTD.TPL_x000d__x000a_LbStateAddress=3 3 0 251 1 89 2 311_x000d__x000a_LbStateJou 2" xfId="5334"/>
    <cellStyle name="_x000d__x000a_JournalTemplate=C:\COMFO\CTALK\JOURSTD.TPL_x000d__x000a_LbStateAddress=3 3 0 251 1 89 2 311_x000d__x000a_LbStateJou 3" xfId="70"/>
    <cellStyle name="#,##0" xfId="71"/>
    <cellStyle name="#,##0 2" xfId="72"/>
    <cellStyle name="." xfId="73"/>
    <cellStyle name=". 2" xfId="74"/>
    <cellStyle name=". 3" xfId="75"/>
    <cellStyle name=".d©y" xfId="76"/>
    <cellStyle name="??" xfId="77"/>
    <cellStyle name="?? [ - ??1" xfId="78"/>
    <cellStyle name="?? [ - ??2" xfId="79"/>
    <cellStyle name="?? [ - ??3" xfId="80"/>
    <cellStyle name="?? [ - ??4" xfId="81"/>
    <cellStyle name="?? [ - ??5" xfId="82"/>
    <cellStyle name="?? [ - ??6" xfId="83"/>
    <cellStyle name="?? [ - ??7" xfId="84"/>
    <cellStyle name="?? [ - ??8" xfId="85"/>
    <cellStyle name="?? [0.00]_      " xfId="5335"/>
    <cellStyle name="?? [0]" xfId="86"/>
    <cellStyle name="?? [0] 2" xfId="87"/>
    <cellStyle name="?? [0] 3" xfId="5336"/>
    <cellStyle name="?? 2" xfId="88"/>
    <cellStyle name="?? 3" xfId="89"/>
    <cellStyle name="?? 4" xfId="90"/>
    <cellStyle name="?? 5" xfId="91"/>
    <cellStyle name="?? 6" xfId="92"/>
    <cellStyle name="?? 7" xfId="93"/>
    <cellStyle name="?_x001d_??%U©÷u&amp;H©÷9_x0008_? s_x000a__x0007__x0001__x0001_" xfId="94"/>
    <cellStyle name="?_x001d_??%U©÷u&amp;H©÷9_x0008_? s_x000a__x0007__x0001__x0001_ 10" xfId="95"/>
    <cellStyle name="?_x001d_??%U©÷u&amp;H©÷9_x0008_? s_x000a__x0007__x0001__x0001_ 11" xfId="96"/>
    <cellStyle name="?_x001d_??%U©÷u&amp;H©÷9_x0008_? s_x000a__x0007__x0001__x0001_ 12" xfId="97"/>
    <cellStyle name="?_x001d_??%U©÷u&amp;H©÷9_x0008_? s_x000a__x0007__x0001__x0001_ 13" xfId="98"/>
    <cellStyle name="?_x001d_??%U©÷u&amp;H©÷9_x0008_? s_x000a__x0007__x0001__x0001_ 14" xfId="99"/>
    <cellStyle name="?_x001d_??%U©÷u&amp;H©÷9_x0008_? s_x000a__x0007__x0001__x0001_ 15" xfId="100"/>
    <cellStyle name="?_x001d_??%U©÷u&amp;H©÷9_x0008_? s_x000a__x0007__x0001__x0001_ 2" xfId="101"/>
    <cellStyle name="?_x001d_??%U©÷u&amp;H©÷9_x0008_? s_x000a__x0007__x0001__x0001_ 3" xfId="102"/>
    <cellStyle name="?_x001d_??%U©÷u&amp;H©÷9_x0008_? s_x000a__x0007__x0001__x0001_ 4" xfId="103"/>
    <cellStyle name="?_x001d_??%U©÷u&amp;H©÷9_x0008_? s_x000a__x0007__x0001__x0001_ 5" xfId="104"/>
    <cellStyle name="?_x001d_??%U©÷u&amp;H©÷9_x0008_? s_x000a__x0007__x0001__x0001_ 6" xfId="105"/>
    <cellStyle name="?_x001d_??%U©÷u&amp;H©÷9_x0008_? s_x000a__x0007__x0001__x0001_ 7" xfId="106"/>
    <cellStyle name="?_x001d_??%U©÷u&amp;H©÷9_x0008_? s_x000a__x0007__x0001__x0001_ 8" xfId="107"/>
    <cellStyle name="?_x001d_??%U©÷u&amp;H©÷9_x0008_? s_x000a__x0007__x0001__x0001_ 9" xfId="108"/>
    <cellStyle name="???? [0.00]_      " xfId="109"/>
    <cellStyle name="??????" xfId="110"/>
    <cellStyle name="????_      " xfId="111"/>
    <cellStyle name="???[0]_?? DI" xfId="112"/>
    <cellStyle name="???_?? DI" xfId="113"/>
    <cellStyle name="??[0]_BRE" xfId="114"/>
    <cellStyle name="??_      " xfId="115"/>
    <cellStyle name="??A? [0]_laroux_1_¢¬???¢â? " xfId="116"/>
    <cellStyle name="??A?_laroux_1_¢¬???¢â? " xfId="117"/>
    <cellStyle name="?_x005f_x001d_??%U©÷u&amp;H©÷9_x005f_x0008_? s_x005f_x000a__x005f_x0007__x005f_x0001__x005f_x0001_" xfId="118"/>
    <cellStyle name="?_x005f_x001d_??%U©÷u&amp;H©÷9_x005f_x0008_?_x005f_x0009_s_x005f_x000a__x005f_x0007__x005f_x0001__x005f_x0001_" xfId="119"/>
    <cellStyle name="?_x005f_x005f_x005f_x001d_??%U©÷u&amp;H©÷9_x005f_x005f_x005f_x0008_? s_x005f_x005f_x005f_x000a__x005f_x005f_x005f_x0007__x005f_x005f_x005f_x0001__x005f_x005f_x005f_x0001_" xfId="120"/>
    <cellStyle name="?¡±¢¥?_?¨ù??¢´¢¥_¢¬???¢â? " xfId="121"/>
    <cellStyle name="_x0001_?¶æµ_x001b_ºß­ " xfId="5337"/>
    <cellStyle name="_x0001_?¶æµ_x001b_ºß­_" xfId="5338"/>
    <cellStyle name="?ðÇ%U?&amp;H?_x0008_?s_x000a__x0007__x0001__x0001_" xfId="122"/>
    <cellStyle name="?ðÇ%U?&amp;H?_x0008_?s_x000a__x0007__x0001__x0001_ 10" xfId="123"/>
    <cellStyle name="?ðÇ%U?&amp;H?_x0008_?s_x000a__x0007__x0001__x0001_ 11" xfId="124"/>
    <cellStyle name="?ðÇ%U?&amp;H?_x0008_?s_x000a__x0007__x0001__x0001_ 12" xfId="125"/>
    <cellStyle name="?ðÇ%U?&amp;H?_x0008_?s_x000a__x0007__x0001__x0001_ 13" xfId="126"/>
    <cellStyle name="?ðÇ%U?&amp;H?_x0008_?s_x000a__x0007__x0001__x0001_ 14" xfId="127"/>
    <cellStyle name="?ðÇ%U?&amp;H?_x0008_?s_x000a__x0007__x0001__x0001_ 15" xfId="128"/>
    <cellStyle name="?ðÇ%U?&amp;H?_x0008_?s_x000a__x0007__x0001__x0001_ 2" xfId="129"/>
    <cellStyle name="?ðÇ%U?&amp;H?_x0008_?s_x000a__x0007__x0001__x0001_ 3" xfId="130"/>
    <cellStyle name="?ðÇ%U?&amp;H?_x0008_?s_x000a__x0007__x0001__x0001_ 4" xfId="131"/>
    <cellStyle name="?ðÇ%U?&amp;H?_x0008_?s_x000a__x0007__x0001__x0001_ 5" xfId="132"/>
    <cellStyle name="?ðÇ%U?&amp;H?_x0008_?s_x000a__x0007__x0001__x0001_ 6" xfId="133"/>
    <cellStyle name="?ðÇ%U?&amp;H?_x0008_?s_x000a__x0007__x0001__x0001_ 7" xfId="134"/>
    <cellStyle name="?ðÇ%U?&amp;H?_x0008_?s_x000a__x0007__x0001__x0001_ 8" xfId="135"/>
    <cellStyle name="?ðÇ%U?&amp;H?_x0008_?s_x000a__x0007__x0001__x0001_ 9" xfId="136"/>
    <cellStyle name="?ðÇ%U?&amp;H?_x005f_x0008_?s_x005f_x000a__x005f_x0007__x005f_x0001__x005f_x0001_" xfId="137"/>
    <cellStyle name="@ET_Style?.font5" xfId="138"/>
    <cellStyle name="[0]_Chi phÝ kh¸c_V" xfId="139"/>
    <cellStyle name="_x0001_\Ô" xfId="5339"/>
    <cellStyle name="_!1 1 bao cao giao KH ve HTCMT vung TNB   12-12-2011" xfId="140"/>
    <cellStyle name="_x0001__!1 1 bao cao giao KH ve HTCMT vung TNB   12-12-2011" xfId="141"/>
    <cellStyle name="_?_BOOKSHIP" xfId="5340"/>
    <cellStyle name="__ [0.00]_PRODUCT DETAIL Q1" xfId="5341"/>
    <cellStyle name="__ [0]_1202" xfId="5342"/>
    <cellStyle name="__ [0]_1202_Result Red Store Jun" xfId="5343"/>
    <cellStyle name="__ [0]_Book1" xfId="5344"/>
    <cellStyle name="___(____)______" xfId="5345"/>
    <cellStyle name="___[0]_Book1" xfId="5346"/>
    <cellStyle name="____ [0.00]_PRODUCT DETAIL Q1" xfId="5347"/>
    <cellStyle name="_____PRODUCT DETAIL Q1" xfId="5348"/>
    <cellStyle name="____95" xfId="5349"/>
    <cellStyle name="____Book1" xfId="5350"/>
    <cellStyle name="___1202" xfId="5351"/>
    <cellStyle name="___1202_Result Red Store Jun" xfId="5352"/>
    <cellStyle name="___1202_Result Red Store Jun_1" xfId="5353"/>
    <cellStyle name="___Book1" xfId="5354"/>
    <cellStyle name="___Book1_Result Red Store Jun" xfId="5355"/>
    <cellStyle name="___kc-elec system check list" xfId="5356"/>
    <cellStyle name="___PRODUCT DETAIL Q1" xfId="5357"/>
    <cellStyle name="_05a" xfId="5358"/>
    <cellStyle name="_1 TONG HOP - CA NA" xfId="142"/>
    <cellStyle name="_123_DONG_THANH_Moi" xfId="143"/>
    <cellStyle name="_123_DONG_THANH_Moi_!1 1 bao cao giao KH ve HTCMT vung TNB   12-12-2011" xfId="144"/>
    <cellStyle name="_123_DONG_THANH_Moi_KH TPCP vung TNB (03-1-2012)" xfId="145"/>
    <cellStyle name="_Bang Chi tieu (2)" xfId="146"/>
    <cellStyle name="_BAO GIA NGAY 24-10-08 (co dam)" xfId="147"/>
    <cellStyle name="_BC  NAM 2007" xfId="148"/>
    <cellStyle name="_BC CV 6403 BKHĐT" xfId="149"/>
    <cellStyle name="_BC thuc hien KH 2009" xfId="150"/>
    <cellStyle name="_BC thuc hien KH 2009_15_10_2013 BC nhu cau von doi ung ODA (2014-2016) ngay 15102013 Sua" xfId="151"/>
    <cellStyle name="_BC thuc hien KH 2009_BC nhu cau von doi ung ODA nganh NN (BKH)" xfId="152"/>
    <cellStyle name="_BC thuc hien KH 2009_BC nhu cau von doi ung ODA nganh NN (BKH)_05-12  KH trung han 2016-2020 - Liem Thinh edited" xfId="153"/>
    <cellStyle name="_BC thuc hien KH 2009_BC nhu cau von doi ung ODA nganh NN (BKH)_Copy of 05-12  KH trung han 2016-2020 - Liem Thinh edited (1)" xfId="154"/>
    <cellStyle name="_BC thuc hien KH 2009_BC Tai co cau (bieu TH)" xfId="155"/>
    <cellStyle name="_BC thuc hien KH 2009_BC Tai co cau (bieu TH)_05-12  KH trung han 2016-2020 - Liem Thinh edited" xfId="156"/>
    <cellStyle name="_BC thuc hien KH 2009_BC Tai co cau (bieu TH)_Copy of 05-12  KH trung han 2016-2020 - Liem Thinh edited (1)" xfId="157"/>
    <cellStyle name="_BC thuc hien KH 2009_DK 2014-2015 final" xfId="158"/>
    <cellStyle name="_BC thuc hien KH 2009_DK 2014-2015 final_05-12  KH trung han 2016-2020 - Liem Thinh edited" xfId="159"/>
    <cellStyle name="_BC thuc hien KH 2009_DK 2014-2015 final_Copy of 05-12  KH trung han 2016-2020 - Liem Thinh edited (1)" xfId="160"/>
    <cellStyle name="_BC thuc hien KH 2009_DK 2014-2015 new" xfId="161"/>
    <cellStyle name="_BC thuc hien KH 2009_DK 2014-2015 new_05-12  KH trung han 2016-2020 - Liem Thinh edited" xfId="162"/>
    <cellStyle name="_BC thuc hien KH 2009_DK 2014-2015 new_Copy of 05-12  KH trung han 2016-2020 - Liem Thinh edited (1)" xfId="163"/>
    <cellStyle name="_BC thuc hien KH 2009_DK KH CBDT 2014 11-11-2013" xfId="164"/>
    <cellStyle name="_BC thuc hien KH 2009_DK KH CBDT 2014 11-11-2013(1)" xfId="165"/>
    <cellStyle name="_BC thuc hien KH 2009_DK KH CBDT 2014 11-11-2013(1)_05-12  KH trung han 2016-2020 - Liem Thinh edited" xfId="166"/>
    <cellStyle name="_BC thuc hien KH 2009_DK KH CBDT 2014 11-11-2013(1)_Copy of 05-12  KH trung han 2016-2020 - Liem Thinh edited (1)" xfId="167"/>
    <cellStyle name="_BC thuc hien KH 2009_DK KH CBDT 2014 11-11-2013_05-12  KH trung han 2016-2020 - Liem Thinh edited" xfId="168"/>
    <cellStyle name="_BC thuc hien KH 2009_DK KH CBDT 2014 11-11-2013_Copy of 05-12  KH trung han 2016-2020 - Liem Thinh edited (1)" xfId="169"/>
    <cellStyle name="_BC thuc hien KH 2009_KH 2011-2015" xfId="170"/>
    <cellStyle name="_BC thuc hien KH 2009_tai co cau dau tu (tong hop)1" xfId="171"/>
    <cellStyle name="_BEN TRE" xfId="172"/>
    <cellStyle name="_Bieu mau cong trinh khoi cong moi 3-4" xfId="173"/>
    <cellStyle name="_Bieu Tay Nam Bo 25-11" xfId="174"/>
    <cellStyle name="_Bieu tong hop nhu cau ung_Mien Trung" xfId="175"/>
    <cellStyle name="_Bieu ung von 2011 NSNN - TPCP vung DBSClong (10-6-2010)" xfId="176"/>
    <cellStyle name="_Bieu3ODA" xfId="177"/>
    <cellStyle name="_Bieu3ODA_1" xfId="178"/>
    <cellStyle name="_Bieu4HTMT" xfId="179"/>
    <cellStyle name="_Bieu4HTMT_!1 1 bao cao giao KH ve HTCMT vung TNB   12-12-2011" xfId="180"/>
    <cellStyle name="_Bieu4HTMT_KH TPCP vung TNB (03-1-2012)" xfId="181"/>
    <cellStyle name="_BKH (TPCP) tháng 5.2010_Quang Nam" xfId="182"/>
    <cellStyle name="_Book1" xfId="183"/>
    <cellStyle name="_Book1 2" xfId="184"/>
    <cellStyle name="_Book1_!1 1 bao cao giao KH ve HTCMT vung TNB   12-12-2011" xfId="185"/>
    <cellStyle name="_Book1_1" xfId="186"/>
    <cellStyle name="_Book1_2" xfId="5359"/>
    <cellStyle name="_Book1_BC-QT-WB-dthao" xfId="187"/>
    <cellStyle name="_Book1_BC-QT-WB-dthao_05-12  KH trung han 2016-2020 - Liem Thinh edited" xfId="188"/>
    <cellStyle name="_Book1_BC-QT-WB-dthao_Copy of 05-12  KH trung han 2016-2020 - Liem Thinh edited (1)" xfId="189"/>
    <cellStyle name="_Book1_BC-QT-WB-dthao_KH TPCP 2016-2020 (tong hop)" xfId="190"/>
    <cellStyle name="_Book1_Bieu3ODA" xfId="191"/>
    <cellStyle name="_Book1_Bieu4HTMT" xfId="192"/>
    <cellStyle name="_Book1_Bieu4HTMT_!1 1 bao cao giao KH ve HTCMT vung TNB   12-12-2011" xfId="193"/>
    <cellStyle name="_Book1_Bieu4HTMT_KH TPCP vung TNB (03-1-2012)" xfId="194"/>
    <cellStyle name="_Book1_bo sung von KCH nam 2010 va Du an tre kho khan" xfId="195"/>
    <cellStyle name="_Book1_bo sung von KCH nam 2010 va Du an tre kho khan_!1 1 bao cao giao KH ve HTCMT vung TNB   12-12-2011" xfId="196"/>
    <cellStyle name="_Book1_bo sung von KCH nam 2010 va Du an tre kho khan_KH TPCP vung TNB (03-1-2012)" xfId="197"/>
    <cellStyle name="_Book1_Book1" xfId="5360"/>
    <cellStyle name="_Book1_Book1_1" xfId="5361"/>
    <cellStyle name="_Book1_cong hang rao" xfId="198"/>
    <cellStyle name="_Book1_cong hang rao_!1 1 bao cao giao KH ve HTCMT vung TNB   12-12-2011" xfId="199"/>
    <cellStyle name="_Book1_cong hang rao_KH TPCP vung TNB (03-1-2012)" xfId="200"/>
    <cellStyle name="_Book1_danh muc chuan bi dau tu 2011 ngay 07-6-2011" xfId="201"/>
    <cellStyle name="_Book1_danh muc chuan bi dau tu 2011 ngay 07-6-2011_!1 1 bao cao giao KH ve HTCMT vung TNB   12-12-2011" xfId="202"/>
    <cellStyle name="_Book1_danh muc chuan bi dau tu 2011 ngay 07-6-2011_KH TPCP vung TNB (03-1-2012)" xfId="203"/>
    <cellStyle name="_Book1_Danh muc pbo nguon von XSKT, XDCB nam 2009 chuyen qua nam 2010" xfId="204"/>
    <cellStyle name="_Book1_Danh muc pbo nguon von XSKT, XDCB nam 2009 chuyen qua nam 2010_!1 1 bao cao giao KH ve HTCMT vung TNB   12-12-2011" xfId="205"/>
    <cellStyle name="_Book1_Danh muc pbo nguon von XSKT, XDCB nam 2009 chuyen qua nam 2010_KH TPCP vung TNB (03-1-2012)" xfId="206"/>
    <cellStyle name="_Book1_dieu chinh KH 2011 ngay 26-5-2011111" xfId="207"/>
    <cellStyle name="_Book1_dieu chinh KH 2011 ngay 26-5-2011111_!1 1 bao cao giao KH ve HTCMT vung TNB   12-12-2011" xfId="208"/>
    <cellStyle name="_Book1_dieu chinh KH 2011 ngay 26-5-2011111_KH TPCP vung TNB (03-1-2012)" xfId="209"/>
    <cellStyle name="_Book1_DS KCH PHAN BO VON NSDP NAM 2010" xfId="210"/>
    <cellStyle name="_Book1_DS KCH PHAN BO VON NSDP NAM 2010_!1 1 bao cao giao KH ve HTCMT vung TNB   12-12-2011" xfId="211"/>
    <cellStyle name="_Book1_DS KCH PHAN BO VON NSDP NAM 2010_KH TPCP vung TNB (03-1-2012)" xfId="212"/>
    <cellStyle name="_Book1_giao KH 2011 ngay 10-12-2010" xfId="213"/>
    <cellStyle name="_Book1_giao KH 2011 ngay 10-12-2010_!1 1 bao cao giao KH ve HTCMT vung TNB   12-12-2011" xfId="214"/>
    <cellStyle name="_Book1_giao KH 2011 ngay 10-12-2010_KH TPCP vung TNB (03-1-2012)" xfId="215"/>
    <cellStyle name="_Book1_IN" xfId="216"/>
    <cellStyle name="_Book1_Kh ql62 (2010) 11-09" xfId="217"/>
    <cellStyle name="_Book1_KH TPCP vung TNB (03-1-2012)" xfId="218"/>
    <cellStyle name="_Book1_Khung 2012" xfId="219"/>
    <cellStyle name="_Book1_kien giang 2" xfId="220"/>
    <cellStyle name="_Book1_phu luc tong ket tinh hinh TH giai doan 03-10 (ngay 30)" xfId="221"/>
    <cellStyle name="_Book1_phu luc tong ket tinh hinh TH giai doan 03-10 (ngay 30)_!1 1 bao cao giao KH ve HTCMT vung TNB   12-12-2011" xfId="222"/>
    <cellStyle name="_Book1_phu luc tong ket tinh hinh TH giai doan 03-10 (ngay 30)_KH TPCP vung TNB (03-1-2012)" xfId="223"/>
    <cellStyle name="_Book1_THUY DIEN DA KHAI THAM DINH" xfId="5362"/>
    <cellStyle name="_Book1_Tong hop KH 2014" xfId="224"/>
    <cellStyle name="_C.cong+B.luong-Sanluong" xfId="225"/>
    <cellStyle name="_cong hang rao" xfId="226"/>
    <cellStyle name="_dien chieu sang" xfId="227"/>
    <cellStyle name="_DK KH 2009" xfId="228"/>
    <cellStyle name="_DK KH 2009_15_10_2013 BC nhu cau von doi ung ODA (2014-2016) ngay 15102013 Sua" xfId="229"/>
    <cellStyle name="_DK KH 2009_BC nhu cau von doi ung ODA nganh NN (BKH)" xfId="230"/>
    <cellStyle name="_DK KH 2009_BC nhu cau von doi ung ODA nganh NN (BKH)_05-12  KH trung han 2016-2020 - Liem Thinh edited" xfId="231"/>
    <cellStyle name="_DK KH 2009_BC nhu cau von doi ung ODA nganh NN (BKH)_Copy of 05-12  KH trung han 2016-2020 - Liem Thinh edited (1)" xfId="232"/>
    <cellStyle name="_DK KH 2009_BC Tai co cau (bieu TH)" xfId="233"/>
    <cellStyle name="_DK KH 2009_BC Tai co cau (bieu TH)_05-12  KH trung han 2016-2020 - Liem Thinh edited" xfId="234"/>
    <cellStyle name="_DK KH 2009_BC Tai co cau (bieu TH)_Copy of 05-12  KH trung han 2016-2020 - Liem Thinh edited (1)" xfId="235"/>
    <cellStyle name="_DK KH 2009_DK 2014-2015 final" xfId="236"/>
    <cellStyle name="_DK KH 2009_DK 2014-2015 final_05-12  KH trung han 2016-2020 - Liem Thinh edited" xfId="237"/>
    <cellStyle name="_DK KH 2009_DK 2014-2015 final_Copy of 05-12  KH trung han 2016-2020 - Liem Thinh edited (1)" xfId="238"/>
    <cellStyle name="_DK KH 2009_DK 2014-2015 new" xfId="239"/>
    <cellStyle name="_DK KH 2009_DK 2014-2015 new_05-12  KH trung han 2016-2020 - Liem Thinh edited" xfId="240"/>
    <cellStyle name="_DK KH 2009_DK 2014-2015 new_Copy of 05-12  KH trung han 2016-2020 - Liem Thinh edited (1)" xfId="241"/>
    <cellStyle name="_DK KH 2009_DK KH CBDT 2014 11-11-2013" xfId="242"/>
    <cellStyle name="_DK KH 2009_DK KH CBDT 2014 11-11-2013(1)" xfId="243"/>
    <cellStyle name="_DK KH 2009_DK KH CBDT 2014 11-11-2013(1)_05-12  KH trung han 2016-2020 - Liem Thinh edited" xfId="244"/>
    <cellStyle name="_DK KH 2009_DK KH CBDT 2014 11-11-2013(1)_Copy of 05-12  KH trung han 2016-2020 - Liem Thinh edited (1)" xfId="245"/>
    <cellStyle name="_DK KH 2009_DK KH CBDT 2014 11-11-2013_05-12  KH trung han 2016-2020 - Liem Thinh edited" xfId="246"/>
    <cellStyle name="_DK KH 2009_DK KH CBDT 2014 11-11-2013_Copy of 05-12  KH trung han 2016-2020 - Liem Thinh edited (1)" xfId="247"/>
    <cellStyle name="_DK KH 2009_KH 2011-2015" xfId="248"/>
    <cellStyle name="_DK KH 2009_tai co cau dau tu (tong hop)1" xfId="249"/>
    <cellStyle name="_DK KH 2010" xfId="250"/>
    <cellStyle name="_DK KH 2010 (BKH)" xfId="251"/>
    <cellStyle name="_DK KH 2010_15_10_2013 BC nhu cau von doi ung ODA (2014-2016) ngay 15102013 Sua" xfId="252"/>
    <cellStyle name="_DK KH 2010_BC nhu cau von doi ung ODA nganh NN (BKH)" xfId="253"/>
    <cellStyle name="_DK KH 2010_BC nhu cau von doi ung ODA nganh NN (BKH)_05-12  KH trung han 2016-2020 - Liem Thinh edited" xfId="254"/>
    <cellStyle name="_DK KH 2010_BC nhu cau von doi ung ODA nganh NN (BKH)_Copy of 05-12  KH trung han 2016-2020 - Liem Thinh edited (1)" xfId="255"/>
    <cellStyle name="_DK KH 2010_BC Tai co cau (bieu TH)" xfId="256"/>
    <cellStyle name="_DK KH 2010_BC Tai co cau (bieu TH)_05-12  KH trung han 2016-2020 - Liem Thinh edited" xfId="257"/>
    <cellStyle name="_DK KH 2010_BC Tai co cau (bieu TH)_Copy of 05-12  KH trung han 2016-2020 - Liem Thinh edited (1)" xfId="258"/>
    <cellStyle name="_DK KH 2010_DK 2014-2015 final" xfId="259"/>
    <cellStyle name="_DK KH 2010_DK 2014-2015 final_05-12  KH trung han 2016-2020 - Liem Thinh edited" xfId="260"/>
    <cellStyle name="_DK KH 2010_DK 2014-2015 final_Copy of 05-12  KH trung han 2016-2020 - Liem Thinh edited (1)" xfId="261"/>
    <cellStyle name="_DK KH 2010_DK 2014-2015 new" xfId="262"/>
    <cellStyle name="_DK KH 2010_DK 2014-2015 new_05-12  KH trung han 2016-2020 - Liem Thinh edited" xfId="263"/>
    <cellStyle name="_DK KH 2010_DK 2014-2015 new_Copy of 05-12  KH trung han 2016-2020 - Liem Thinh edited (1)" xfId="264"/>
    <cellStyle name="_DK KH 2010_DK KH CBDT 2014 11-11-2013" xfId="265"/>
    <cellStyle name="_DK KH 2010_DK KH CBDT 2014 11-11-2013(1)" xfId="266"/>
    <cellStyle name="_DK KH 2010_DK KH CBDT 2014 11-11-2013(1)_05-12  KH trung han 2016-2020 - Liem Thinh edited" xfId="267"/>
    <cellStyle name="_DK KH 2010_DK KH CBDT 2014 11-11-2013(1)_Copy of 05-12  KH trung han 2016-2020 - Liem Thinh edited (1)" xfId="268"/>
    <cellStyle name="_DK KH 2010_DK KH CBDT 2014 11-11-2013_05-12  KH trung han 2016-2020 - Liem Thinh edited" xfId="269"/>
    <cellStyle name="_DK KH 2010_DK KH CBDT 2014 11-11-2013_Copy of 05-12  KH trung han 2016-2020 - Liem Thinh edited (1)" xfId="270"/>
    <cellStyle name="_DK KH 2010_KH 2011-2015" xfId="271"/>
    <cellStyle name="_DK KH 2010_tai co cau dau tu (tong hop)1" xfId="272"/>
    <cellStyle name="_DK TPCP 2010" xfId="273"/>
    <cellStyle name="_DO-D1500-KHONG CO TRONG DT" xfId="274"/>
    <cellStyle name="_Dong Thap" xfId="275"/>
    <cellStyle name="_Duyet TK thay đôi" xfId="276"/>
    <cellStyle name="_Duyet TK thay đôi_!1 1 bao cao giao KH ve HTCMT vung TNB   12-12-2011" xfId="277"/>
    <cellStyle name="_Duyet TK thay đôi_Bieu4HTMT" xfId="278"/>
    <cellStyle name="_Duyet TK thay đôi_Bieu4HTMT_!1 1 bao cao giao KH ve HTCMT vung TNB   12-12-2011" xfId="279"/>
    <cellStyle name="_Duyet TK thay đôi_Bieu4HTMT_KH TPCP vung TNB (03-1-2012)" xfId="280"/>
    <cellStyle name="_Duyet TK thay đôi_KH TPCP vung TNB (03-1-2012)" xfId="281"/>
    <cellStyle name="_Duyet TK thay đôi_Tong hop KH 2014" xfId="282"/>
    <cellStyle name="_ET_STYLE_NoName_00_" xfId="5363"/>
    <cellStyle name="_ET_STYLE_NoName_-01_" xfId="5364"/>
    <cellStyle name="_Goi 1 A tham tra" xfId="5365"/>
    <cellStyle name="_GOITHAUSO2" xfId="283"/>
    <cellStyle name="_GOITHAUSO3" xfId="284"/>
    <cellStyle name="_GOITHAUSO4" xfId="285"/>
    <cellStyle name="_GTGT 2003" xfId="286"/>
    <cellStyle name="_GTXD GOI 2" xfId="287"/>
    <cellStyle name="_GTXD GOI 2_Tong hop KH 2014" xfId="288"/>
    <cellStyle name="_GTXD GOI1" xfId="289"/>
    <cellStyle name="_GTXD GOI1_Tong hop KH 2014" xfId="290"/>
    <cellStyle name="_GTXD GOI3" xfId="291"/>
    <cellStyle name="_GTXD GOI3_Tong hop KH 2014" xfId="292"/>
    <cellStyle name="_Gui VU KH 5-5-09" xfId="293"/>
    <cellStyle name="_Gui VU KH 5-5-09_05-12  KH trung han 2016-2020 - Liem Thinh edited" xfId="294"/>
    <cellStyle name="_Gui VU KH 5-5-09_Copy of 05-12  KH trung han 2016-2020 - Liem Thinh edited (1)" xfId="295"/>
    <cellStyle name="_Gui VU KH 5-5-09_KH TPCP 2016-2020 (tong hop)" xfId="296"/>
    <cellStyle name="_HaHoa_TDT_DienCSang" xfId="297"/>
    <cellStyle name="_HaHoa19-5-07" xfId="298"/>
    <cellStyle name="_IN" xfId="299"/>
    <cellStyle name="_IN_!1 1 bao cao giao KH ve HTCMT vung TNB   12-12-2011" xfId="300"/>
    <cellStyle name="_IN_KH TPCP vung TNB (03-1-2012)" xfId="301"/>
    <cellStyle name="_KE KHAI THUE GTGT 2004" xfId="302"/>
    <cellStyle name="_KE KHAI THUE GTGT 2004_BCTC2004" xfId="303"/>
    <cellStyle name="_KH 2009" xfId="304"/>
    <cellStyle name="_KH 2009_15_10_2013 BC nhu cau von doi ung ODA (2014-2016) ngay 15102013 Sua" xfId="305"/>
    <cellStyle name="_KH 2009_BC nhu cau von doi ung ODA nganh NN (BKH)" xfId="306"/>
    <cellStyle name="_KH 2009_BC nhu cau von doi ung ODA nganh NN (BKH)_05-12  KH trung han 2016-2020 - Liem Thinh edited" xfId="307"/>
    <cellStyle name="_KH 2009_BC nhu cau von doi ung ODA nganh NN (BKH)_Copy of 05-12  KH trung han 2016-2020 - Liem Thinh edited (1)" xfId="308"/>
    <cellStyle name="_KH 2009_BC Tai co cau (bieu TH)" xfId="309"/>
    <cellStyle name="_KH 2009_BC Tai co cau (bieu TH)_05-12  KH trung han 2016-2020 - Liem Thinh edited" xfId="310"/>
    <cellStyle name="_KH 2009_BC Tai co cau (bieu TH)_Copy of 05-12  KH trung han 2016-2020 - Liem Thinh edited (1)" xfId="311"/>
    <cellStyle name="_KH 2009_DK 2014-2015 final" xfId="312"/>
    <cellStyle name="_KH 2009_DK 2014-2015 final_05-12  KH trung han 2016-2020 - Liem Thinh edited" xfId="313"/>
    <cellStyle name="_KH 2009_DK 2014-2015 final_Copy of 05-12  KH trung han 2016-2020 - Liem Thinh edited (1)" xfId="314"/>
    <cellStyle name="_KH 2009_DK 2014-2015 new" xfId="315"/>
    <cellStyle name="_KH 2009_DK 2014-2015 new_05-12  KH trung han 2016-2020 - Liem Thinh edited" xfId="316"/>
    <cellStyle name="_KH 2009_DK 2014-2015 new_Copy of 05-12  KH trung han 2016-2020 - Liem Thinh edited (1)" xfId="317"/>
    <cellStyle name="_KH 2009_DK KH CBDT 2014 11-11-2013" xfId="318"/>
    <cellStyle name="_KH 2009_DK KH CBDT 2014 11-11-2013(1)" xfId="319"/>
    <cellStyle name="_KH 2009_DK KH CBDT 2014 11-11-2013(1)_05-12  KH trung han 2016-2020 - Liem Thinh edited" xfId="320"/>
    <cellStyle name="_KH 2009_DK KH CBDT 2014 11-11-2013(1)_Copy of 05-12  KH trung han 2016-2020 - Liem Thinh edited (1)" xfId="321"/>
    <cellStyle name="_KH 2009_DK KH CBDT 2014 11-11-2013_05-12  KH trung han 2016-2020 - Liem Thinh edited" xfId="322"/>
    <cellStyle name="_KH 2009_DK KH CBDT 2014 11-11-2013_Copy of 05-12  KH trung han 2016-2020 - Liem Thinh edited (1)" xfId="323"/>
    <cellStyle name="_KH 2009_KH 2011-2015" xfId="324"/>
    <cellStyle name="_KH 2009_tai co cau dau tu (tong hop)1" xfId="325"/>
    <cellStyle name="_KH 2012 (TPCP) Bac Lieu (25-12-2011)" xfId="326"/>
    <cellStyle name="_Kh ql62 (2010) 11-09" xfId="327"/>
    <cellStyle name="_KH TPCP 2010 17-3-10" xfId="328"/>
    <cellStyle name="_KH TPCP vung TNB (03-1-2012)" xfId="329"/>
    <cellStyle name="_KH ung von cap bach 2009-Cuc NTTS de nghi (sua)" xfId="330"/>
    <cellStyle name="_Khung 2012" xfId="331"/>
    <cellStyle name="_Khung nam 2010" xfId="332"/>
    <cellStyle name="_x0001__kien giang 2" xfId="333"/>
    <cellStyle name="_KT (2)" xfId="334"/>
    <cellStyle name="_KT (2) 2" xfId="335"/>
    <cellStyle name="_KT (2)_05-12  KH trung han 2016-2020 - Liem Thinh edited" xfId="336"/>
    <cellStyle name="_KT (2)_1" xfId="337"/>
    <cellStyle name="_KT (2)_1 2" xfId="338"/>
    <cellStyle name="_KT (2)_1_05-12  KH trung han 2016-2020 - Liem Thinh edited" xfId="339"/>
    <cellStyle name="_KT (2)_1_Copy of 05-12  KH trung han 2016-2020 - Liem Thinh edited (1)" xfId="340"/>
    <cellStyle name="_KT (2)_1_KH TPCP 2016-2020 (tong hop)" xfId="341"/>
    <cellStyle name="_KT (2)_1_Lora-tungchau" xfId="342"/>
    <cellStyle name="_KT (2)_1_Lora-tungchau 2" xfId="343"/>
    <cellStyle name="_KT (2)_1_Lora-tungchau_05-12  KH trung han 2016-2020 - Liem Thinh edited" xfId="344"/>
    <cellStyle name="_KT (2)_1_Lora-tungchau_Copy of 05-12  KH trung han 2016-2020 - Liem Thinh edited (1)" xfId="345"/>
    <cellStyle name="_KT (2)_1_Lora-tungchau_KH TPCP 2016-2020 (tong hop)" xfId="346"/>
    <cellStyle name="_KT (2)_1_Qt-HT3PQ1(CauKho)" xfId="347"/>
    <cellStyle name="_KT (2)_1_quy luong con lai nam 2004" xfId="348"/>
    <cellStyle name="_KT (2)_2" xfId="349"/>
    <cellStyle name="_KT (2)_2_Book1" xfId="350"/>
    <cellStyle name="_KT (2)_2_DTDuong dong tien -sua tham tra 2009 - luong 650" xfId="351"/>
    <cellStyle name="_KT (2)_2_quy luong con lai nam 2004" xfId="352"/>
    <cellStyle name="_KT (2)_2_TG-TH" xfId="353"/>
    <cellStyle name="_KT (2)_2_TG-TH 2" xfId="354"/>
    <cellStyle name="_KT (2)_2_TG-TH_05-12  KH trung han 2016-2020 - Liem Thinh edited" xfId="355"/>
    <cellStyle name="_KT (2)_2_TG-TH_ApGiaVatTu_cayxanh_latgach" xfId="356"/>
    <cellStyle name="_KT (2)_2_TG-TH_BANG TONG HOP TINH HINH THANH QUYET TOAN (MOI I)" xfId="357"/>
    <cellStyle name="_KT (2)_2_TG-TH_BAO CAO KLCT PT2000" xfId="358"/>
    <cellStyle name="_KT (2)_2_TG-TH_BAO CAO PT2000" xfId="359"/>
    <cellStyle name="_KT (2)_2_TG-TH_BAO CAO PT2000_Book1" xfId="360"/>
    <cellStyle name="_KT (2)_2_TG-TH_Bao cao XDCB 2001 - T11 KH dieu chinh 20-11-THAI" xfId="361"/>
    <cellStyle name="_KT (2)_2_TG-TH_BAO GIA NGAY 24-10-08 (co dam)" xfId="362"/>
    <cellStyle name="_KT (2)_2_TG-TH_BC  NAM 2007" xfId="363"/>
    <cellStyle name="_KT (2)_2_TG-TH_BC CV 6403 BKHĐT" xfId="364"/>
    <cellStyle name="_KT (2)_2_TG-TH_BC NQ11-CP - chinh sua lai" xfId="365"/>
    <cellStyle name="_KT (2)_2_TG-TH_BC NQ11-CP-Quynh sau bieu so3" xfId="366"/>
    <cellStyle name="_KT (2)_2_TG-TH_BC_NQ11-CP_-_Thao_sua_lai" xfId="367"/>
    <cellStyle name="_KT (2)_2_TG-TH_Bieu mau cong trinh khoi cong moi 3-4" xfId="368"/>
    <cellStyle name="_KT (2)_2_TG-TH_Bieu3ODA" xfId="369"/>
    <cellStyle name="_KT (2)_2_TG-TH_Bieu3ODA_1" xfId="370"/>
    <cellStyle name="_KT (2)_2_TG-TH_Bieu4HTMT" xfId="371"/>
    <cellStyle name="_KT (2)_2_TG-TH_BKH (TPCP) tháng 5.2010_Quang Nam" xfId="372"/>
    <cellStyle name="_KT (2)_2_TG-TH_bo sung von KCH nam 2010 va Du an tre kho khan" xfId="373"/>
    <cellStyle name="_KT (2)_2_TG-TH_Book1" xfId="374"/>
    <cellStyle name="_KT (2)_2_TG-TH_Book1 2" xfId="375"/>
    <cellStyle name="_KT (2)_2_TG-TH_Book1_1" xfId="376"/>
    <cellStyle name="_KT (2)_2_TG-TH_Book1_1 2" xfId="377"/>
    <cellStyle name="_KT (2)_2_TG-TH_Book1_1_BC CV 6403 BKHĐT" xfId="378"/>
    <cellStyle name="_KT (2)_2_TG-TH_Book1_1_Bieu mau cong trinh khoi cong moi 3-4" xfId="379"/>
    <cellStyle name="_KT (2)_2_TG-TH_Book1_1_Bieu3ODA" xfId="380"/>
    <cellStyle name="_KT (2)_2_TG-TH_Book1_1_Bieu4HTMT" xfId="381"/>
    <cellStyle name="_KT (2)_2_TG-TH_Book1_1_Book1" xfId="382"/>
    <cellStyle name="_KT (2)_2_TG-TH_Book1_1_Luy ke von ung nam 2011 -Thoa gui ngay 12-8-2012" xfId="383"/>
    <cellStyle name="_KT (2)_2_TG-TH_Book1_2" xfId="384"/>
    <cellStyle name="_KT (2)_2_TG-TH_Book1_2 2" xfId="385"/>
    <cellStyle name="_KT (2)_2_TG-TH_Book1_2_BC CV 6403 BKHĐT" xfId="386"/>
    <cellStyle name="_KT (2)_2_TG-TH_Book1_2_Bieu3ODA" xfId="387"/>
    <cellStyle name="_KT (2)_2_TG-TH_Book1_2_Luy ke von ung nam 2011 -Thoa gui ngay 12-8-2012" xfId="388"/>
    <cellStyle name="_KT (2)_2_TG-TH_Book1_3" xfId="389"/>
    <cellStyle name="_KT (2)_2_TG-TH_Book1_3 2" xfId="390"/>
    <cellStyle name="_KT (2)_2_TG-TH_Book1_BC CV 6403 BKHĐT" xfId="391"/>
    <cellStyle name="_KT (2)_2_TG-TH_Book1_Bieu mau cong trinh khoi cong moi 3-4" xfId="392"/>
    <cellStyle name="_KT (2)_2_TG-TH_Book1_Bieu3ODA" xfId="393"/>
    <cellStyle name="_KT (2)_2_TG-TH_Book1_Bieu4HTMT" xfId="394"/>
    <cellStyle name="_KT (2)_2_TG-TH_Book1_BKH (TPCP) tháng 5.2010_Quang Nam" xfId="395"/>
    <cellStyle name="_KT (2)_2_TG-TH_Book1_bo sung von KCH nam 2010 va Du an tre kho khan" xfId="396"/>
    <cellStyle name="_KT (2)_2_TG-TH_Book1_Book1" xfId="397"/>
    <cellStyle name="_KT (2)_2_TG-TH_Book1_danh muc chuan bi dau tu 2011 ngay 07-6-2011" xfId="398"/>
    <cellStyle name="_KT (2)_2_TG-TH_Book1_Danh muc pbo nguon von XSKT, XDCB nam 2009 chuyen qua nam 2010" xfId="399"/>
    <cellStyle name="_KT (2)_2_TG-TH_Book1_dieu chinh KH 2011 ngay 26-5-2011111" xfId="400"/>
    <cellStyle name="_KT (2)_2_TG-TH_Book1_DS KCH PHAN BO VON NSDP NAM 2010" xfId="401"/>
    <cellStyle name="_KT (2)_2_TG-TH_Book1_giao KH 2011 ngay 10-12-2010" xfId="402"/>
    <cellStyle name="_KT (2)_2_TG-TH_Book1_Luy ke von ung nam 2011 -Thoa gui ngay 12-8-2012" xfId="403"/>
    <cellStyle name="_KT (2)_2_TG-TH_Book1_Tong hop 3 tinh (11_5)-TTH-QN-QT" xfId="404"/>
    <cellStyle name="_KT (2)_2_TG-TH_CAU Khanh Nam(Thi Cong)" xfId="405"/>
    <cellStyle name="_KT (2)_2_TG-TH_ChiHuong_ApGia" xfId="406"/>
    <cellStyle name="_KT (2)_2_TG-TH_CoCauPhi (version 1)" xfId="407"/>
    <cellStyle name="_KT (2)_2_TG-TH_Copy of 05-12  KH trung han 2016-2020 - Liem Thinh edited (1)" xfId="408"/>
    <cellStyle name="_KT (2)_2_TG-TH_danh muc chuan bi dau tu 2011 ngay 07-6-2011" xfId="409"/>
    <cellStyle name="_KT (2)_2_TG-TH_Danh muc pbo nguon von XSKT, XDCB nam 2009 chuyen qua nam 2010" xfId="410"/>
    <cellStyle name="_KT (2)_2_TG-TH_DAU NOI PL-CL TAI PHU LAMHC" xfId="411"/>
    <cellStyle name="_KT (2)_2_TG-TH_dieu chinh KH 2011 ngay 26-5-2011111" xfId="412"/>
    <cellStyle name="_KT (2)_2_TG-TH_DS KCH PHAN BO VON NSDP NAM 2010" xfId="413"/>
    <cellStyle name="_KT (2)_2_TG-TH_DTCDT MR.2N110.HOCMON.TDTOAN.CCUNG" xfId="414"/>
    <cellStyle name="_KT (2)_2_TG-TH_DTDuong dong tien -sua tham tra 2009 - luong 650" xfId="415"/>
    <cellStyle name="_KT (2)_2_TG-TH_DU TRU VAT TU" xfId="416"/>
    <cellStyle name="_KT (2)_2_TG-TH_giao KH 2011 ngay 10-12-2010" xfId="417"/>
    <cellStyle name="_KT (2)_2_TG-TH_GTGT 2003" xfId="418"/>
    <cellStyle name="_KT (2)_2_TG-TH_KE KHAI THUE GTGT 2004" xfId="419"/>
    <cellStyle name="_KT (2)_2_TG-TH_KE KHAI THUE GTGT 2004_BCTC2004" xfId="420"/>
    <cellStyle name="_KT (2)_2_TG-TH_KH TPCP 2016-2020 (tong hop)" xfId="421"/>
    <cellStyle name="_KT (2)_2_TG-TH_KH TPCP vung TNB (03-1-2012)" xfId="422"/>
    <cellStyle name="_KT (2)_2_TG-TH_kien giang 2" xfId="423"/>
    <cellStyle name="_KT (2)_2_TG-TH_Lora-tungchau" xfId="424"/>
    <cellStyle name="_KT (2)_2_TG-TH_Luy ke von ung nam 2011 -Thoa gui ngay 12-8-2012" xfId="425"/>
    <cellStyle name="_KT (2)_2_TG-TH_NhanCong" xfId="426"/>
    <cellStyle name="_KT (2)_2_TG-TH_N-X-T-04" xfId="427"/>
    <cellStyle name="_KT (2)_2_TG-TH_PGIA-phieu tham tra Kho bac" xfId="428"/>
    <cellStyle name="_KT (2)_2_TG-TH_phu luc tong ket tinh hinh TH giai doan 03-10 (ngay 30)" xfId="429"/>
    <cellStyle name="_KT (2)_2_TG-TH_PT02-02" xfId="430"/>
    <cellStyle name="_KT (2)_2_TG-TH_PT02-02_Book1" xfId="431"/>
    <cellStyle name="_KT (2)_2_TG-TH_PT02-03" xfId="432"/>
    <cellStyle name="_KT (2)_2_TG-TH_PT02-03_Book1" xfId="433"/>
    <cellStyle name="_KT (2)_2_TG-TH_Qt-HT3PQ1(CauKho)" xfId="434"/>
    <cellStyle name="_KT (2)_2_TG-TH_quy luong con lai nam 2004" xfId="435"/>
    <cellStyle name="_KT (2)_2_TG-TH_Sheet1" xfId="436"/>
    <cellStyle name="_KT (2)_2_TG-TH_TEL OUT 2004" xfId="437"/>
    <cellStyle name="_KT (2)_2_TG-TH_THUY DIEN DA KHAI THAM DINH" xfId="5366"/>
    <cellStyle name="_KT (2)_2_TG-TH_TK152-04" xfId="438"/>
    <cellStyle name="_KT (2)_2_TG-TH_Tong hop 3 tinh (11_5)-TTH-QN-QT" xfId="439"/>
    <cellStyle name="_KT (2)_2_TG-TH_ÿÿÿÿÿ" xfId="440"/>
    <cellStyle name="_KT (2)_2_TG-TH_ÿÿÿÿÿ_Bieu mau cong trinh khoi cong moi 3-4" xfId="441"/>
    <cellStyle name="_KT (2)_2_TG-TH_ÿÿÿÿÿ_Bieu3ODA" xfId="442"/>
    <cellStyle name="_KT (2)_2_TG-TH_ÿÿÿÿÿ_Bieu4HTMT" xfId="443"/>
    <cellStyle name="_KT (2)_2_TG-TH_ÿÿÿÿÿ_KH TPCP vung TNB (03-1-2012)" xfId="444"/>
    <cellStyle name="_KT (2)_2_TG-TH_ÿÿÿÿÿ_kien giang 2" xfId="445"/>
    <cellStyle name="_KT (2)_3" xfId="446"/>
    <cellStyle name="_KT (2)_3_TG-TH" xfId="447"/>
    <cellStyle name="_KT (2)_3_TG-TH 2" xfId="448"/>
    <cellStyle name="_KT (2)_3_TG-TH_05-12  KH trung han 2016-2020 - Liem Thinh edited" xfId="449"/>
    <cellStyle name="_KT (2)_3_TG-TH_BC  NAM 2007" xfId="450"/>
    <cellStyle name="_KT (2)_3_TG-TH_Bieu mau cong trinh khoi cong moi 3-4" xfId="451"/>
    <cellStyle name="_KT (2)_3_TG-TH_Bieu3ODA" xfId="452"/>
    <cellStyle name="_KT (2)_3_TG-TH_Bieu3ODA_1" xfId="453"/>
    <cellStyle name="_KT (2)_3_TG-TH_Bieu4HTMT" xfId="454"/>
    <cellStyle name="_KT (2)_3_TG-TH_bo sung von KCH nam 2010 va Du an tre kho khan" xfId="455"/>
    <cellStyle name="_KT (2)_3_TG-TH_Book1" xfId="456"/>
    <cellStyle name="_KT (2)_3_TG-TH_Book1 2" xfId="457"/>
    <cellStyle name="_KT (2)_3_TG-TH_Book1_1" xfId="5367"/>
    <cellStyle name="_KT (2)_3_TG-TH_Book1_BC-QT-WB-dthao" xfId="458"/>
    <cellStyle name="_KT (2)_3_TG-TH_Book1_BC-QT-WB-dthao_05-12  KH trung han 2016-2020 - Liem Thinh edited" xfId="459"/>
    <cellStyle name="_KT (2)_3_TG-TH_Book1_BC-QT-WB-dthao_Copy of 05-12  KH trung han 2016-2020 - Liem Thinh edited (1)" xfId="460"/>
    <cellStyle name="_KT (2)_3_TG-TH_Book1_BC-QT-WB-dthao_KH TPCP 2016-2020 (tong hop)" xfId="461"/>
    <cellStyle name="_KT (2)_3_TG-TH_Book1_KH TPCP vung TNB (03-1-2012)" xfId="462"/>
    <cellStyle name="_KT (2)_3_TG-TH_Book1_kien giang 2" xfId="463"/>
    <cellStyle name="_KT (2)_3_TG-TH_Copy of 05-12  KH trung han 2016-2020 - Liem Thinh edited (1)" xfId="464"/>
    <cellStyle name="_KT (2)_3_TG-TH_danh muc chuan bi dau tu 2011 ngay 07-6-2011" xfId="465"/>
    <cellStyle name="_KT (2)_3_TG-TH_Danh muc pbo nguon von XSKT, XDCB nam 2009 chuyen qua nam 2010" xfId="466"/>
    <cellStyle name="_KT (2)_3_TG-TH_dieu chinh KH 2011 ngay 26-5-2011111" xfId="467"/>
    <cellStyle name="_KT (2)_3_TG-TH_DS KCH PHAN BO VON NSDP NAM 2010" xfId="468"/>
    <cellStyle name="_KT (2)_3_TG-TH_giao KH 2011 ngay 10-12-2010" xfId="469"/>
    <cellStyle name="_KT (2)_3_TG-TH_GTGT 2003" xfId="470"/>
    <cellStyle name="_KT (2)_3_TG-TH_KE KHAI THUE GTGT 2004" xfId="471"/>
    <cellStyle name="_KT (2)_3_TG-TH_KE KHAI THUE GTGT 2004_BCTC2004" xfId="472"/>
    <cellStyle name="_KT (2)_3_TG-TH_KH TPCP 2016-2020 (tong hop)" xfId="473"/>
    <cellStyle name="_KT (2)_3_TG-TH_KH TPCP vung TNB (03-1-2012)" xfId="474"/>
    <cellStyle name="_KT (2)_3_TG-TH_kien giang 2" xfId="475"/>
    <cellStyle name="_KT (2)_3_TG-TH_Lora-tungchau" xfId="476"/>
    <cellStyle name="_KT (2)_3_TG-TH_Lora-tungchau 2" xfId="477"/>
    <cellStyle name="_KT (2)_3_TG-TH_Lora-tungchau_05-12  KH trung han 2016-2020 - Liem Thinh edited" xfId="478"/>
    <cellStyle name="_KT (2)_3_TG-TH_Lora-tungchau_Copy of 05-12  KH trung han 2016-2020 - Liem Thinh edited (1)" xfId="479"/>
    <cellStyle name="_KT (2)_3_TG-TH_Lora-tungchau_KH TPCP 2016-2020 (tong hop)" xfId="480"/>
    <cellStyle name="_KT (2)_3_TG-TH_N-X-T-04" xfId="481"/>
    <cellStyle name="_KT (2)_3_TG-TH_PERSONAL" xfId="482"/>
    <cellStyle name="_KT (2)_3_TG-TH_PERSONAL_BC CV 6403 BKHĐT" xfId="483"/>
    <cellStyle name="_KT (2)_3_TG-TH_PERSONAL_Bieu mau cong trinh khoi cong moi 3-4" xfId="484"/>
    <cellStyle name="_KT (2)_3_TG-TH_PERSONAL_Bieu3ODA" xfId="485"/>
    <cellStyle name="_KT (2)_3_TG-TH_PERSONAL_Bieu4HTMT" xfId="486"/>
    <cellStyle name="_KT (2)_3_TG-TH_PERSONAL_Book1" xfId="487"/>
    <cellStyle name="_KT (2)_3_TG-TH_PERSONAL_Book1 2" xfId="488"/>
    <cellStyle name="_KT (2)_3_TG-TH_PERSONAL_HTQ.8 GD1" xfId="489"/>
    <cellStyle name="_KT (2)_3_TG-TH_PERSONAL_HTQ.8 GD1_05-12  KH trung han 2016-2020 - Liem Thinh edited" xfId="490"/>
    <cellStyle name="_KT (2)_3_TG-TH_PERSONAL_HTQ.8 GD1_Copy of 05-12  KH trung han 2016-2020 - Liem Thinh edited (1)" xfId="491"/>
    <cellStyle name="_KT (2)_3_TG-TH_PERSONAL_HTQ.8 GD1_KH TPCP 2016-2020 (tong hop)" xfId="492"/>
    <cellStyle name="_KT (2)_3_TG-TH_PERSONAL_Luy ke von ung nam 2011 -Thoa gui ngay 12-8-2012" xfId="493"/>
    <cellStyle name="_KT (2)_3_TG-TH_PERSONAL_Tong hop KHCB 2001" xfId="494"/>
    <cellStyle name="_KT (2)_3_TG-TH_Qt-HT3PQ1(CauKho)" xfId="495"/>
    <cellStyle name="_KT (2)_3_TG-TH_quy luong con lai nam 2004" xfId="496"/>
    <cellStyle name="_KT (2)_3_TG-TH_THUY DIEN DA KHAI THAM DINH" xfId="5368"/>
    <cellStyle name="_KT (2)_3_TG-TH_TK152-04" xfId="497"/>
    <cellStyle name="_KT (2)_3_TG-TH_ÿÿÿÿÿ" xfId="498"/>
    <cellStyle name="_KT (2)_3_TG-TH_ÿÿÿÿÿ_KH TPCP vung TNB (03-1-2012)" xfId="499"/>
    <cellStyle name="_KT (2)_3_TG-TH_ÿÿÿÿÿ_kien giang 2" xfId="500"/>
    <cellStyle name="_KT (2)_4" xfId="501"/>
    <cellStyle name="_KT (2)_4 2" xfId="502"/>
    <cellStyle name="_KT (2)_4_05-12  KH trung han 2016-2020 - Liem Thinh edited" xfId="503"/>
    <cellStyle name="_KT (2)_4_ApGiaVatTu_cayxanh_latgach" xfId="504"/>
    <cellStyle name="_KT (2)_4_BANG TONG HOP TINH HINH THANH QUYET TOAN (MOI I)" xfId="505"/>
    <cellStyle name="_KT (2)_4_BAO CAO KLCT PT2000" xfId="506"/>
    <cellStyle name="_KT (2)_4_BAO CAO PT2000" xfId="507"/>
    <cellStyle name="_KT (2)_4_BAO CAO PT2000_Book1" xfId="508"/>
    <cellStyle name="_KT (2)_4_Bao cao XDCB 2001 - T11 KH dieu chinh 20-11-THAI" xfId="509"/>
    <cellStyle name="_KT (2)_4_BAO GIA NGAY 24-10-08 (co dam)" xfId="510"/>
    <cellStyle name="_KT (2)_4_BC  NAM 2007" xfId="511"/>
    <cellStyle name="_KT (2)_4_BC CV 6403 BKHĐT" xfId="512"/>
    <cellStyle name="_KT (2)_4_BC NQ11-CP - chinh sua lai" xfId="513"/>
    <cellStyle name="_KT (2)_4_BC NQ11-CP-Quynh sau bieu so3" xfId="514"/>
    <cellStyle name="_KT (2)_4_BC_NQ11-CP_-_Thao_sua_lai" xfId="515"/>
    <cellStyle name="_KT (2)_4_Bieu mau cong trinh khoi cong moi 3-4" xfId="516"/>
    <cellStyle name="_KT (2)_4_Bieu3ODA" xfId="517"/>
    <cellStyle name="_KT (2)_4_Bieu3ODA_1" xfId="518"/>
    <cellStyle name="_KT (2)_4_Bieu4HTMT" xfId="519"/>
    <cellStyle name="_KT (2)_4_BKH (TPCP) tháng 5.2010_Quang Nam" xfId="520"/>
    <cellStyle name="_KT (2)_4_bo sung von KCH nam 2010 va Du an tre kho khan" xfId="521"/>
    <cellStyle name="_KT (2)_4_Book1" xfId="522"/>
    <cellStyle name="_KT (2)_4_Book1 2" xfId="523"/>
    <cellStyle name="_KT (2)_4_Book1_1" xfId="524"/>
    <cellStyle name="_KT (2)_4_Book1_1 2" xfId="525"/>
    <cellStyle name="_KT (2)_4_Book1_1_BC CV 6403 BKHĐT" xfId="526"/>
    <cellStyle name="_KT (2)_4_Book1_1_Bieu mau cong trinh khoi cong moi 3-4" xfId="527"/>
    <cellStyle name="_KT (2)_4_Book1_1_Bieu3ODA" xfId="528"/>
    <cellStyle name="_KT (2)_4_Book1_1_Bieu4HTMT" xfId="529"/>
    <cellStyle name="_KT (2)_4_Book1_1_Book1" xfId="530"/>
    <cellStyle name="_KT (2)_4_Book1_1_Luy ke von ung nam 2011 -Thoa gui ngay 12-8-2012" xfId="531"/>
    <cellStyle name="_KT (2)_4_Book1_2" xfId="532"/>
    <cellStyle name="_KT (2)_4_Book1_2 2" xfId="533"/>
    <cellStyle name="_KT (2)_4_Book1_2_BC CV 6403 BKHĐT" xfId="534"/>
    <cellStyle name="_KT (2)_4_Book1_2_Bieu3ODA" xfId="535"/>
    <cellStyle name="_KT (2)_4_Book1_2_Luy ke von ung nam 2011 -Thoa gui ngay 12-8-2012" xfId="536"/>
    <cellStyle name="_KT (2)_4_Book1_3" xfId="537"/>
    <cellStyle name="_KT (2)_4_Book1_3 2" xfId="538"/>
    <cellStyle name="_KT (2)_4_Book1_BC CV 6403 BKHĐT" xfId="539"/>
    <cellStyle name="_KT (2)_4_Book1_Bieu mau cong trinh khoi cong moi 3-4" xfId="540"/>
    <cellStyle name="_KT (2)_4_Book1_Bieu3ODA" xfId="541"/>
    <cellStyle name="_KT (2)_4_Book1_Bieu4HTMT" xfId="542"/>
    <cellStyle name="_KT (2)_4_Book1_BKH (TPCP) tháng 5.2010_Quang Nam" xfId="543"/>
    <cellStyle name="_KT (2)_4_Book1_bo sung von KCH nam 2010 va Du an tre kho khan" xfId="544"/>
    <cellStyle name="_KT (2)_4_Book1_Book1" xfId="545"/>
    <cellStyle name="_KT (2)_4_Book1_danh muc chuan bi dau tu 2011 ngay 07-6-2011" xfId="546"/>
    <cellStyle name="_KT (2)_4_Book1_Danh muc pbo nguon von XSKT, XDCB nam 2009 chuyen qua nam 2010" xfId="547"/>
    <cellStyle name="_KT (2)_4_Book1_dieu chinh KH 2011 ngay 26-5-2011111" xfId="548"/>
    <cellStyle name="_KT (2)_4_Book1_DS KCH PHAN BO VON NSDP NAM 2010" xfId="549"/>
    <cellStyle name="_KT (2)_4_Book1_giao KH 2011 ngay 10-12-2010" xfId="550"/>
    <cellStyle name="_KT (2)_4_Book1_Luy ke von ung nam 2011 -Thoa gui ngay 12-8-2012" xfId="551"/>
    <cellStyle name="_KT (2)_4_Book1_Tong hop 3 tinh (11_5)-TTH-QN-QT" xfId="552"/>
    <cellStyle name="_KT (2)_4_CAU Khanh Nam(Thi Cong)" xfId="553"/>
    <cellStyle name="_KT (2)_4_ChiHuong_ApGia" xfId="554"/>
    <cellStyle name="_KT (2)_4_CoCauPhi (version 1)" xfId="555"/>
    <cellStyle name="_KT (2)_4_Copy of 05-12  KH trung han 2016-2020 - Liem Thinh edited (1)" xfId="556"/>
    <cellStyle name="_KT (2)_4_danh muc chuan bi dau tu 2011 ngay 07-6-2011" xfId="557"/>
    <cellStyle name="_KT (2)_4_Danh muc pbo nguon von XSKT, XDCB nam 2009 chuyen qua nam 2010" xfId="558"/>
    <cellStyle name="_KT (2)_4_DAU NOI PL-CL TAI PHU LAMHC" xfId="559"/>
    <cellStyle name="_KT (2)_4_dieu chinh KH 2011 ngay 26-5-2011111" xfId="560"/>
    <cellStyle name="_KT (2)_4_DS KCH PHAN BO VON NSDP NAM 2010" xfId="561"/>
    <cellStyle name="_KT (2)_4_DTCDT MR.2N110.HOCMON.TDTOAN.CCUNG" xfId="562"/>
    <cellStyle name="_KT (2)_4_DTDuong dong tien -sua tham tra 2009 - luong 650" xfId="563"/>
    <cellStyle name="_KT (2)_4_DU TRU VAT TU" xfId="564"/>
    <cellStyle name="_KT (2)_4_giao KH 2011 ngay 10-12-2010" xfId="565"/>
    <cellStyle name="_KT (2)_4_GTGT 2003" xfId="566"/>
    <cellStyle name="_KT (2)_4_KE KHAI THUE GTGT 2004" xfId="567"/>
    <cellStyle name="_KT (2)_4_KE KHAI THUE GTGT 2004_BCTC2004" xfId="568"/>
    <cellStyle name="_KT (2)_4_KH TPCP 2016-2020 (tong hop)" xfId="569"/>
    <cellStyle name="_KT (2)_4_KH TPCP vung TNB (03-1-2012)" xfId="570"/>
    <cellStyle name="_KT (2)_4_kien giang 2" xfId="571"/>
    <cellStyle name="_KT (2)_4_Lora-tungchau" xfId="572"/>
    <cellStyle name="_KT (2)_4_Luy ke von ung nam 2011 -Thoa gui ngay 12-8-2012" xfId="573"/>
    <cellStyle name="_KT (2)_4_NhanCong" xfId="574"/>
    <cellStyle name="_KT (2)_4_N-X-T-04" xfId="575"/>
    <cellStyle name="_KT (2)_4_PGIA-phieu tham tra Kho bac" xfId="576"/>
    <cellStyle name="_KT (2)_4_phu luc tong ket tinh hinh TH giai doan 03-10 (ngay 30)" xfId="577"/>
    <cellStyle name="_KT (2)_4_PT02-02" xfId="578"/>
    <cellStyle name="_KT (2)_4_PT02-02_Book1" xfId="579"/>
    <cellStyle name="_KT (2)_4_PT02-03" xfId="580"/>
    <cellStyle name="_KT (2)_4_PT02-03_Book1" xfId="581"/>
    <cellStyle name="_KT (2)_4_Qt-HT3PQ1(CauKho)" xfId="582"/>
    <cellStyle name="_KT (2)_4_quy luong con lai nam 2004" xfId="583"/>
    <cellStyle name="_KT (2)_4_Sheet1" xfId="584"/>
    <cellStyle name="_KT (2)_4_TEL OUT 2004" xfId="585"/>
    <cellStyle name="_KT (2)_4_TG-TH" xfId="586"/>
    <cellStyle name="_KT (2)_4_TG-TH_Book1" xfId="587"/>
    <cellStyle name="_KT (2)_4_TG-TH_DTDuong dong tien -sua tham tra 2009 - luong 650" xfId="588"/>
    <cellStyle name="_KT (2)_4_TG-TH_quy luong con lai nam 2004" xfId="589"/>
    <cellStyle name="_KT (2)_4_THUY DIEN DA KHAI THAM DINH" xfId="5369"/>
    <cellStyle name="_KT (2)_4_TK152-04" xfId="590"/>
    <cellStyle name="_KT (2)_4_Tong hop 3 tinh (11_5)-TTH-QN-QT" xfId="591"/>
    <cellStyle name="_KT (2)_4_ÿÿÿÿÿ" xfId="592"/>
    <cellStyle name="_KT (2)_4_ÿÿÿÿÿ_Bieu mau cong trinh khoi cong moi 3-4" xfId="593"/>
    <cellStyle name="_KT (2)_4_ÿÿÿÿÿ_Bieu3ODA" xfId="594"/>
    <cellStyle name="_KT (2)_4_ÿÿÿÿÿ_Bieu4HTMT" xfId="595"/>
    <cellStyle name="_KT (2)_4_ÿÿÿÿÿ_KH TPCP vung TNB (03-1-2012)" xfId="596"/>
    <cellStyle name="_KT (2)_4_ÿÿÿÿÿ_kien giang 2" xfId="597"/>
    <cellStyle name="_KT (2)_5" xfId="598"/>
    <cellStyle name="_KT (2)_5 2" xfId="599"/>
    <cellStyle name="_KT (2)_5_05-12  KH trung han 2016-2020 - Liem Thinh edited" xfId="600"/>
    <cellStyle name="_KT (2)_5_ApGiaVatTu_cayxanh_latgach" xfId="601"/>
    <cellStyle name="_KT (2)_5_BANG TONG HOP TINH HINH THANH QUYET TOAN (MOI I)" xfId="602"/>
    <cellStyle name="_KT (2)_5_BAO CAO KLCT PT2000" xfId="603"/>
    <cellStyle name="_KT (2)_5_BAO CAO PT2000" xfId="604"/>
    <cellStyle name="_KT (2)_5_BAO CAO PT2000_Book1" xfId="605"/>
    <cellStyle name="_KT (2)_5_Bao cao XDCB 2001 - T11 KH dieu chinh 20-11-THAI" xfId="606"/>
    <cellStyle name="_KT (2)_5_BAO GIA NGAY 24-10-08 (co dam)" xfId="607"/>
    <cellStyle name="_KT (2)_5_BC  NAM 2007" xfId="608"/>
    <cellStyle name="_KT (2)_5_BC CV 6403 BKHĐT" xfId="609"/>
    <cellStyle name="_KT (2)_5_BC NQ11-CP - chinh sua lai" xfId="610"/>
    <cellStyle name="_KT (2)_5_BC NQ11-CP-Quynh sau bieu so3" xfId="611"/>
    <cellStyle name="_KT (2)_5_BC_NQ11-CP_-_Thao_sua_lai" xfId="612"/>
    <cellStyle name="_KT (2)_5_Bieu mau cong trinh khoi cong moi 3-4" xfId="613"/>
    <cellStyle name="_KT (2)_5_Bieu3ODA" xfId="614"/>
    <cellStyle name="_KT (2)_5_Bieu3ODA_1" xfId="615"/>
    <cellStyle name="_KT (2)_5_Bieu4HTMT" xfId="616"/>
    <cellStyle name="_KT (2)_5_BKH (TPCP) tháng 5.2010_Quang Nam" xfId="617"/>
    <cellStyle name="_KT (2)_5_bo sung von KCH nam 2010 va Du an tre kho khan" xfId="618"/>
    <cellStyle name="_KT (2)_5_Book1" xfId="619"/>
    <cellStyle name="_KT (2)_5_Book1 2" xfId="620"/>
    <cellStyle name="_KT (2)_5_Book1_1" xfId="621"/>
    <cellStyle name="_KT (2)_5_Book1_1 2" xfId="622"/>
    <cellStyle name="_KT (2)_5_Book1_1_BC CV 6403 BKHĐT" xfId="623"/>
    <cellStyle name="_KT (2)_5_Book1_1_Bieu mau cong trinh khoi cong moi 3-4" xfId="624"/>
    <cellStyle name="_KT (2)_5_Book1_1_Bieu3ODA" xfId="625"/>
    <cellStyle name="_KT (2)_5_Book1_1_Bieu4HTMT" xfId="626"/>
    <cellStyle name="_KT (2)_5_Book1_1_Book1" xfId="627"/>
    <cellStyle name="_KT (2)_5_Book1_1_Luy ke von ung nam 2011 -Thoa gui ngay 12-8-2012" xfId="628"/>
    <cellStyle name="_KT (2)_5_Book1_2" xfId="629"/>
    <cellStyle name="_KT (2)_5_Book1_2 2" xfId="630"/>
    <cellStyle name="_KT (2)_5_Book1_2_BC CV 6403 BKHĐT" xfId="631"/>
    <cellStyle name="_KT (2)_5_Book1_2_Bieu3ODA" xfId="632"/>
    <cellStyle name="_KT (2)_5_Book1_2_Luy ke von ung nam 2011 -Thoa gui ngay 12-8-2012" xfId="633"/>
    <cellStyle name="_KT (2)_5_Book1_3" xfId="634"/>
    <cellStyle name="_KT (2)_5_Book1_BC CV 6403 BKHĐT" xfId="635"/>
    <cellStyle name="_KT (2)_5_Book1_BC-QT-WB-dthao" xfId="636"/>
    <cellStyle name="_KT (2)_5_Book1_Bieu mau cong trinh khoi cong moi 3-4" xfId="637"/>
    <cellStyle name="_KT (2)_5_Book1_Bieu3ODA" xfId="638"/>
    <cellStyle name="_KT (2)_5_Book1_Bieu4HTMT" xfId="639"/>
    <cellStyle name="_KT (2)_5_Book1_BKH (TPCP) tháng 5.2010_Quang Nam" xfId="640"/>
    <cellStyle name="_KT (2)_5_Book1_bo sung von KCH nam 2010 va Du an tre kho khan" xfId="641"/>
    <cellStyle name="_KT (2)_5_Book1_Book1" xfId="642"/>
    <cellStyle name="_KT (2)_5_Book1_danh muc chuan bi dau tu 2011 ngay 07-6-2011" xfId="643"/>
    <cellStyle name="_KT (2)_5_Book1_Danh muc pbo nguon von XSKT, XDCB nam 2009 chuyen qua nam 2010" xfId="644"/>
    <cellStyle name="_KT (2)_5_Book1_dieu chinh KH 2011 ngay 26-5-2011111" xfId="645"/>
    <cellStyle name="_KT (2)_5_Book1_DS KCH PHAN BO VON NSDP NAM 2010" xfId="646"/>
    <cellStyle name="_KT (2)_5_Book1_giao KH 2011 ngay 10-12-2010" xfId="647"/>
    <cellStyle name="_KT (2)_5_Book1_Luy ke von ung nam 2011 -Thoa gui ngay 12-8-2012" xfId="648"/>
    <cellStyle name="_KT (2)_5_Book1_Tong hop 3 tinh (11_5)-TTH-QN-QT" xfId="649"/>
    <cellStyle name="_KT (2)_5_CAU Khanh Nam(Thi Cong)" xfId="650"/>
    <cellStyle name="_KT (2)_5_ChiHuong_ApGia" xfId="651"/>
    <cellStyle name="_KT (2)_5_CoCauPhi (version 1)" xfId="652"/>
    <cellStyle name="_KT (2)_5_Copy of 05-12  KH trung han 2016-2020 - Liem Thinh edited (1)" xfId="653"/>
    <cellStyle name="_KT (2)_5_danh muc chuan bi dau tu 2011 ngay 07-6-2011" xfId="654"/>
    <cellStyle name="_KT (2)_5_Danh muc pbo nguon von XSKT, XDCB nam 2009 chuyen qua nam 2010" xfId="655"/>
    <cellStyle name="_KT (2)_5_DAU NOI PL-CL TAI PHU LAMHC" xfId="656"/>
    <cellStyle name="_KT (2)_5_dieu chinh KH 2011 ngay 26-5-2011111" xfId="657"/>
    <cellStyle name="_KT (2)_5_DS KCH PHAN BO VON NSDP NAM 2010" xfId="658"/>
    <cellStyle name="_KT (2)_5_DTCDT MR.2N110.HOCMON.TDTOAN.CCUNG" xfId="659"/>
    <cellStyle name="_KT (2)_5_DTDuong dong tien -sua tham tra 2009 - luong 650" xfId="660"/>
    <cellStyle name="_KT (2)_5_DU TRU VAT TU" xfId="661"/>
    <cellStyle name="_KT (2)_5_giao KH 2011 ngay 10-12-2010" xfId="662"/>
    <cellStyle name="_KT (2)_5_GTGT 2003" xfId="663"/>
    <cellStyle name="_KT (2)_5_KE KHAI THUE GTGT 2004" xfId="664"/>
    <cellStyle name="_KT (2)_5_KE KHAI THUE GTGT 2004_BCTC2004" xfId="665"/>
    <cellStyle name="_KT (2)_5_KH TPCP 2016-2020 (tong hop)" xfId="666"/>
    <cellStyle name="_KT (2)_5_KH TPCP vung TNB (03-1-2012)" xfId="667"/>
    <cellStyle name="_KT (2)_5_kien giang 2" xfId="668"/>
    <cellStyle name="_KT (2)_5_Lora-tungchau" xfId="669"/>
    <cellStyle name="_KT (2)_5_Luy ke von ung nam 2011 -Thoa gui ngay 12-8-2012" xfId="670"/>
    <cellStyle name="_KT (2)_5_NhanCong" xfId="671"/>
    <cellStyle name="_KT (2)_5_N-X-T-04" xfId="672"/>
    <cellStyle name="_KT (2)_5_PGIA-phieu tham tra Kho bac" xfId="673"/>
    <cellStyle name="_KT (2)_5_phu luc tong ket tinh hinh TH giai doan 03-10 (ngay 30)" xfId="674"/>
    <cellStyle name="_KT (2)_5_PT02-02" xfId="675"/>
    <cellStyle name="_KT (2)_5_PT02-02_Book1" xfId="676"/>
    <cellStyle name="_KT (2)_5_PT02-03" xfId="677"/>
    <cellStyle name="_KT (2)_5_PT02-03_Book1" xfId="678"/>
    <cellStyle name="_KT (2)_5_Qt-HT3PQ1(CauKho)" xfId="679"/>
    <cellStyle name="_KT (2)_5_Sheet1" xfId="680"/>
    <cellStyle name="_KT (2)_5_TEL OUT 2004" xfId="681"/>
    <cellStyle name="_KT (2)_5_THUY DIEN DA KHAI THAM DINH" xfId="5370"/>
    <cellStyle name="_KT (2)_5_TK152-04" xfId="682"/>
    <cellStyle name="_KT (2)_5_Tong hop 3 tinh (11_5)-TTH-QN-QT" xfId="683"/>
    <cellStyle name="_KT (2)_5_ÿÿÿÿÿ" xfId="684"/>
    <cellStyle name="_KT (2)_5_ÿÿÿÿÿ_Bieu mau cong trinh khoi cong moi 3-4" xfId="685"/>
    <cellStyle name="_KT (2)_5_ÿÿÿÿÿ_Bieu3ODA" xfId="686"/>
    <cellStyle name="_KT (2)_5_ÿÿÿÿÿ_Bieu4HTMT" xfId="687"/>
    <cellStyle name="_KT (2)_5_ÿÿÿÿÿ_KH TPCP vung TNB (03-1-2012)" xfId="688"/>
    <cellStyle name="_KT (2)_5_ÿÿÿÿÿ_kien giang 2" xfId="689"/>
    <cellStyle name="_KT (2)_BC  NAM 2007" xfId="690"/>
    <cellStyle name="_KT (2)_Bieu mau cong trinh khoi cong moi 3-4" xfId="691"/>
    <cellStyle name="_KT (2)_Bieu3ODA" xfId="692"/>
    <cellStyle name="_KT (2)_Bieu3ODA_1" xfId="693"/>
    <cellStyle name="_KT (2)_Bieu4HTMT" xfId="694"/>
    <cellStyle name="_KT (2)_bo sung von KCH nam 2010 va Du an tre kho khan" xfId="695"/>
    <cellStyle name="_KT (2)_Book1" xfId="696"/>
    <cellStyle name="_KT (2)_Book1 2" xfId="697"/>
    <cellStyle name="_KT (2)_Book1_1" xfId="5371"/>
    <cellStyle name="_KT (2)_Book1_BC-QT-WB-dthao" xfId="698"/>
    <cellStyle name="_KT (2)_Book1_BC-QT-WB-dthao_05-12  KH trung han 2016-2020 - Liem Thinh edited" xfId="699"/>
    <cellStyle name="_KT (2)_Book1_BC-QT-WB-dthao_Copy of 05-12  KH trung han 2016-2020 - Liem Thinh edited (1)" xfId="700"/>
    <cellStyle name="_KT (2)_Book1_BC-QT-WB-dthao_KH TPCP 2016-2020 (tong hop)" xfId="701"/>
    <cellStyle name="_KT (2)_Book1_KH TPCP vung TNB (03-1-2012)" xfId="702"/>
    <cellStyle name="_KT (2)_Book1_kien giang 2" xfId="703"/>
    <cellStyle name="_KT (2)_Copy of 05-12  KH trung han 2016-2020 - Liem Thinh edited (1)" xfId="704"/>
    <cellStyle name="_KT (2)_danh muc chuan bi dau tu 2011 ngay 07-6-2011" xfId="705"/>
    <cellStyle name="_KT (2)_Danh muc pbo nguon von XSKT, XDCB nam 2009 chuyen qua nam 2010" xfId="706"/>
    <cellStyle name="_KT (2)_dieu chinh KH 2011 ngay 26-5-2011111" xfId="707"/>
    <cellStyle name="_KT (2)_DS KCH PHAN BO VON NSDP NAM 2010" xfId="708"/>
    <cellStyle name="_KT (2)_giao KH 2011 ngay 10-12-2010" xfId="709"/>
    <cellStyle name="_KT (2)_GTGT 2003" xfId="710"/>
    <cellStyle name="_KT (2)_KE KHAI THUE GTGT 2004" xfId="711"/>
    <cellStyle name="_KT (2)_KE KHAI THUE GTGT 2004_BCTC2004" xfId="712"/>
    <cellStyle name="_KT (2)_KH TPCP 2016-2020 (tong hop)" xfId="713"/>
    <cellStyle name="_KT (2)_KH TPCP vung TNB (03-1-2012)" xfId="714"/>
    <cellStyle name="_KT (2)_kien giang 2" xfId="715"/>
    <cellStyle name="_KT (2)_Lora-tungchau" xfId="716"/>
    <cellStyle name="_KT (2)_Lora-tungchau 2" xfId="717"/>
    <cellStyle name="_KT (2)_Lora-tungchau_05-12  KH trung han 2016-2020 - Liem Thinh edited" xfId="718"/>
    <cellStyle name="_KT (2)_Lora-tungchau_Copy of 05-12  KH trung han 2016-2020 - Liem Thinh edited (1)" xfId="719"/>
    <cellStyle name="_KT (2)_Lora-tungchau_KH TPCP 2016-2020 (tong hop)" xfId="720"/>
    <cellStyle name="_KT (2)_N-X-T-04" xfId="721"/>
    <cellStyle name="_KT (2)_PERSONAL" xfId="722"/>
    <cellStyle name="_KT (2)_PERSONAL_BC CV 6403 BKHĐT" xfId="723"/>
    <cellStyle name="_KT (2)_PERSONAL_Bieu mau cong trinh khoi cong moi 3-4" xfId="724"/>
    <cellStyle name="_KT (2)_PERSONAL_Bieu3ODA" xfId="725"/>
    <cellStyle name="_KT (2)_PERSONAL_Bieu4HTMT" xfId="726"/>
    <cellStyle name="_KT (2)_PERSONAL_Book1" xfId="727"/>
    <cellStyle name="_KT (2)_PERSONAL_Book1 2" xfId="728"/>
    <cellStyle name="_KT (2)_PERSONAL_HTQ.8 GD1" xfId="729"/>
    <cellStyle name="_KT (2)_PERSONAL_HTQ.8 GD1_05-12  KH trung han 2016-2020 - Liem Thinh edited" xfId="730"/>
    <cellStyle name="_KT (2)_PERSONAL_HTQ.8 GD1_Copy of 05-12  KH trung han 2016-2020 - Liem Thinh edited (1)" xfId="731"/>
    <cellStyle name="_KT (2)_PERSONAL_HTQ.8 GD1_KH TPCP 2016-2020 (tong hop)" xfId="732"/>
    <cellStyle name="_KT (2)_PERSONAL_Luy ke von ung nam 2011 -Thoa gui ngay 12-8-2012" xfId="733"/>
    <cellStyle name="_KT (2)_PERSONAL_Tong hop KHCB 2001" xfId="734"/>
    <cellStyle name="_KT (2)_Qt-HT3PQ1(CauKho)" xfId="735"/>
    <cellStyle name="_KT (2)_quy luong con lai nam 2004" xfId="736"/>
    <cellStyle name="_KT (2)_TG-TH" xfId="737"/>
    <cellStyle name="_KT (2)_THUY DIEN DA KHAI THAM DINH" xfId="5372"/>
    <cellStyle name="_KT (2)_TK152-04" xfId="738"/>
    <cellStyle name="_KT (2)_ÿÿÿÿÿ" xfId="739"/>
    <cellStyle name="_KT (2)_ÿÿÿÿÿ_KH TPCP vung TNB (03-1-2012)" xfId="740"/>
    <cellStyle name="_KT (2)_ÿÿÿÿÿ_kien giang 2" xfId="741"/>
    <cellStyle name="_KT_TG" xfId="742"/>
    <cellStyle name="_KT_TG_1" xfId="743"/>
    <cellStyle name="_KT_TG_1 2" xfId="744"/>
    <cellStyle name="_KT_TG_1_05-12  KH trung han 2016-2020 - Liem Thinh edited" xfId="745"/>
    <cellStyle name="_KT_TG_1_ApGiaVatTu_cayxanh_latgach" xfId="746"/>
    <cellStyle name="_KT_TG_1_BANG TONG HOP TINH HINH THANH QUYET TOAN (MOI I)" xfId="747"/>
    <cellStyle name="_KT_TG_1_BAO CAO KLCT PT2000" xfId="748"/>
    <cellStyle name="_KT_TG_1_BAO CAO PT2000" xfId="749"/>
    <cellStyle name="_KT_TG_1_BAO CAO PT2000_Book1" xfId="750"/>
    <cellStyle name="_KT_TG_1_Bao cao XDCB 2001 - T11 KH dieu chinh 20-11-THAI" xfId="751"/>
    <cellStyle name="_KT_TG_1_BAO GIA NGAY 24-10-08 (co dam)" xfId="752"/>
    <cellStyle name="_KT_TG_1_BC  NAM 2007" xfId="753"/>
    <cellStyle name="_KT_TG_1_BC CV 6403 BKHĐT" xfId="754"/>
    <cellStyle name="_KT_TG_1_BC NQ11-CP - chinh sua lai" xfId="755"/>
    <cellStyle name="_KT_TG_1_BC NQ11-CP-Quynh sau bieu so3" xfId="756"/>
    <cellStyle name="_KT_TG_1_BC_NQ11-CP_-_Thao_sua_lai" xfId="757"/>
    <cellStyle name="_KT_TG_1_Bieu mau cong trinh khoi cong moi 3-4" xfId="758"/>
    <cellStyle name="_KT_TG_1_Bieu3ODA" xfId="759"/>
    <cellStyle name="_KT_TG_1_Bieu3ODA_1" xfId="760"/>
    <cellStyle name="_KT_TG_1_Bieu4HTMT" xfId="761"/>
    <cellStyle name="_KT_TG_1_BKH (TPCP) tháng 5.2010_Quang Nam" xfId="762"/>
    <cellStyle name="_KT_TG_1_bo sung von KCH nam 2010 va Du an tre kho khan" xfId="763"/>
    <cellStyle name="_KT_TG_1_Book1" xfId="764"/>
    <cellStyle name="_KT_TG_1_Book1 2" xfId="765"/>
    <cellStyle name="_KT_TG_1_Book1_1" xfId="766"/>
    <cellStyle name="_KT_TG_1_Book1_1 2" xfId="767"/>
    <cellStyle name="_KT_TG_1_Book1_1_BC CV 6403 BKHĐT" xfId="768"/>
    <cellStyle name="_KT_TG_1_Book1_1_Bieu mau cong trinh khoi cong moi 3-4" xfId="769"/>
    <cellStyle name="_KT_TG_1_Book1_1_Bieu3ODA" xfId="770"/>
    <cellStyle name="_KT_TG_1_Book1_1_Bieu4HTMT" xfId="771"/>
    <cellStyle name="_KT_TG_1_Book1_1_Book1" xfId="772"/>
    <cellStyle name="_KT_TG_1_Book1_1_Luy ke von ung nam 2011 -Thoa gui ngay 12-8-2012" xfId="773"/>
    <cellStyle name="_KT_TG_1_Book1_2" xfId="774"/>
    <cellStyle name="_KT_TG_1_Book1_2 2" xfId="775"/>
    <cellStyle name="_KT_TG_1_Book1_2_BC CV 6403 BKHĐT" xfId="776"/>
    <cellStyle name="_KT_TG_1_Book1_2_Bieu3ODA" xfId="777"/>
    <cellStyle name="_KT_TG_1_Book1_2_Luy ke von ung nam 2011 -Thoa gui ngay 12-8-2012" xfId="778"/>
    <cellStyle name="_KT_TG_1_Book1_3" xfId="779"/>
    <cellStyle name="_KT_TG_1_Book1_BC CV 6403 BKHĐT" xfId="780"/>
    <cellStyle name="_KT_TG_1_Book1_BC-QT-WB-dthao" xfId="781"/>
    <cellStyle name="_KT_TG_1_Book1_Bieu mau cong trinh khoi cong moi 3-4" xfId="782"/>
    <cellStyle name="_KT_TG_1_Book1_Bieu3ODA" xfId="783"/>
    <cellStyle name="_KT_TG_1_Book1_Bieu4HTMT" xfId="784"/>
    <cellStyle name="_KT_TG_1_Book1_BKH (TPCP) tháng 5.2010_Quang Nam" xfId="785"/>
    <cellStyle name="_KT_TG_1_Book1_bo sung von KCH nam 2010 va Du an tre kho khan" xfId="786"/>
    <cellStyle name="_KT_TG_1_Book1_Book1" xfId="787"/>
    <cellStyle name="_KT_TG_1_Book1_danh muc chuan bi dau tu 2011 ngay 07-6-2011" xfId="788"/>
    <cellStyle name="_KT_TG_1_Book1_Danh muc pbo nguon von XSKT, XDCB nam 2009 chuyen qua nam 2010" xfId="789"/>
    <cellStyle name="_KT_TG_1_Book1_dieu chinh KH 2011 ngay 26-5-2011111" xfId="790"/>
    <cellStyle name="_KT_TG_1_Book1_DS KCH PHAN BO VON NSDP NAM 2010" xfId="791"/>
    <cellStyle name="_KT_TG_1_Book1_giao KH 2011 ngay 10-12-2010" xfId="792"/>
    <cellStyle name="_KT_TG_1_Book1_Luy ke von ung nam 2011 -Thoa gui ngay 12-8-2012" xfId="793"/>
    <cellStyle name="_KT_TG_1_Book1_Tong hop 3 tinh (11_5)-TTH-QN-QT" xfId="794"/>
    <cellStyle name="_KT_TG_1_CAU Khanh Nam(Thi Cong)" xfId="795"/>
    <cellStyle name="_KT_TG_1_ChiHuong_ApGia" xfId="796"/>
    <cellStyle name="_KT_TG_1_CoCauPhi (version 1)" xfId="797"/>
    <cellStyle name="_KT_TG_1_Copy of 05-12  KH trung han 2016-2020 - Liem Thinh edited (1)" xfId="798"/>
    <cellStyle name="_KT_TG_1_danh muc chuan bi dau tu 2011 ngay 07-6-2011" xfId="799"/>
    <cellStyle name="_KT_TG_1_Danh muc pbo nguon von XSKT, XDCB nam 2009 chuyen qua nam 2010" xfId="800"/>
    <cellStyle name="_KT_TG_1_DAU NOI PL-CL TAI PHU LAMHC" xfId="801"/>
    <cellStyle name="_KT_TG_1_dieu chinh KH 2011 ngay 26-5-2011111" xfId="802"/>
    <cellStyle name="_KT_TG_1_DS KCH PHAN BO VON NSDP NAM 2010" xfId="803"/>
    <cellStyle name="_KT_TG_1_DTCDT MR.2N110.HOCMON.TDTOAN.CCUNG" xfId="804"/>
    <cellStyle name="_KT_TG_1_DTDuong dong tien -sua tham tra 2009 - luong 650" xfId="805"/>
    <cellStyle name="_KT_TG_1_DU TRU VAT TU" xfId="806"/>
    <cellStyle name="_KT_TG_1_giao KH 2011 ngay 10-12-2010" xfId="807"/>
    <cellStyle name="_KT_TG_1_GTGT 2003" xfId="808"/>
    <cellStyle name="_KT_TG_1_KE KHAI THUE GTGT 2004" xfId="809"/>
    <cellStyle name="_KT_TG_1_KE KHAI THUE GTGT 2004_BCTC2004" xfId="810"/>
    <cellStyle name="_KT_TG_1_KH TPCP 2016-2020 (tong hop)" xfId="811"/>
    <cellStyle name="_KT_TG_1_KH TPCP vung TNB (03-1-2012)" xfId="812"/>
    <cellStyle name="_KT_TG_1_kien giang 2" xfId="813"/>
    <cellStyle name="_KT_TG_1_Lora-tungchau" xfId="814"/>
    <cellStyle name="_KT_TG_1_Luy ke von ung nam 2011 -Thoa gui ngay 12-8-2012" xfId="815"/>
    <cellStyle name="_KT_TG_1_NhanCong" xfId="816"/>
    <cellStyle name="_KT_TG_1_N-X-T-04" xfId="817"/>
    <cellStyle name="_KT_TG_1_PGIA-phieu tham tra Kho bac" xfId="818"/>
    <cellStyle name="_KT_TG_1_phu luc tong ket tinh hinh TH giai doan 03-10 (ngay 30)" xfId="819"/>
    <cellStyle name="_KT_TG_1_PT02-02" xfId="820"/>
    <cellStyle name="_KT_TG_1_PT02-02_Book1" xfId="821"/>
    <cellStyle name="_KT_TG_1_PT02-03" xfId="822"/>
    <cellStyle name="_KT_TG_1_PT02-03_Book1" xfId="823"/>
    <cellStyle name="_KT_TG_1_Qt-HT3PQ1(CauKho)" xfId="824"/>
    <cellStyle name="_KT_TG_1_Sheet1" xfId="825"/>
    <cellStyle name="_KT_TG_1_TEL OUT 2004" xfId="826"/>
    <cellStyle name="_KT_TG_1_THUY DIEN DA KHAI THAM DINH" xfId="5373"/>
    <cellStyle name="_KT_TG_1_TK152-04" xfId="827"/>
    <cellStyle name="_KT_TG_1_Tong hop 3 tinh (11_5)-TTH-QN-QT" xfId="828"/>
    <cellStyle name="_KT_TG_1_ÿÿÿÿÿ" xfId="829"/>
    <cellStyle name="_KT_TG_1_ÿÿÿÿÿ_Bieu mau cong trinh khoi cong moi 3-4" xfId="830"/>
    <cellStyle name="_KT_TG_1_ÿÿÿÿÿ_Bieu3ODA" xfId="831"/>
    <cellStyle name="_KT_TG_1_ÿÿÿÿÿ_Bieu4HTMT" xfId="832"/>
    <cellStyle name="_KT_TG_1_ÿÿÿÿÿ_KH TPCP vung TNB (03-1-2012)" xfId="833"/>
    <cellStyle name="_KT_TG_1_ÿÿÿÿÿ_kien giang 2" xfId="834"/>
    <cellStyle name="_KT_TG_2" xfId="835"/>
    <cellStyle name="_KT_TG_2 2" xfId="836"/>
    <cellStyle name="_KT_TG_2_05-12  KH trung han 2016-2020 - Liem Thinh edited" xfId="837"/>
    <cellStyle name="_KT_TG_2_ApGiaVatTu_cayxanh_latgach" xfId="838"/>
    <cellStyle name="_KT_TG_2_BANG TONG HOP TINH HINH THANH QUYET TOAN (MOI I)" xfId="839"/>
    <cellStyle name="_KT_TG_2_BAO CAO KLCT PT2000" xfId="840"/>
    <cellStyle name="_KT_TG_2_BAO CAO PT2000" xfId="841"/>
    <cellStyle name="_KT_TG_2_BAO CAO PT2000_Book1" xfId="842"/>
    <cellStyle name="_KT_TG_2_Bao cao XDCB 2001 - T11 KH dieu chinh 20-11-THAI" xfId="843"/>
    <cellStyle name="_KT_TG_2_BAO GIA NGAY 24-10-08 (co dam)" xfId="844"/>
    <cellStyle name="_KT_TG_2_BC  NAM 2007" xfId="845"/>
    <cellStyle name="_KT_TG_2_BC CV 6403 BKHĐT" xfId="846"/>
    <cellStyle name="_KT_TG_2_BC NQ11-CP - chinh sua lai" xfId="847"/>
    <cellStyle name="_KT_TG_2_BC NQ11-CP-Quynh sau bieu so3" xfId="848"/>
    <cellStyle name="_KT_TG_2_BC_NQ11-CP_-_Thao_sua_lai" xfId="849"/>
    <cellStyle name="_KT_TG_2_Bieu mau cong trinh khoi cong moi 3-4" xfId="850"/>
    <cellStyle name="_KT_TG_2_Bieu3ODA" xfId="851"/>
    <cellStyle name="_KT_TG_2_Bieu3ODA_1" xfId="852"/>
    <cellStyle name="_KT_TG_2_Bieu4HTMT" xfId="853"/>
    <cellStyle name="_KT_TG_2_BKH (TPCP) tháng 5.2010_Quang Nam" xfId="854"/>
    <cellStyle name="_KT_TG_2_bo sung von KCH nam 2010 va Du an tre kho khan" xfId="855"/>
    <cellStyle name="_KT_TG_2_Book1" xfId="856"/>
    <cellStyle name="_KT_TG_2_Book1 2" xfId="857"/>
    <cellStyle name="_KT_TG_2_Book1_1" xfId="858"/>
    <cellStyle name="_KT_TG_2_Book1_1 2" xfId="859"/>
    <cellStyle name="_KT_TG_2_Book1_1_BC CV 6403 BKHĐT" xfId="860"/>
    <cellStyle name="_KT_TG_2_Book1_1_Bieu mau cong trinh khoi cong moi 3-4" xfId="861"/>
    <cellStyle name="_KT_TG_2_Book1_1_Bieu3ODA" xfId="862"/>
    <cellStyle name="_KT_TG_2_Book1_1_Bieu4HTMT" xfId="863"/>
    <cellStyle name="_KT_TG_2_Book1_1_Book1" xfId="864"/>
    <cellStyle name="_KT_TG_2_Book1_1_Luy ke von ung nam 2011 -Thoa gui ngay 12-8-2012" xfId="865"/>
    <cellStyle name="_KT_TG_2_Book1_2" xfId="866"/>
    <cellStyle name="_KT_TG_2_Book1_2 2" xfId="867"/>
    <cellStyle name="_KT_TG_2_Book1_2_BC CV 6403 BKHĐT" xfId="868"/>
    <cellStyle name="_KT_TG_2_Book1_2_Bieu3ODA" xfId="869"/>
    <cellStyle name="_KT_TG_2_Book1_2_Luy ke von ung nam 2011 -Thoa gui ngay 12-8-2012" xfId="870"/>
    <cellStyle name="_KT_TG_2_Book1_3" xfId="871"/>
    <cellStyle name="_KT_TG_2_Book1_3 2" xfId="872"/>
    <cellStyle name="_KT_TG_2_Book1_BC CV 6403 BKHĐT" xfId="873"/>
    <cellStyle name="_KT_TG_2_Book1_Bieu mau cong trinh khoi cong moi 3-4" xfId="874"/>
    <cellStyle name="_KT_TG_2_Book1_Bieu3ODA" xfId="875"/>
    <cellStyle name="_KT_TG_2_Book1_Bieu4HTMT" xfId="876"/>
    <cellStyle name="_KT_TG_2_Book1_BKH (TPCP) tháng 5.2010_Quang Nam" xfId="877"/>
    <cellStyle name="_KT_TG_2_Book1_bo sung von KCH nam 2010 va Du an tre kho khan" xfId="878"/>
    <cellStyle name="_KT_TG_2_Book1_Book1" xfId="879"/>
    <cellStyle name="_KT_TG_2_Book1_danh muc chuan bi dau tu 2011 ngay 07-6-2011" xfId="880"/>
    <cellStyle name="_KT_TG_2_Book1_Danh muc pbo nguon von XSKT, XDCB nam 2009 chuyen qua nam 2010" xfId="881"/>
    <cellStyle name="_KT_TG_2_Book1_dieu chinh KH 2011 ngay 26-5-2011111" xfId="882"/>
    <cellStyle name="_KT_TG_2_Book1_DS KCH PHAN BO VON NSDP NAM 2010" xfId="883"/>
    <cellStyle name="_KT_TG_2_Book1_giao KH 2011 ngay 10-12-2010" xfId="884"/>
    <cellStyle name="_KT_TG_2_Book1_Luy ke von ung nam 2011 -Thoa gui ngay 12-8-2012" xfId="885"/>
    <cellStyle name="_KT_TG_2_Book1_Tong hop 3 tinh (11_5)-TTH-QN-QT" xfId="886"/>
    <cellStyle name="_KT_TG_2_CAU Khanh Nam(Thi Cong)" xfId="887"/>
    <cellStyle name="_KT_TG_2_ChiHuong_ApGia" xfId="888"/>
    <cellStyle name="_KT_TG_2_CoCauPhi (version 1)" xfId="889"/>
    <cellStyle name="_KT_TG_2_Copy of 05-12  KH trung han 2016-2020 - Liem Thinh edited (1)" xfId="890"/>
    <cellStyle name="_KT_TG_2_danh muc chuan bi dau tu 2011 ngay 07-6-2011" xfId="891"/>
    <cellStyle name="_KT_TG_2_Danh muc pbo nguon von XSKT, XDCB nam 2009 chuyen qua nam 2010" xfId="892"/>
    <cellStyle name="_KT_TG_2_DAU NOI PL-CL TAI PHU LAMHC" xfId="893"/>
    <cellStyle name="_KT_TG_2_dieu chinh KH 2011 ngay 26-5-2011111" xfId="894"/>
    <cellStyle name="_KT_TG_2_DS KCH PHAN BO VON NSDP NAM 2010" xfId="895"/>
    <cellStyle name="_KT_TG_2_DTCDT MR.2N110.HOCMON.TDTOAN.CCUNG" xfId="896"/>
    <cellStyle name="_KT_TG_2_DTDuong dong tien -sua tham tra 2009 - luong 650" xfId="897"/>
    <cellStyle name="_KT_TG_2_DU TRU VAT TU" xfId="898"/>
    <cellStyle name="_KT_TG_2_giao KH 2011 ngay 10-12-2010" xfId="899"/>
    <cellStyle name="_KT_TG_2_GTGT 2003" xfId="900"/>
    <cellStyle name="_KT_TG_2_KE KHAI THUE GTGT 2004" xfId="901"/>
    <cellStyle name="_KT_TG_2_KE KHAI THUE GTGT 2004_BCTC2004" xfId="902"/>
    <cellStyle name="_KT_TG_2_KH TPCP 2016-2020 (tong hop)" xfId="903"/>
    <cellStyle name="_KT_TG_2_KH TPCP vung TNB (03-1-2012)" xfId="904"/>
    <cellStyle name="_KT_TG_2_kien giang 2" xfId="905"/>
    <cellStyle name="_KT_TG_2_Lora-tungchau" xfId="906"/>
    <cellStyle name="_KT_TG_2_Luy ke von ung nam 2011 -Thoa gui ngay 12-8-2012" xfId="907"/>
    <cellStyle name="_KT_TG_2_NhanCong" xfId="908"/>
    <cellStyle name="_KT_TG_2_N-X-T-04" xfId="909"/>
    <cellStyle name="_KT_TG_2_PGIA-phieu tham tra Kho bac" xfId="910"/>
    <cellStyle name="_KT_TG_2_phu luc tong ket tinh hinh TH giai doan 03-10 (ngay 30)" xfId="911"/>
    <cellStyle name="_KT_TG_2_PT02-02" xfId="912"/>
    <cellStyle name="_KT_TG_2_PT02-02_Book1" xfId="913"/>
    <cellStyle name="_KT_TG_2_PT02-03" xfId="914"/>
    <cellStyle name="_KT_TG_2_PT02-03_Book1" xfId="915"/>
    <cellStyle name="_KT_TG_2_Qt-HT3PQ1(CauKho)" xfId="916"/>
    <cellStyle name="_KT_TG_2_quy luong con lai nam 2004" xfId="917"/>
    <cellStyle name="_KT_TG_2_Sheet1" xfId="918"/>
    <cellStyle name="_KT_TG_2_TEL OUT 2004" xfId="919"/>
    <cellStyle name="_KT_TG_2_THUY DIEN DA KHAI THAM DINH" xfId="5374"/>
    <cellStyle name="_KT_TG_2_TK152-04" xfId="920"/>
    <cellStyle name="_KT_TG_2_Tong hop 3 tinh (11_5)-TTH-QN-QT" xfId="921"/>
    <cellStyle name="_KT_TG_2_ÿÿÿÿÿ" xfId="922"/>
    <cellStyle name="_KT_TG_2_ÿÿÿÿÿ_Bieu mau cong trinh khoi cong moi 3-4" xfId="923"/>
    <cellStyle name="_KT_TG_2_ÿÿÿÿÿ_Bieu3ODA" xfId="924"/>
    <cellStyle name="_KT_TG_2_ÿÿÿÿÿ_Bieu4HTMT" xfId="925"/>
    <cellStyle name="_KT_TG_2_ÿÿÿÿÿ_KH TPCP vung TNB (03-1-2012)" xfId="926"/>
    <cellStyle name="_KT_TG_2_ÿÿÿÿÿ_kien giang 2" xfId="927"/>
    <cellStyle name="_KT_TG_3" xfId="928"/>
    <cellStyle name="_KT_TG_4" xfId="929"/>
    <cellStyle name="_KT_TG_4 2" xfId="930"/>
    <cellStyle name="_KT_TG_4_05-12  KH trung han 2016-2020 - Liem Thinh edited" xfId="931"/>
    <cellStyle name="_KT_TG_4_Copy of 05-12  KH trung han 2016-2020 - Liem Thinh edited (1)" xfId="932"/>
    <cellStyle name="_KT_TG_4_KH TPCP 2016-2020 (tong hop)" xfId="933"/>
    <cellStyle name="_KT_TG_4_Lora-tungchau" xfId="934"/>
    <cellStyle name="_KT_TG_4_Lora-tungchau 2" xfId="935"/>
    <cellStyle name="_KT_TG_4_Lora-tungchau_05-12  KH trung han 2016-2020 - Liem Thinh edited" xfId="936"/>
    <cellStyle name="_KT_TG_4_Lora-tungchau_Copy of 05-12  KH trung han 2016-2020 - Liem Thinh edited (1)" xfId="937"/>
    <cellStyle name="_KT_TG_4_Lora-tungchau_KH TPCP 2016-2020 (tong hop)" xfId="938"/>
    <cellStyle name="_KT_TG_4_Qt-HT3PQ1(CauKho)" xfId="939"/>
    <cellStyle name="_KT_TG_4_quy luong con lai nam 2004" xfId="940"/>
    <cellStyle name="_KT_TG_Book1" xfId="941"/>
    <cellStyle name="_KT_TG_DTDuong dong tien -sua tham tra 2009 - luong 650" xfId="942"/>
    <cellStyle name="_KT_TG_quy luong con lai nam 2004" xfId="943"/>
    <cellStyle name="_Lora-tungchau" xfId="944"/>
    <cellStyle name="_Lora-tungchau 2" xfId="945"/>
    <cellStyle name="_Lora-tungchau_05-12  KH trung han 2016-2020 - Liem Thinh edited" xfId="946"/>
    <cellStyle name="_Lora-tungchau_Copy of 05-12  KH trung han 2016-2020 - Liem Thinh edited (1)" xfId="947"/>
    <cellStyle name="_Lora-tungchau_KH TPCP 2016-2020 (tong hop)" xfId="948"/>
    <cellStyle name="_Luy ke von ung nam 2011 -Thoa gui ngay 12-8-2012" xfId="949"/>
    <cellStyle name="_mau so 3" xfId="950"/>
    <cellStyle name="_MauThanTKKT-goi7-DonGia2143(vl t7)" xfId="951"/>
    <cellStyle name="_MauThanTKKT-goi7-DonGia2143(vl t7)_!1 1 bao cao giao KH ve HTCMT vung TNB   12-12-2011" xfId="952"/>
    <cellStyle name="_MauThanTKKT-goi7-DonGia2143(vl t7)_Bieu4HTMT" xfId="953"/>
    <cellStyle name="_MauThanTKKT-goi7-DonGia2143(vl t7)_Bieu4HTMT_!1 1 bao cao giao KH ve HTCMT vung TNB   12-12-2011" xfId="954"/>
    <cellStyle name="_MauThanTKKT-goi7-DonGia2143(vl t7)_Bieu4HTMT_KH TPCP vung TNB (03-1-2012)" xfId="955"/>
    <cellStyle name="_MauThanTKKT-goi7-DonGia2143(vl t7)_KH TPCP vung TNB (03-1-2012)" xfId="956"/>
    <cellStyle name="_MauThanTKKT-goi7-DonGia2143(vl t7)_Tong hop KH 2014" xfId="957"/>
    <cellStyle name="_Nhu cau von ung truoc 2011 Tha h Hoa + Nge An gui TW" xfId="958"/>
    <cellStyle name="_Nhu cau von ung truoc 2011 Tha h Hoa + Nge An gui TW_!1 1 bao cao giao KH ve HTCMT vung TNB   12-12-2011" xfId="959"/>
    <cellStyle name="_Nhu cau von ung truoc 2011 Tha h Hoa + Nge An gui TW_Bieu4HTMT" xfId="960"/>
    <cellStyle name="_Nhu cau von ung truoc 2011 Tha h Hoa + Nge An gui TW_Bieu4HTMT_!1 1 bao cao giao KH ve HTCMT vung TNB   12-12-2011" xfId="961"/>
    <cellStyle name="_Nhu cau von ung truoc 2011 Tha h Hoa + Nge An gui TW_Bieu4HTMT_KH TPCP vung TNB (03-1-2012)" xfId="962"/>
    <cellStyle name="_Nhu cau von ung truoc 2011 Tha h Hoa + Nge An gui TW_KH TPCP vung TNB (03-1-2012)" xfId="963"/>
    <cellStyle name="_Nhu cau von ung truoc 2011 Tha h Hoa + Nge An gui TW_Tong hop KH 2014" xfId="964"/>
    <cellStyle name="_N-X-T-04" xfId="965"/>
    <cellStyle name="_PERSONAL" xfId="966"/>
    <cellStyle name="_PERSONAL_BC CV 6403 BKHĐT" xfId="967"/>
    <cellStyle name="_PERSONAL_Bieu mau cong trinh khoi cong moi 3-4" xfId="968"/>
    <cellStyle name="_PERSONAL_Bieu3ODA" xfId="969"/>
    <cellStyle name="_PERSONAL_Bieu4HTMT" xfId="970"/>
    <cellStyle name="_PERSONAL_Book1" xfId="971"/>
    <cellStyle name="_PERSONAL_Book1 2" xfId="972"/>
    <cellStyle name="_PERSONAL_HTQ.8 GD1" xfId="973"/>
    <cellStyle name="_PERSONAL_HTQ.8 GD1_05-12  KH trung han 2016-2020 - Liem Thinh edited" xfId="974"/>
    <cellStyle name="_PERSONAL_HTQ.8 GD1_Copy of 05-12  KH trung han 2016-2020 - Liem Thinh edited (1)" xfId="975"/>
    <cellStyle name="_PERSONAL_HTQ.8 GD1_KH TPCP 2016-2020 (tong hop)" xfId="976"/>
    <cellStyle name="_PERSONAL_Luy ke von ung nam 2011 -Thoa gui ngay 12-8-2012" xfId="977"/>
    <cellStyle name="_PERSONAL_Tong hop KHCB 2001" xfId="978"/>
    <cellStyle name="_Phan bo KH 2009 TPCP" xfId="979"/>
    <cellStyle name="_phong bo mon22" xfId="980"/>
    <cellStyle name="_phong bo mon22_!1 1 bao cao giao KH ve HTCMT vung TNB   12-12-2011" xfId="981"/>
    <cellStyle name="_phong bo mon22_KH TPCP vung TNB (03-1-2012)" xfId="982"/>
    <cellStyle name="_PHU BIEU 01 04 07 08 09 - 1" xfId="5375"/>
    <cellStyle name="_Phu luc 2 (Bieu 2) TH KH 2010" xfId="983"/>
    <cellStyle name="_phu luc tong ket tinh hinh TH giai doan 03-10 (ngay 30)" xfId="984"/>
    <cellStyle name="_Phuluckinhphi_DC_lan 4_YL" xfId="985"/>
    <cellStyle name="_Q TOAN  SCTX QL.62 QUI I ( oanh)" xfId="986"/>
    <cellStyle name="_Q TOAN  SCTX QL.62 QUI II ( oanh)" xfId="987"/>
    <cellStyle name="_QT SCTXQL62_QT1 (Cty QL)" xfId="988"/>
    <cellStyle name="_Qt-HT3PQ1(CauKho)" xfId="989"/>
    <cellStyle name="_quy luong con lai nam 2004" xfId="990"/>
    <cellStyle name="_Sheet1" xfId="991"/>
    <cellStyle name="_Sheet2" xfId="992"/>
    <cellStyle name="_TG-TH" xfId="993"/>
    <cellStyle name="_TG-TH_1" xfId="994"/>
    <cellStyle name="_TG-TH_1 2" xfId="995"/>
    <cellStyle name="_TG-TH_1_05-12  KH trung han 2016-2020 - Liem Thinh edited" xfId="996"/>
    <cellStyle name="_TG-TH_1_ApGiaVatTu_cayxanh_latgach" xfId="997"/>
    <cellStyle name="_TG-TH_1_BANG TONG HOP TINH HINH THANH QUYET TOAN (MOI I)" xfId="998"/>
    <cellStyle name="_TG-TH_1_BAO CAO KLCT PT2000" xfId="999"/>
    <cellStyle name="_TG-TH_1_BAO CAO PT2000" xfId="1000"/>
    <cellStyle name="_TG-TH_1_BAO CAO PT2000_Book1" xfId="1001"/>
    <cellStyle name="_TG-TH_1_Bao cao XDCB 2001 - T11 KH dieu chinh 20-11-THAI" xfId="1002"/>
    <cellStyle name="_TG-TH_1_BAO GIA NGAY 24-10-08 (co dam)" xfId="1003"/>
    <cellStyle name="_TG-TH_1_BC  NAM 2007" xfId="1004"/>
    <cellStyle name="_TG-TH_1_BC CV 6403 BKHĐT" xfId="1005"/>
    <cellStyle name="_TG-TH_1_BC NQ11-CP - chinh sua lai" xfId="1006"/>
    <cellStyle name="_TG-TH_1_BC NQ11-CP-Quynh sau bieu so3" xfId="1007"/>
    <cellStyle name="_TG-TH_1_BC_NQ11-CP_-_Thao_sua_lai" xfId="1008"/>
    <cellStyle name="_TG-TH_1_Bieu mau cong trinh khoi cong moi 3-4" xfId="1009"/>
    <cellStyle name="_TG-TH_1_Bieu3ODA" xfId="1010"/>
    <cellStyle name="_TG-TH_1_Bieu3ODA_1" xfId="1011"/>
    <cellStyle name="_TG-TH_1_Bieu4HTMT" xfId="1012"/>
    <cellStyle name="_TG-TH_1_BKH (TPCP) tháng 5.2010_Quang Nam" xfId="1013"/>
    <cellStyle name="_TG-TH_1_bo sung von KCH nam 2010 va Du an tre kho khan" xfId="1014"/>
    <cellStyle name="_TG-TH_1_Book1" xfId="1015"/>
    <cellStyle name="_TG-TH_1_Book1 2" xfId="1016"/>
    <cellStyle name="_TG-TH_1_Book1_1" xfId="1017"/>
    <cellStyle name="_TG-TH_1_Book1_1 2" xfId="1018"/>
    <cellStyle name="_TG-TH_1_Book1_1_BC CV 6403 BKHĐT" xfId="1019"/>
    <cellStyle name="_TG-TH_1_Book1_1_Bieu mau cong trinh khoi cong moi 3-4" xfId="1020"/>
    <cellStyle name="_TG-TH_1_Book1_1_Bieu3ODA" xfId="1021"/>
    <cellStyle name="_TG-TH_1_Book1_1_Bieu4HTMT" xfId="1022"/>
    <cellStyle name="_TG-TH_1_Book1_1_Book1" xfId="1023"/>
    <cellStyle name="_TG-TH_1_Book1_1_Luy ke von ung nam 2011 -Thoa gui ngay 12-8-2012" xfId="1024"/>
    <cellStyle name="_TG-TH_1_Book1_2" xfId="1025"/>
    <cellStyle name="_TG-TH_1_Book1_2 2" xfId="1026"/>
    <cellStyle name="_TG-TH_1_Book1_2_BC CV 6403 BKHĐT" xfId="1027"/>
    <cellStyle name="_TG-TH_1_Book1_2_Bieu3ODA" xfId="1028"/>
    <cellStyle name="_TG-TH_1_Book1_2_Luy ke von ung nam 2011 -Thoa gui ngay 12-8-2012" xfId="1029"/>
    <cellStyle name="_TG-TH_1_Book1_3" xfId="1030"/>
    <cellStyle name="_TG-TH_1_Book1_BC CV 6403 BKHĐT" xfId="1031"/>
    <cellStyle name="_TG-TH_1_Book1_BC-QT-WB-dthao" xfId="1032"/>
    <cellStyle name="_TG-TH_1_Book1_Bieu mau cong trinh khoi cong moi 3-4" xfId="1033"/>
    <cellStyle name="_TG-TH_1_Book1_Bieu3ODA" xfId="1034"/>
    <cellStyle name="_TG-TH_1_Book1_Bieu4HTMT" xfId="1035"/>
    <cellStyle name="_TG-TH_1_Book1_BKH (TPCP) tháng 5.2010_Quang Nam" xfId="1036"/>
    <cellStyle name="_TG-TH_1_Book1_bo sung von KCH nam 2010 va Du an tre kho khan" xfId="1037"/>
    <cellStyle name="_TG-TH_1_Book1_Book1" xfId="1038"/>
    <cellStyle name="_TG-TH_1_Book1_danh muc chuan bi dau tu 2011 ngay 07-6-2011" xfId="1039"/>
    <cellStyle name="_TG-TH_1_Book1_Danh muc pbo nguon von XSKT, XDCB nam 2009 chuyen qua nam 2010" xfId="1040"/>
    <cellStyle name="_TG-TH_1_Book1_dieu chinh KH 2011 ngay 26-5-2011111" xfId="1041"/>
    <cellStyle name="_TG-TH_1_Book1_DS KCH PHAN BO VON NSDP NAM 2010" xfId="1042"/>
    <cellStyle name="_TG-TH_1_Book1_giao KH 2011 ngay 10-12-2010" xfId="1043"/>
    <cellStyle name="_TG-TH_1_Book1_Luy ke von ung nam 2011 -Thoa gui ngay 12-8-2012" xfId="1044"/>
    <cellStyle name="_TG-TH_1_Book1_Tong hop 3 tinh (11_5)-TTH-QN-QT" xfId="1045"/>
    <cellStyle name="_TG-TH_1_CAU Khanh Nam(Thi Cong)" xfId="1046"/>
    <cellStyle name="_TG-TH_1_ChiHuong_ApGia" xfId="1047"/>
    <cellStyle name="_TG-TH_1_CoCauPhi (version 1)" xfId="1048"/>
    <cellStyle name="_TG-TH_1_Copy of 05-12  KH trung han 2016-2020 - Liem Thinh edited (1)" xfId="1049"/>
    <cellStyle name="_TG-TH_1_danh muc chuan bi dau tu 2011 ngay 07-6-2011" xfId="1050"/>
    <cellStyle name="_TG-TH_1_Danh muc pbo nguon von XSKT, XDCB nam 2009 chuyen qua nam 2010" xfId="1051"/>
    <cellStyle name="_TG-TH_1_DAU NOI PL-CL TAI PHU LAMHC" xfId="1052"/>
    <cellStyle name="_TG-TH_1_dieu chinh KH 2011 ngay 26-5-2011111" xfId="1053"/>
    <cellStyle name="_TG-TH_1_DS KCH PHAN BO VON NSDP NAM 2010" xfId="1054"/>
    <cellStyle name="_TG-TH_1_DTCDT MR.2N110.HOCMON.TDTOAN.CCUNG" xfId="1055"/>
    <cellStyle name="_TG-TH_1_DTDuong dong tien -sua tham tra 2009 - luong 650" xfId="1056"/>
    <cellStyle name="_TG-TH_1_DU TRU VAT TU" xfId="1057"/>
    <cellStyle name="_TG-TH_1_giao KH 2011 ngay 10-12-2010" xfId="1058"/>
    <cellStyle name="_TG-TH_1_GTGT 2003" xfId="1059"/>
    <cellStyle name="_TG-TH_1_KE KHAI THUE GTGT 2004" xfId="1060"/>
    <cellStyle name="_TG-TH_1_KE KHAI THUE GTGT 2004_BCTC2004" xfId="1061"/>
    <cellStyle name="_TG-TH_1_KH TPCP 2016-2020 (tong hop)" xfId="1062"/>
    <cellStyle name="_TG-TH_1_KH TPCP vung TNB (03-1-2012)" xfId="1063"/>
    <cellStyle name="_TG-TH_1_kien giang 2" xfId="1064"/>
    <cellStyle name="_TG-TH_1_Lora-tungchau" xfId="1065"/>
    <cellStyle name="_TG-TH_1_Luy ke von ung nam 2011 -Thoa gui ngay 12-8-2012" xfId="1066"/>
    <cellStyle name="_TG-TH_1_NhanCong" xfId="1067"/>
    <cellStyle name="_TG-TH_1_N-X-T-04" xfId="1068"/>
    <cellStyle name="_TG-TH_1_PGIA-phieu tham tra Kho bac" xfId="1069"/>
    <cellStyle name="_TG-TH_1_phu luc tong ket tinh hinh TH giai doan 03-10 (ngay 30)" xfId="1070"/>
    <cellStyle name="_TG-TH_1_PT02-02" xfId="1071"/>
    <cellStyle name="_TG-TH_1_PT02-02_Book1" xfId="1072"/>
    <cellStyle name="_TG-TH_1_PT02-03" xfId="1073"/>
    <cellStyle name="_TG-TH_1_PT02-03_Book1" xfId="1074"/>
    <cellStyle name="_TG-TH_1_Qt-HT3PQ1(CauKho)" xfId="1075"/>
    <cellStyle name="_TG-TH_1_Sheet1" xfId="1076"/>
    <cellStyle name="_TG-TH_1_TEL OUT 2004" xfId="1077"/>
    <cellStyle name="_TG-TH_1_THUY DIEN DA KHAI THAM DINH" xfId="5376"/>
    <cellStyle name="_TG-TH_1_TK152-04" xfId="1078"/>
    <cellStyle name="_TG-TH_1_Tong hop 3 tinh (11_5)-TTH-QN-QT" xfId="1079"/>
    <cellStyle name="_TG-TH_1_ÿÿÿÿÿ" xfId="1080"/>
    <cellStyle name="_TG-TH_1_ÿÿÿÿÿ_Bieu mau cong trinh khoi cong moi 3-4" xfId="1081"/>
    <cellStyle name="_TG-TH_1_ÿÿÿÿÿ_Bieu3ODA" xfId="1082"/>
    <cellStyle name="_TG-TH_1_ÿÿÿÿÿ_Bieu4HTMT" xfId="1083"/>
    <cellStyle name="_TG-TH_1_ÿÿÿÿÿ_KH TPCP vung TNB (03-1-2012)" xfId="1084"/>
    <cellStyle name="_TG-TH_1_ÿÿÿÿÿ_kien giang 2" xfId="1085"/>
    <cellStyle name="_TG-TH_2" xfId="1086"/>
    <cellStyle name="_TG-TH_2 2" xfId="1087"/>
    <cellStyle name="_TG-TH_2_05-12  KH trung han 2016-2020 - Liem Thinh edited" xfId="1088"/>
    <cellStyle name="_TG-TH_2_ApGiaVatTu_cayxanh_latgach" xfId="1089"/>
    <cellStyle name="_TG-TH_2_BANG TONG HOP TINH HINH THANH QUYET TOAN (MOI I)" xfId="1090"/>
    <cellStyle name="_TG-TH_2_BAO CAO KLCT PT2000" xfId="1091"/>
    <cellStyle name="_TG-TH_2_BAO CAO PT2000" xfId="1092"/>
    <cellStyle name="_TG-TH_2_BAO CAO PT2000_Book1" xfId="1093"/>
    <cellStyle name="_TG-TH_2_Bao cao XDCB 2001 - T11 KH dieu chinh 20-11-THAI" xfId="1094"/>
    <cellStyle name="_TG-TH_2_BAO GIA NGAY 24-10-08 (co dam)" xfId="1095"/>
    <cellStyle name="_TG-TH_2_BC  NAM 2007" xfId="1096"/>
    <cellStyle name="_TG-TH_2_BC CV 6403 BKHĐT" xfId="1097"/>
    <cellStyle name="_TG-TH_2_BC NQ11-CP - chinh sua lai" xfId="1098"/>
    <cellStyle name="_TG-TH_2_BC NQ11-CP-Quynh sau bieu so3" xfId="1099"/>
    <cellStyle name="_TG-TH_2_BC_NQ11-CP_-_Thao_sua_lai" xfId="1100"/>
    <cellStyle name="_TG-TH_2_Bieu mau cong trinh khoi cong moi 3-4" xfId="1101"/>
    <cellStyle name="_TG-TH_2_Bieu3ODA" xfId="1102"/>
    <cellStyle name="_TG-TH_2_Bieu3ODA_1" xfId="1103"/>
    <cellStyle name="_TG-TH_2_Bieu4HTMT" xfId="1104"/>
    <cellStyle name="_TG-TH_2_BKH (TPCP) tháng 5.2010_Quang Nam" xfId="1105"/>
    <cellStyle name="_TG-TH_2_bo sung von KCH nam 2010 va Du an tre kho khan" xfId="1106"/>
    <cellStyle name="_TG-TH_2_Book1" xfId="1107"/>
    <cellStyle name="_TG-TH_2_Book1 2" xfId="1108"/>
    <cellStyle name="_TG-TH_2_Book1_1" xfId="1109"/>
    <cellStyle name="_TG-TH_2_Book1_1 2" xfId="1110"/>
    <cellStyle name="_TG-TH_2_Book1_1_BC CV 6403 BKHĐT" xfId="1111"/>
    <cellStyle name="_TG-TH_2_Book1_1_Bieu mau cong trinh khoi cong moi 3-4" xfId="1112"/>
    <cellStyle name="_TG-TH_2_Book1_1_Bieu3ODA" xfId="1113"/>
    <cellStyle name="_TG-TH_2_Book1_1_Bieu4HTMT" xfId="1114"/>
    <cellStyle name="_TG-TH_2_Book1_1_Book1" xfId="1115"/>
    <cellStyle name="_TG-TH_2_Book1_1_Luy ke von ung nam 2011 -Thoa gui ngay 12-8-2012" xfId="1116"/>
    <cellStyle name="_TG-TH_2_Book1_2" xfId="1117"/>
    <cellStyle name="_TG-TH_2_Book1_2 2" xfId="1118"/>
    <cellStyle name="_TG-TH_2_Book1_2_BC CV 6403 BKHĐT" xfId="1119"/>
    <cellStyle name="_TG-TH_2_Book1_2_Bieu3ODA" xfId="1120"/>
    <cellStyle name="_TG-TH_2_Book1_2_Luy ke von ung nam 2011 -Thoa gui ngay 12-8-2012" xfId="1121"/>
    <cellStyle name="_TG-TH_2_Book1_3" xfId="1122"/>
    <cellStyle name="_TG-TH_2_Book1_3 2" xfId="1123"/>
    <cellStyle name="_TG-TH_2_Book1_BC CV 6403 BKHĐT" xfId="1124"/>
    <cellStyle name="_TG-TH_2_Book1_Bieu mau cong trinh khoi cong moi 3-4" xfId="1125"/>
    <cellStyle name="_TG-TH_2_Book1_Bieu3ODA" xfId="1126"/>
    <cellStyle name="_TG-TH_2_Book1_Bieu4HTMT" xfId="1127"/>
    <cellStyle name="_TG-TH_2_Book1_BKH (TPCP) tháng 5.2010_Quang Nam" xfId="1128"/>
    <cellStyle name="_TG-TH_2_Book1_bo sung von KCH nam 2010 va Du an tre kho khan" xfId="1129"/>
    <cellStyle name="_TG-TH_2_Book1_Book1" xfId="1130"/>
    <cellStyle name="_TG-TH_2_Book1_danh muc chuan bi dau tu 2011 ngay 07-6-2011" xfId="1131"/>
    <cellStyle name="_TG-TH_2_Book1_Danh muc pbo nguon von XSKT, XDCB nam 2009 chuyen qua nam 2010" xfId="1132"/>
    <cellStyle name="_TG-TH_2_Book1_dieu chinh KH 2011 ngay 26-5-2011111" xfId="1133"/>
    <cellStyle name="_TG-TH_2_Book1_DS KCH PHAN BO VON NSDP NAM 2010" xfId="1134"/>
    <cellStyle name="_TG-TH_2_Book1_giao KH 2011 ngay 10-12-2010" xfId="1135"/>
    <cellStyle name="_TG-TH_2_Book1_Luy ke von ung nam 2011 -Thoa gui ngay 12-8-2012" xfId="1136"/>
    <cellStyle name="_TG-TH_2_Book1_Tong hop 3 tinh (11_5)-TTH-QN-QT" xfId="1137"/>
    <cellStyle name="_TG-TH_2_CAU Khanh Nam(Thi Cong)" xfId="1138"/>
    <cellStyle name="_TG-TH_2_ChiHuong_ApGia" xfId="1139"/>
    <cellStyle name="_TG-TH_2_CoCauPhi (version 1)" xfId="1140"/>
    <cellStyle name="_TG-TH_2_Copy of 05-12  KH trung han 2016-2020 - Liem Thinh edited (1)" xfId="1141"/>
    <cellStyle name="_TG-TH_2_danh muc chuan bi dau tu 2011 ngay 07-6-2011" xfId="1142"/>
    <cellStyle name="_TG-TH_2_Danh muc pbo nguon von XSKT, XDCB nam 2009 chuyen qua nam 2010" xfId="1143"/>
    <cellStyle name="_TG-TH_2_DAU NOI PL-CL TAI PHU LAMHC" xfId="1144"/>
    <cellStyle name="_TG-TH_2_dieu chinh KH 2011 ngay 26-5-2011111" xfId="1145"/>
    <cellStyle name="_TG-TH_2_DS KCH PHAN BO VON NSDP NAM 2010" xfId="1146"/>
    <cellStyle name="_TG-TH_2_DTCDT MR.2N110.HOCMON.TDTOAN.CCUNG" xfId="1147"/>
    <cellStyle name="_TG-TH_2_DTDuong dong tien -sua tham tra 2009 - luong 650" xfId="1148"/>
    <cellStyle name="_TG-TH_2_DU TRU VAT TU" xfId="1149"/>
    <cellStyle name="_TG-TH_2_giao KH 2011 ngay 10-12-2010" xfId="1150"/>
    <cellStyle name="_TG-TH_2_GTGT 2003" xfId="1151"/>
    <cellStyle name="_TG-TH_2_KE KHAI THUE GTGT 2004" xfId="1152"/>
    <cellStyle name="_TG-TH_2_KE KHAI THUE GTGT 2004_BCTC2004" xfId="1153"/>
    <cellStyle name="_TG-TH_2_KH TPCP 2016-2020 (tong hop)" xfId="1154"/>
    <cellStyle name="_TG-TH_2_KH TPCP vung TNB (03-1-2012)" xfId="1155"/>
    <cellStyle name="_TG-TH_2_kien giang 2" xfId="1156"/>
    <cellStyle name="_TG-TH_2_Lora-tungchau" xfId="1157"/>
    <cellStyle name="_TG-TH_2_Luy ke von ung nam 2011 -Thoa gui ngay 12-8-2012" xfId="1158"/>
    <cellStyle name="_TG-TH_2_NhanCong" xfId="1159"/>
    <cellStyle name="_TG-TH_2_N-X-T-04" xfId="1160"/>
    <cellStyle name="_TG-TH_2_PGIA-phieu tham tra Kho bac" xfId="1161"/>
    <cellStyle name="_TG-TH_2_phu luc tong ket tinh hinh TH giai doan 03-10 (ngay 30)" xfId="1162"/>
    <cellStyle name="_TG-TH_2_PT02-02" xfId="1163"/>
    <cellStyle name="_TG-TH_2_PT02-02_Book1" xfId="1164"/>
    <cellStyle name="_TG-TH_2_PT02-03" xfId="1165"/>
    <cellStyle name="_TG-TH_2_PT02-03_Book1" xfId="1166"/>
    <cellStyle name="_TG-TH_2_Qt-HT3PQ1(CauKho)" xfId="1167"/>
    <cellStyle name="_TG-TH_2_quy luong con lai nam 2004" xfId="1168"/>
    <cellStyle name="_TG-TH_2_Sheet1" xfId="1169"/>
    <cellStyle name="_TG-TH_2_TEL OUT 2004" xfId="1170"/>
    <cellStyle name="_TG-TH_2_THUY DIEN DA KHAI THAM DINH" xfId="5377"/>
    <cellStyle name="_TG-TH_2_TK152-04" xfId="1171"/>
    <cellStyle name="_TG-TH_2_Tong hop 3 tinh (11_5)-TTH-QN-QT" xfId="1172"/>
    <cellStyle name="_TG-TH_2_ÿÿÿÿÿ" xfId="1173"/>
    <cellStyle name="_TG-TH_2_ÿÿÿÿÿ_Bieu mau cong trinh khoi cong moi 3-4" xfId="1174"/>
    <cellStyle name="_TG-TH_2_ÿÿÿÿÿ_Bieu3ODA" xfId="1175"/>
    <cellStyle name="_TG-TH_2_ÿÿÿÿÿ_Bieu4HTMT" xfId="1176"/>
    <cellStyle name="_TG-TH_2_ÿÿÿÿÿ_KH TPCP vung TNB (03-1-2012)" xfId="1177"/>
    <cellStyle name="_TG-TH_2_ÿÿÿÿÿ_kien giang 2" xfId="1178"/>
    <cellStyle name="_TG-TH_3" xfId="1179"/>
    <cellStyle name="_TG-TH_3 2" xfId="1180"/>
    <cellStyle name="_TG-TH_3_05-12  KH trung han 2016-2020 - Liem Thinh edited" xfId="1181"/>
    <cellStyle name="_TG-TH_3_Copy of 05-12  KH trung han 2016-2020 - Liem Thinh edited (1)" xfId="1182"/>
    <cellStyle name="_TG-TH_3_KH TPCP 2016-2020 (tong hop)" xfId="1183"/>
    <cellStyle name="_TG-TH_3_Lora-tungchau" xfId="1184"/>
    <cellStyle name="_TG-TH_3_Lora-tungchau 2" xfId="1185"/>
    <cellStyle name="_TG-TH_3_Lora-tungchau_05-12  KH trung han 2016-2020 - Liem Thinh edited" xfId="1186"/>
    <cellStyle name="_TG-TH_3_Lora-tungchau_Copy of 05-12  KH trung han 2016-2020 - Liem Thinh edited (1)" xfId="1187"/>
    <cellStyle name="_TG-TH_3_Lora-tungchau_KH TPCP 2016-2020 (tong hop)" xfId="1188"/>
    <cellStyle name="_TG-TH_3_Qt-HT3PQ1(CauKho)" xfId="1189"/>
    <cellStyle name="_TG-TH_3_quy luong con lai nam 2004" xfId="1190"/>
    <cellStyle name="_TG-TH_4" xfId="1191"/>
    <cellStyle name="_TG-TH_4_Book1" xfId="1192"/>
    <cellStyle name="_TG-TH_4_DTDuong dong tien -sua tham tra 2009 - luong 650" xfId="1193"/>
    <cellStyle name="_TG-TH_4_quy luong con lai nam 2004" xfId="1194"/>
    <cellStyle name="_TH KH 2010" xfId="1195"/>
    <cellStyle name="_THUY DIEN DA KHAI THAM DINH" xfId="5378"/>
    <cellStyle name="_TK152-04" xfId="1196"/>
    <cellStyle name="_TKP" xfId="1197"/>
    <cellStyle name="_TKP_Tong hop KH 2014" xfId="1198"/>
    <cellStyle name="_Tong dutoan PP LAHAI" xfId="1199"/>
    <cellStyle name="_Tong hop 3 tinh (11_5)-TTH-QN-QT" xfId="1200"/>
    <cellStyle name="_TPCP GT-24-5-Mien Nui" xfId="1201"/>
    <cellStyle name="_TPCP GT-24-5-Mien Nui_!1 1 bao cao giao KH ve HTCMT vung TNB   12-12-2011" xfId="1202"/>
    <cellStyle name="_TPCP GT-24-5-Mien Nui_Bieu4HTMT" xfId="1203"/>
    <cellStyle name="_TPCP GT-24-5-Mien Nui_Bieu4HTMT_!1 1 bao cao giao KH ve HTCMT vung TNB   12-12-2011" xfId="1204"/>
    <cellStyle name="_TPCP GT-24-5-Mien Nui_Bieu4HTMT_KH TPCP vung TNB (03-1-2012)" xfId="1205"/>
    <cellStyle name="_TPCP GT-24-5-Mien Nui_KH TPCP vung TNB (03-1-2012)" xfId="1206"/>
    <cellStyle name="_ung 2011 - 11-6-Thanh hoa-Nghe an" xfId="1207"/>
    <cellStyle name="_ung 2011 - 11-6-Thanh hoa-Nghe an_Tong hop KH 2014" xfId="1208"/>
    <cellStyle name="_ung truoc 2011 NSTW Thanh Hoa + Nge An gui Thu 12-5" xfId="1209"/>
    <cellStyle name="_ung truoc 2011 NSTW Thanh Hoa + Nge An gui Thu 12-5_!1 1 bao cao giao KH ve HTCMT vung TNB   12-12-2011" xfId="1210"/>
    <cellStyle name="_ung truoc 2011 NSTW Thanh Hoa + Nge An gui Thu 12-5_Bieu4HTMT" xfId="1211"/>
    <cellStyle name="_ung truoc 2011 NSTW Thanh Hoa + Nge An gui Thu 12-5_Bieu4HTMT_!1 1 bao cao giao KH ve HTCMT vung TNB   12-12-2011" xfId="1212"/>
    <cellStyle name="_ung truoc 2011 NSTW Thanh Hoa + Nge An gui Thu 12-5_Bieu4HTMT_KH TPCP vung TNB (03-1-2012)" xfId="1213"/>
    <cellStyle name="_ung truoc 2011 NSTW Thanh Hoa + Nge An gui Thu 12-5_KH TPCP vung TNB (03-1-2012)" xfId="1214"/>
    <cellStyle name="_ung truoc 2011 NSTW Thanh Hoa + Nge An gui Thu 12-5_Tong hop KH 2014" xfId="1215"/>
    <cellStyle name="_ung truoc cua long an (6-5-2010)" xfId="1216"/>
    <cellStyle name="_ung von chinh thuc doan kiem tra TAY NAM BO" xfId="1217"/>
    <cellStyle name="_Ung von nam 2011 vung TNB - Doan Cong tac (12-5-2010)" xfId="1218"/>
    <cellStyle name="_Ung von nam 2011 vung TNB - Doan Cong tac (12-5-2010)_!1 1 bao cao giao KH ve HTCMT vung TNB   12-12-2011" xfId="1219"/>
    <cellStyle name="_Ung von nam 2011 vung TNB - Doan Cong tac (12-5-2010)_Bieu4HTMT" xfId="1220"/>
    <cellStyle name="_Ung von nam 2011 vung TNB - Doan Cong tac (12-5-2010)_Bieu4HTMT_!1 1 bao cao giao KH ve HTCMT vung TNB   12-12-2011" xfId="1221"/>
    <cellStyle name="_Ung von nam 2011 vung TNB - Doan Cong tac (12-5-2010)_Bieu4HTMT_KH TPCP vung TNB (03-1-2012)" xfId="1222"/>
    <cellStyle name="_Ung von nam 2011 vung TNB - Doan Cong tac (12-5-2010)_Chuẩn bị đầu tư 2011 (sep Hung)_KH 2012 (T3-2013)" xfId="1223"/>
    <cellStyle name="_Ung von nam 2011 vung TNB - Doan Cong tac (12-5-2010)_Cong trinh co y kien LD_Dang_NN_2011-Tay nguyen-9-10" xfId="1224"/>
    <cellStyle name="_Ung von nam 2011 vung TNB - Doan Cong tac (12-5-2010)_Cong trinh co y kien LD_Dang_NN_2011-Tay nguyen-9-10_!1 1 bao cao giao KH ve HTCMT vung TNB   12-12-2011" xfId="1225"/>
    <cellStyle name="_Ung von nam 2011 vung TNB - Doan Cong tac (12-5-2010)_Cong trinh co y kien LD_Dang_NN_2011-Tay nguyen-9-10_Bieu4HTMT" xfId="1226"/>
    <cellStyle name="_Ung von nam 2011 vung TNB - Doan Cong tac (12-5-2010)_Cong trinh co y kien LD_Dang_NN_2011-Tay nguyen-9-10_Bieu4HTMT_!1 1 bao cao giao KH ve HTCMT vung TNB   12-12-2011" xfId="1227"/>
    <cellStyle name="_Ung von nam 2011 vung TNB - Doan Cong tac (12-5-2010)_Cong trinh co y kien LD_Dang_NN_2011-Tay nguyen-9-10_Bieu4HTMT_KH TPCP vung TNB (03-1-2012)" xfId="1228"/>
    <cellStyle name="_Ung von nam 2011 vung TNB - Doan Cong tac (12-5-2010)_Cong trinh co y kien LD_Dang_NN_2011-Tay nguyen-9-10_KH TPCP vung TNB (03-1-2012)" xfId="1229"/>
    <cellStyle name="_Ung von nam 2011 vung TNB - Doan Cong tac (12-5-2010)_Copy of ghep 3 bieu trinh LD BO 28-6 (TPCP)" xfId="1230"/>
    <cellStyle name="_Ung von nam 2011 vung TNB - Doan Cong tac (12-5-2010)_KH TPCP vung TNB (03-1-2012)" xfId="1231"/>
    <cellStyle name="_Ung von nam 2011 vung TNB - Doan Cong tac (12-5-2010)_TN - Ho tro khac 2011" xfId="1232"/>
    <cellStyle name="_Ung von nam 2011 vung TNB - Doan Cong tac (12-5-2010)_TN - Ho tro khac 2011_!1 1 bao cao giao KH ve HTCMT vung TNB   12-12-2011" xfId="1233"/>
    <cellStyle name="_Ung von nam 2011 vung TNB - Doan Cong tac (12-5-2010)_TN - Ho tro khac 2011_Bieu4HTMT" xfId="1234"/>
    <cellStyle name="_Ung von nam 2011 vung TNB - Doan Cong tac (12-5-2010)_TN - Ho tro khac 2011_Bieu4HTMT_!1 1 bao cao giao KH ve HTCMT vung TNB   12-12-2011" xfId="1235"/>
    <cellStyle name="_Ung von nam 2011 vung TNB - Doan Cong tac (12-5-2010)_TN - Ho tro khac 2011_Bieu4HTMT_KH TPCP vung TNB (03-1-2012)" xfId="1236"/>
    <cellStyle name="_Ung von nam 2011 vung TNB - Doan Cong tac (12-5-2010)_TN - Ho tro khac 2011_KH TPCP vung TNB (03-1-2012)" xfId="1237"/>
    <cellStyle name="_Von dau tu 2006-2020 (TL chien luoc)" xfId="1238"/>
    <cellStyle name="_Von dau tu 2006-2020 (TL chien luoc)_15_10_2013 BC nhu cau von doi ung ODA (2014-2016) ngay 15102013 Sua" xfId="1239"/>
    <cellStyle name="_Von dau tu 2006-2020 (TL chien luoc)_BC nhu cau von doi ung ODA nganh NN (BKH)" xfId="1240"/>
    <cellStyle name="_Von dau tu 2006-2020 (TL chien luoc)_BC nhu cau von doi ung ODA nganh NN (BKH)_05-12  KH trung han 2016-2020 - Liem Thinh edited" xfId="1241"/>
    <cellStyle name="_Von dau tu 2006-2020 (TL chien luoc)_BC nhu cau von doi ung ODA nganh NN (BKH)_Copy of 05-12  KH trung han 2016-2020 - Liem Thinh edited (1)" xfId="1242"/>
    <cellStyle name="_Von dau tu 2006-2020 (TL chien luoc)_BC Tai co cau (bieu TH)" xfId="1243"/>
    <cellStyle name="_Von dau tu 2006-2020 (TL chien luoc)_BC Tai co cau (bieu TH)_05-12  KH trung han 2016-2020 - Liem Thinh edited" xfId="1244"/>
    <cellStyle name="_Von dau tu 2006-2020 (TL chien luoc)_BC Tai co cau (bieu TH)_Copy of 05-12  KH trung han 2016-2020 - Liem Thinh edited (1)" xfId="1245"/>
    <cellStyle name="_Von dau tu 2006-2020 (TL chien luoc)_DK 2014-2015 final" xfId="1246"/>
    <cellStyle name="_Von dau tu 2006-2020 (TL chien luoc)_DK 2014-2015 final_05-12  KH trung han 2016-2020 - Liem Thinh edited" xfId="1247"/>
    <cellStyle name="_Von dau tu 2006-2020 (TL chien luoc)_DK 2014-2015 final_Copy of 05-12  KH trung han 2016-2020 - Liem Thinh edited (1)" xfId="1248"/>
    <cellStyle name="_Von dau tu 2006-2020 (TL chien luoc)_DK 2014-2015 new" xfId="1249"/>
    <cellStyle name="_Von dau tu 2006-2020 (TL chien luoc)_DK 2014-2015 new_05-12  KH trung han 2016-2020 - Liem Thinh edited" xfId="1250"/>
    <cellStyle name="_Von dau tu 2006-2020 (TL chien luoc)_DK 2014-2015 new_Copy of 05-12  KH trung han 2016-2020 - Liem Thinh edited (1)" xfId="1251"/>
    <cellStyle name="_Von dau tu 2006-2020 (TL chien luoc)_DK KH CBDT 2014 11-11-2013" xfId="1252"/>
    <cellStyle name="_Von dau tu 2006-2020 (TL chien luoc)_DK KH CBDT 2014 11-11-2013(1)" xfId="1253"/>
    <cellStyle name="_Von dau tu 2006-2020 (TL chien luoc)_DK KH CBDT 2014 11-11-2013(1)_05-12  KH trung han 2016-2020 - Liem Thinh edited" xfId="1254"/>
    <cellStyle name="_Von dau tu 2006-2020 (TL chien luoc)_DK KH CBDT 2014 11-11-2013(1)_Copy of 05-12  KH trung han 2016-2020 - Liem Thinh edited (1)" xfId="1255"/>
    <cellStyle name="_Von dau tu 2006-2020 (TL chien luoc)_DK KH CBDT 2014 11-11-2013_05-12  KH trung han 2016-2020 - Liem Thinh edited" xfId="1256"/>
    <cellStyle name="_Von dau tu 2006-2020 (TL chien luoc)_DK KH CBDT 2014 11-11-2013_Copy of 05-12  KH trung han 2016-2020 - Liem Thinh edited (1)" xfId="1257"/>
    <cellStyle name="_Von dau tu 2006-2020 (TL chien luoc)_KH 2011-2015" xfId="1258"/>
    <cellStyle name="_Von dau tu 2006-2020 (TL chien luoc)_tai co cau dau tu (tong hop)1" xfId="1259"/>
    <cellStyle name="_x005f_x0001_" xfId="1260"/>
    <cellStyle name="_x005f_x0001__!1 1 bao cao giao KH ve HTCMT vung TNB   12-12-2011" xfId="1261"/>
    <cellStyle name="_x005f_x0001__kien giang 2" xfId="1262"/>
    <cellStyle name="_x005f_x000d__x005f_x000a_JournalTemplate=C:\COMFO\CTALK\JOURSTD.TPL_x005f_x000d__x005f_x000a_LbStateAddress=3 3 0 251 1 89 2 311_x005f_x000d__x005f_x000a_LbStateJou" xfId="1263"/>
    <cellStyle name="_x005f_x005f_x005f_x0001_" xfId="1264"/>
    <cellStyle name="_x005f_x005f_x005f_x0001__!1 1 bao cao giao KH ve HTCMT vung TNB   12-12-2011" xfId="1265"/>
    <cellStyle name="_x005f_x005f_x005f_x0001__kien giang 2" xfId="1266"/>
    <cellStyle name="_x005f_x005f_x005f_x000d__x005f_x005f_x005f_x000a_JournalTemplate=C:\COMFO\CTALK\JOURSTD.TPL_x005f_x005f_x005f_x000d__x005f_x005f_x005f_x000a_LbStateAddress=3 3 0 251 1 89 2 311_x005f_x005f_x005f_x000d__x005f_x005f_x005f_x000a_LbStateJou" xfId="1267"/>
    <cellStyle name="_XDCB thang 12.2010" xfId="1268"/>
    <cellStyle name="_ÿÿÿÿÿ" xfId="1269"/>
    <cellStyle name="_ÿÿÿÿÿ_Bieu mau cong trinh khoi cong moi 3-4" xfId="1270"/>
    <cellStyle name="_ÿÿÿÿÿ_Bieu mau cong trinh khoi cong moi 3-4_!1 1 bao cao giao KH ve HTCMT vung TNB   12-12-2011" xfId="1271"/>
    <cellStyle name="_ÿÿÿÿÿ_Bieu mau cong trinh khoi cong moi 3-4_KH TPCP vung TNB (03-1-2012)" xfId="1272"/>
    <cellStyle name="_ÿÿÿÿÿ_Bieu3ODA" xfId="1273"/>
    <cellStyle name="_ÿÿÿÿÿ_Bieu3ODA_!1 1 bao cao giao KH ve HTCMT vung TNB   12-12-2011" xfId="1274"/>
    <cellStyle name="_ÿÿÿÿÿ_Bieu3ODA_KH TPCP vung TNB (03-1-2012)" xfId="1275"/>
    <cellStyle name="_ÿÿÿÿÿ_Bieu4HTMT" xfId="1276"/>
    <cellStyle name="_ÿÿÿÿÿ_Bieu4HTMT_!1 1 bao cao giao KH ve HTCMT vung TNB   12-12-2011" xfId="1277"/>
    <cellStyle name="_ÿÿÿÿÿ_Bieu4HTMT_KH TPCP vung TNB (03-1-2012)" xfId="1278"/>
    <cellStyle name="_ÿÿÿÿÿ_Kh ql62 (2010) 11-09" xfId="1279"/>
    <cellStyle name="_ÿÿÿÿÿ_KH TPCP vung TNB (03-1-2012)" xfId="1280"/>
    <cellStyle name="_ÿÿÿÿÿ_Khung 2012" xfId="1281"/>
    <cellStyle name="_ÿÿÿÿÿ_kien giang 2" xfId="1282"/>
    <cellStyle name="_ÿÿÿÿÿ_Tong hop KH 2014" xfId="1283"/>
    <cellStyle name="~1" xfId="1284"/>
    <cellStyle name="_x0001_¨c^ " xfId="5379"/>
    <cellStyle name="_x0001_¨c^[" xfId="5380"/>
    <cellStyle name="_x0001_¨c^_" xfId="5381"/>
    <cellStyle name="_x0001_¨Œc^ " xfId="5382"/>
    <cellStyle name="_x0001_¨Œc^[" xfId="5383"/>
    <cellStyle name="_x0001_¨Œc^_" xfId="5384"/>
    <cellStyle name="’Ê‰Ý [0.00]_laroux" xfId="1285"/>
    <cellStyle name="’Ê‰Ý_laroux" xfId="1286"/>
    <cellStyle name="¤@¯ë_CHI PHI QUAN LY 1-00" xfId="1287"/>
    <cellStyle name="_x0001_µÑTÖ " xfId="5385"/>
    <cellStyle name="_x0001_µÑTÖ_" xfId="5386"/>
    <cellStyle name="•W?_Format" xfId="1288"/>
    <cellStyle name="•W€_’·Šú‰p•¶" xfId="1289"/>
    <cellStyle name="•W_’·Šú‰p•¶" xfId="1290"/>
    <cellStyle name="W_MARINE" xfId="1291"/>
    <cellStyle name="0" xfId="1292"/>
    <cellStyle name="0 2" xfId="1293"/>
    <cellStyle name="0,0_x000a__x000a_NA_x000a__x000a_" xfId="1294"/>
    <cellStyle name="0,0_x000d__x000a_NA_x000d__x000a_" xfId="1295"/>
    <cellStyle name="0,0_x000d__x000a_NA_x000d__x000a_ 2" xfId="1296"/>
    <cellStyle name="0,0_x000d__x000a_NA_x000d__x000a__Thanh hoa chinh thuc 28-2" xfId="1297"/>
    <cellStyle name="0,0_x005f_x000d__x005f_x000a_NA_x005f_x000d__x005f_x000a_" xfId="1298"/>
    <cellStyle name="0.0" xfId="1299"/>
    <cellStyle name="0.0 2" xfId="1300"/>
    <cellStyle name="0.00" xfId="1301"/>
    <cellStyle name="0.00 2" xfId="1302"/>
    <cellStyle name="1" xfId="1303"/>
    <cellStyle name="1 2" xfId="1304"/>
    <cellStyle name="1_!1 1 bao cao giao KH ve HTCMT vung TNB   12-12-2011" xfId="1305"/>
    <cellStyle name="1_7 noi 48 goi C5 9 vi na" xfId="1306"/>
    <cellStyle name="1_Bang tong hop khoi luong" xfId="5387"/>
    <cellStyle name="1_BAO GIA NGAY 24-10-08 (co dam)" xfId="1307"/>
    <cellStyle name="1_Bieu ke hoach nam 2010" xfId="1308"/>
    <cellStyle name="1_bieu tong hop" xfId="1309"/>
    <cellStyle name="1_Bieu4HTMT" xfId="1310"/>
    <cellStyle name="1_Book1" xfId="1311"/>
    <cellStyle name="1_Book1_1" xfId="1312"/>
    <cellStyle name="1_Book1_1_!1 1 bao cao giao KH ve HTCMT vung TNB   12-12-2011" xfId="1313"/>
    <cellStyle name="1_Book1_1_Bieu4HTMT" xfId="1314"/>
    <cellStyle name="1_Book1_1_Bieu4HTMT_!1 1 bao cao giao KH ve HTCMT vung TNB   12-12-2011" xfId="1315"/>
    <cellStyle name="1_Book1_1_Bieu4HTMT_KH TPCP vung TNB (03-1-2012)" xfId="1316"/>
    <cellStyle name="1_Book1_1_Book1" xfId="5388"/>
    <cellStyle name="1_Book1_1_KH TPCP vung TNB (03-1-2012)" xfId="1317"/>
    <cellStyle name="1_Book1_Bang noi suy KL dao dat da" xfId="5389"/>
    <cellStyle name="1_Book1_Book1" xfId="5390"/>
    <cellStyle name="1_Book1_Book1_1" xfId="5391"/>
    <cellStyle name="1_Book1_PHU BIEU HA TINH 2008 DAY DU1 (THAM KHAO)" xfId="5392"/>
    <cellStyle name="1_Book1_PHU BIEU HA TINH 2008 DAY DU2" xfId="5393"/>
    <cellStyle name="1_Book1_PHU BIEU THU NGHE AN" xfId="5394"/>
    <cellStyle name="1_Book1_Tong hop" xfId="5395"/>
    <cellStyle name="1_Cau Hua Trai (TT 04)" xfId="5396"/>
    <cellStyle name="1_Cau thuy dien Ban La (Cu Anh)" xfId="1318"/>
    <cellStyle name="1_Cau thuy dien Ban La (Cu Anh)_!1 1 bao cao giao KH ve HTCMT vung TNB   12-12-2011" xfId="1319"/>
    <cellStyle name="1_Cau thuy dien Ban La (Cu Anh)_Bieu4HTMT" xfId="1320"/>
    <cellStyle name="1_Cau thuy dien Ban La (Cu Anh)_Bieu4HTMT_!1 1 bao cao giao KH ve HTCMT vung TNB   12-12-2011" xfId="1321"/>
    <cellStyle name="1_Cau thuy dien Ban La (Cu Anh)_Bieu4HTMT_KH TPCP vung TNB (03-1-2012)" xfId="1322"/>
    <cellStyle name="1_Cau thuy dien Ban La (Cu Anh)_Book1" xfId="5397"/>
    <cellStyle name="1_Cau thuy dien Ban La (Cu Anh)_KH TPCP vung TNB (03-1-2012)" xfId="1323"/>
    <cellStyle name="1_Cong trinh co y kien LD_Dang_NN_2011-Tay nguyen-9-10" xfId="1324"/>
    <cellStyle name="1_Copy of ghep 3 bieu trinh LD BO 28-6 (TPCP)" xfId="1325"/>
    <cellStyle name="1_DIEN" xfId="5398"/>
    <cellStyle name="1_DT 2007_phong Gia_chi tiet_QD_UB" xfId="5399"/>
    <cellStyle name="1_DT 2008_Vxa_Ngay 26_12_2007" xfId="5400"/>
    <cellStyle name="1_DT KT ngay 10-9-2005" xfId="5401"/>
    <cellStyle name="1_DT R1 duyet" xfId="5402"/>
    <cellStyle name="1_DT972000" xfId="1326"/>
    <cellStyle name="1_dtCau Km3+429,21TL685" xfId="1327"/>
    <cellStyle name="1_Dtdchinh2397" xfId="1328"/>
    <cellStyle name="1_Dtdchinh2397_Tong hop KH 2014" xfId="1329"/>
    <cellStyle name="1_DTXL goi 11(20-9-05)" xfId="5403"/>
    <cellStyle name="1_Du thau" xfId="1330"/>
    <cellStyle name="1_Du toan (23-05-2005) Tham dinh" xfId="5404"/>
    <cellStyle name="1_Du toan (5 - 04 - 2004)" xfId="5405"/>
    <cellStyle name="1_Du toan (5 - 04 - 2004)_Book1" xfId="5406"/>
    <cellStyle name="1_Du toan 2008_Vanxa_Tuchu_Khong tu chu" xfId="5407"/>
    <cellStyle name="1_Du toan 558 (Km17+508.12 - Km 22)" xfId="1331"/>
    <cellStyle name="1_Du toan 558 (Km17+508.12 - Km 22)_!1 1 bao cao giao KH ve HTCMT vung TNB   12-12-2011" xfId="1332"/>
    <cellStyle name="1_Du toan 558 (Km17+508.12 - Km 22)_Bieu4HTMT" xfId="1333"/>
    <cellStyle name="1_Du toan 558 (Km17+508.12 - Km 22)_Bieu4HTMT_!1 1 bao cao giao KH ve HTCMT vung TNB   12-12-2011" xfId="1334"/>
    <cellStyle name="1_Du toan 558 (Km17+508.12 - Km 22)_Bieu4HTMT_KH TPCP vung TNB (03-1-2012)" xfId="1335"/>
    <cellStyle name="1_Du toan 558 (Km17+508.12 - Km 22)_Book1" xfId="5408"/>
    <cellStyle name="1_Du toan 558 (Km17+508.12 - Km 22)_KH TPCP vung TNB (03-1-2012)" xfId="1336"/>
    <cellStyle name="1_Du toan bo sung (11-2004)" xfId="5409"/>
    <cellStyle name="1_Du toan Goi 1" xfId="5410"/>
    <cellStyle name="1_Du toan Goi 2" xfId="5411"/>
    <cellStyle name="1_Du toan ngay 1-9-2004 (version 1)" xfId="5412"/>
    <cellStyle name="1_Dutoan xuatban" xfId="5413"/>
    <cellStyle name="1_Dutoan xuatbanlan2" xfId="5414"/>
    <cellStyle name="1_Duyet DT-KTTC(GDI)QD so 790" xfId="5415"/>
    <cellStyle name="1_Gia_VLQL48_duyet " xfId="1337"/>
    <cellStyle name="1_Gia_VLQL48_duyet _!1 1 bao cao giao KH ve HTCMT vung TNB   12-12-2011" xfId="1338"/>
    <cellStyle name="1_Gia_VLQL48_duyet _Bieu4HTMT" xfId="1339"/>
    <cellStyle name="1_Gia_VLQL48_duyet _Bieu4HTMT_!1 1 bao cao giao KH ve HTCMT vung TNB   12-12-2011" xfId="1340"/>
    <cellStyle name="1_Gia_VLQL48_duyet _Bieu4HTMT_KH TPCP vung TNB (03-1-2012)" xfId="1341"/>
    <cellStyle name="1_Gia_VLQL48_duyet _Book1" xfId="5416"/>
    <cellStyle name="1_Gia_VLQL48_duyet _KH TPCP vung TNB (03-1-2012)" xfId="1342"/>
    <cellStyle name="1_GIA-DUTHAUsuaNS" xfId="1343"/>
    <cellStyle name="1_GIA-DUTHAUsuaNS 2" xfId="1344"/>
    <cellStyle name="1_GIA-DUTHAUsuaNS 3" xfId="1345"/>
    <cellStyle name="1_goi 1" xfId="5417"/>
    <cellStyle name="1_Goi 1 (TT04)" xfId="5418"/>
    <cellStyle name="1_Goi1N206" xfId="5419"/>
    <cellStyle name="1_Goi2N206" xfId="5420"/>
    <cellStyle name="1_Goi4N216" xfId="5421"/>
    <cellStyle name="1_Goi5N216" xfId="5422"/>
    <cellStyle name="1_Hoi Song" xfId="5423"/>
    <cellStyle name="1_KH 2010-bieu 6" xfId="1346"/>
    <cellStyle name="1_Kh ql62 (2010) 11-09" xfId="1347"/>
    <cellStyle name="1_KH TPCP vung TNB (03-1-2012)" xfId="1348"/>
    <cellStyle name="1_Khung 2012" xfId="1349"/>
    <cellStyle name="1_KL km 0-km3+300 dieu chinh 4-2008" xfId="1350"/>
    <cellStyle name="1_KL km 0-km3+300 dieu chinh 4-2008 2" xfId="1351"/>
    <cellStyle name="1_KL km 0-km3+300 dieu chinh 4-2008 3" xfId="1352"/>
    <cellStyle name="1_Kl6-6-05" xfId="5424"/>
    <cellStyle name="1_KLNM 1303" xfId="1353"/>
    <cellStyle name="1_KLNMD" xfId="5425"/>
    <cellStyle name="1_KlQdinhduyet" xfId="1354"/>
    <cellStyle name="1_KlQdinhduyet_!1 1 bao cao giao KH ve HTCMT vung TNB   12-12-2011" xfId="1355"/>
    <cellStyle name="1_KlQdinhduyet_Bieu4HTMT" xfId="1356"/>
    <cellStyle name="1_KlQdinhduyet_Bieu4HTMT_!1 1 bao cao giao KH ve HTCMT vung TNB   12-12-2011" xfId="1357"/>
    <cellStyle name="1_KlQdinhduyet_Bieu4HTMT_KH TPCP vung TNB (03-1-2012)" xfId="1358"/>
    <cellStyle name="1_KlQdinhduyet_Book1" xfId="5426"/>
    <cellStyle name="1_KlQdinhduyet_KH TPCP vung TNB (03-1-2012)" xfId="1359"/>
    <cellStyle name="1_Kltayth" xfId="5427"/>
    <cellStyle name="1_Kluong4-2004" xfId="5428"/>
    <cellStyle name="1_TDT VINH - DUYET (CAU+DUONG)" xfId="5429"/>
    <cellStyle name="1_Thong ke cong" xfId="1360"/>
    <cellStyle name="1_thong ke giao dan sinh" xfId="1361"/>
    <cellStyle name="1_TN - Ho tro khac 2011" xfId="1362"/>
    <cellStyle name="1_Tong hop" xfId="5430"/>
    <cellStyle name="1_TonghopKL_BOY-sual2" xfId="1363"/>
    <cellStyle name="1_TRUNG PMU 5" xfId="1364"/>
    <cellStyle name="1_TT C1 QL7-ql482" xfId="5431"/>
    <cellStyle name="1_ÿÿÿÿÿ" xfId="1365"/>
    <cellStyle name="1_ÿÿÿÿÿ_Bieu tong hop nhu cau ung 2011 da chon loc -Mien nui" xfId="1366"/>
    <cellStyle name="1_ÿÿÿÿÿ_Bieu tong hop nhu cau ung 2011 da chon loc -Mien nui 2" xfId="1367"/>
    <cellStyle name="1_ÿÿÿÿÿ_Book1" xfId="5432"/>
    <cellStyle name="1_ÿÿÿÿÿ_Kh ql62 (2010) 11-09" xfId="1368"/>
    <cellStyle name="1_ÿÿÿÿÿ_Khung 2012" xfId="1369"/>
    <cellStyle name="1_ÿÿÿÿÿ_mau bieu doan giam sat 2010 (version 2)" xfId="1370"/>
    <cellStyle name="1_ÿÿÿÿÿ_tong hop TPCP" xfId="1371"/>
    <cellStyle name="_x0001_1¼„½(" xfId="5433"/>
    <cellStyle name="_x0001_1¼½(" xfId="5434"/>
    <cellStyle name="15" xfId="1372"/>
    <cellStyle name="18" xfId="1373"/>
    <cellStyle name="¹éºÐÀ²_      " xfId="1374"/>
    <cellStyle name="2" xfId="1375"/>
    <cellStyle name="2_7 noi 48 goi C5 9 vi na" xfId="1376"/>
    <cellStyle name="2_Bang tong hop khoi luong" xfId="5435"/>
    <cellStyle name="2_Bieu ke hoach nam 2010" xfId="1377"/>
    <cellStyle name="2_Book1" xfId="1378"/>
    <cellStyle name="2_Book1_1" xfId="1379"/>
    <cellStyle name="2_Book1_1_!1 1 bao cao giao KH ve HTCMT vung TNB   12-12-2011" xfId="1380"/>
    <cellStyle name="2_Book1_1_Bieu4HTMT" xfId="1381"/>
    <cellStyle name="2_Book1_1_Bieu4HTMT_!1 1 bao cao giao KH ve HTCMT vung TNB   12-12-2011" xfId="1382"/>
    <cellStyle name="2_Book1_1_Bieu4HTMT_KH TPCP vung TNB (03-1-2012)" xfId="1383"/>
    <cellStyle name="2_Book1_1_Book1" xfId="5436"/>
    <cellStyle name="2_Book1_1_KH TPCP vung TNB (03-1-2012)" xfId="1384"/>
    <cellStyle name="2_Book1_Bang noi suy KL dao dat da" xfId="5437"/>
    <cellStyle name="2_Book1_Book1" xfId="5438"/>
    <cellStyle name="2_Book1_Book1_1" xfId="5439"/>
    <cellStyle name="2_Book1_PHU BIEU HA TINH 2008 DAY DU1 (THAM KHAO)" xfId="5440"/>
    <cellStyle name="2_Book1_PHU BIEU HA TINH 2008 DAY DU2" xfId="5441"/>
    <cellStyle name="2_Book1_PHU BIEU THU NGHE AN" xfId="5442"/>
    <cellStyle name="2_Book1_Tong hop" xfId="5443"/>
    <cellStyle name="2_Cau Hua Trai (TT 04)" xfId="5444"/>
    <cellStyle name="2_Cau thuy dien Ban La (Cu Anh)" xfId="1385"/>
    <cellStyle name="2_Cau thuy dien Ban La (Cu Anh)_!1 1 bao cao giao KH ve HTCMT vung TNB   12-12-2011" xfId="1386"/>
    <cellStyle name="2_Cau thuy dien Ban La (Cu Anh)_Bieu4HTMT" xfId="1387"/>
    <cellStyle name="2_Cau thuy dien Ban La (Cu Anh)_Bieu4HTMT_!1 1 bao cao giao KH ve HTCMT vung TNB   12-12-2011" xfId="1388"/>
    <cellStyle name="2_Cau thuy dien Ban La (Cu Anh)_Bieu4HTMT_KH TPCP vung TNB (03-1-2012)" xfId="1389"/>
    <cellStyle name="2_Cau thuy dien Ban La (Cu Anh)_Book1" xfId="5445"/>
    <cellStyle name="2_Cau thuy dien Ban La (Cu Anh)_KH TPCP vung TNB (03-1-2012)" xfId="1390"/>
    <cellStyle name="2_DIEN" xfId="5446"/>
    <cellStyle name="2_DT 2007_phong Gia_chi tiet_QD_UB" xfId="5447"/>
    <cellStyle name="2_DT 2008_Vxa_Ngay 26_12_2007" xfId="5448"/>
    <cellStyle name="2_DT KT ngay 10-9-2005" xfId="5449"/>
    <cellStyle name="2_DT R1 duyet" xfId="5450"/>
    <cellStyle name="2_Dtdchinh2397" xfId="1391"/>
    <cellStyle name="2_Dtdchinh2397_Tong hop KH 2014" xfId="1392"/>
    <cellStyle name="2_DTXL goi 11(20-9-05)" xfId="5451"/>
    <cellStyle name="2_Du toan (23-05-2005) Tham dinh" xfId="5452"/>
    <cellStyle name="2_Du toan (5 - 04 - 2004)" xfId="5453"/>
    <cellStyle name="2_Du toan (5 - 04 - 2004)_Book1" xfId="5454"/>
    <cellStyle name="2_Du toan 2008_Vanxa_Tuchu_Khong tu chu" xfId="5455"/>
    <cellStyle name="2_Du toan 558 (Km17+508.12 - Km 22)" xfId="1393"/>
    <cellStyle name="2_Du toan 558 (Km17+508.12 - Km 22)_!1 1 bao cao giao KH ve HTCMT vung TNB   12-12-2011" xfId="1394"/>
    <cellStyle name="2_Du toan 558 (Km17+508.12 - Km 22)_Bieu4HTMT" xfId="1395"/>
    <cellStyle name="2_Du toan 558 (Km17+508.12 - Km 22)_Bieu4HTMT_!1 1 bao cao giao KH ve HTCMT vung TNB   12-12-2011" xfId="1396"/>
    <cellStyle name="2_Du toan 558 (Km17+508.12 - Km 22)_Bieu4HTMT_KH TPCP vung TNB (03-1-2012)" xfId="1397"/>
    <cellStyle name="2_Du toan 558 (Km17+508.12 - Km 22)_Book1" xfId="5456"/>
    <cellStyle name="2_Du toan 558 (Km17+508.12 - Km 22)_KH TPCP vung TNB (03-1-2012)" xfId="1398"/>
    <cellStyle name="2_Du toan bo sung (11-2004)" xfId="5457"/>
    <cellStyle name="2_Du toan Goi 1" xfId="5458"/>
    <cellStyle name="2_Du toan Goi 2" xfId="5459"/>
    <cellStyle name="2_Du toan ngay 1-9-2004 (version 1)" xfId="5460"/>
    <cellStyle name="2_Dutoan xuatban" xfId="5461"/>
    <cellStyle name="2_Dutoan xuatbanlan2" xfId="5462"/>
    <cellStyle name="2_Duyet DT-KTTC(GDI)QD so 790" xfId="5463"/>
    <cellStyle name="2_Gia_VLQL48_duyet " xfId="1399"/>
    <cellStyle name="2_Gia_VLQL48_duyet _!1 1 bao cao giao KH ve HTCMT vung TNB   12-12-2011" xfId="1400"/>
    <cellStyle name="2_Gia_VLQL48_duyet _Bieu4HTMT" xfId="1401"/>
    <cellStyle name="2_Gia_VLQL48_duyet _Bieu4HTMT_!1 1 bao cao giao KH ve HTCMT vung TNB   12-12-2011" xfId="1402"/>
    <cellStyle name="2_Gia_VLQL48_duyet _Bieu4HTMT_KH TPCP vung TNB (03-1-2012)" xfId="1403"/>
    <cellStyle name="2_Gia_VLQL48_duyet _Book1" xfId="5464"/>
    <cellStyle name="2_Gia_VLQL48_duyet _KH TPCP vung TNB (03-1-2012)" xfId="1404"/>
    <cellStyle name="2_goi 1" xfId="5465"/>
    <cellStyle name="2_Goi 1 (TT04)" xfId="5466"/>
    <cellStyle name="2_Goi1N206" xfId="5467"/>
    <cellStyle name="2_Goi2N206" xfId="5468"/>
    <cellStyle name="2_Goi4N216" xfId="5469"/>
    <cellStyle name="2_Goi5N216" xfId="5470"/>
    <cellStyle name="2_Hoi Song" xfId="5471"/>
    <cellStyle name="2_KH 2010-bieu 6" xfId="1405"/>
    <cellStyle name="2_Kl6-6-05" xfId="5472"/>
    <cellStyle name="2_KLNM 1303" xfId="1406"/>
    <cellStyle name="2_KlQdinhduyet" xfId="1407"/>
    <cellStyle name="2_KlQdinhduyet_!1 1 bao cao giao KH ve HTCMT vung TNB   12-12-2011" xfId="1408"/>
    <cellStyle name="2_KlQdinhduyet_Bieu4HTMT" xfId="1409"/>
    <cellStyle name="2_KlQdinhduyet_Bieu4HTMT_!1 1 bao cao giao KH ve HTCMT vung TNB   12-12-2011" xfId="1410"/>
    <cellStyle name="2_KlQdinhduyet_Bieu4HTMT_KH TPCP vung TNB (03-1-2012)" xfId="1411"/>
    <cellStyle name="2_KlQdinhduyet_Book1" xfId="5473"/>
    <cellStyle name="2_KlQdinhduyet_KH TPCP vung TNB (03-1-2012)" xfId="1412"/>
    <cellStyle name="2_Kltayth" xfId="5474"/>
    <cellStyle name="2_Kluong4-2004" xfId="5475"/>
    <cellStyle name="2_TDT VINH - DUYET (CAU+DUONG)" xfId="5476"/>
    <cellStyle name="2_Thong ke cong" xfId="1413"/>
    <cellStyle name="2_thong ke giao dan sinh" xfId="1414"/>
    <cellStyle name="2_Tong hop" xfId="5477"/>
    <cellStyle name="2_TRUNG PMU 5" xfId="1415"/>
    <cellStyle name="2_TT C1 QL7-ql482" xfId="5478"/>
    <cellStyle name="2_ÿÿÿÿÿ" xfId="1416"/>
    <cellStyle name="2_ÿÿÿÿÿ_Bieu tong hop nhu cau ung 2011 da chon loc -Mien nui" xfId="1417"/>
    <cellStyle name="2_ÿÿÿÿÿ_Bieu tong hop nhu cau ung 2011 da chon loc -Mien nui 2" xfId="1418"/>
    <cellStyle name="2_ÿÿÿÿÿ_Book1" xfId="5479"/>
    <cellStyle name="2_ÿÿÿÿÿ_mau bieu doan giam sat 2010 (version 2)" xfId="1419"/>
    <cellStyle name="2_ÿÿÿÿÿ_tong hop TPCP" xfId="1420"/>
    <cellStyle name="20" xfId="5480"/>
    <cellStyle name="20% - Accent1 2" xfId="1421"/>
    <cellStyle name="20% - Accent2 2" xfId="1422"/>
    <cellStyle name="20% - Accent3 2" xfId="1423"/>
    <cellStyle name="20% - Accent4 2" xfId="1424"/>
    <cellStyle name="20% - Accent5 2" xfId="1425"/>
    <cellStyle name="20% - Accent6 2" xfId="1426"/>
    <cellStyle name="20% - Nhấn1" xfId="1427"/>
    <cellStyle name="20% - Nhấn2" xfId="1428"/>
    <cellStyle name="20% - Nhấn3" xfId="1429"/>
    <cellStyle name="20% - Nhấn4" xfId="1430"/>
    <cellStyle name="20% - Nhấn5" xfId="1431"/>
    <cellStyle name="20% - Nhấn6" xfId="1432"/>
    <cellStyle name="-2001" xfId="1433"/>
    <cellStyle name="3" xfId="1434"/>
    <cellStyle name="3_7 noi 48 goi C5 9 vi na" xfId="1435"/>
    <cellStyle name="3_Bang tong hop khoi luong" xfId="5481"/>
    <cellStyle name="3_Bieu ke hoach nam 2010" xfId="1436"/>
    <cellStyle name="3_Book1" xfId="1437"/>
    <cellStyle name="3_Book1_1" xfId="1438"/>
    <cellStyle name="3_Book1_1_!1 1 bao cao giao KH ve HTCMT vung TNB   12-12-2011" xfId="1439"/>
    <cellStyle name="3_Book1_1_Bieu4HTMT" xfId="1440"/>
    <cellStyle name="3_Book1_1_Bieu4HTMT_!1 1 bao cao giao KH ve HTCMT vung TNB   12-12-2011" xfId="1441"/>
    <cellStyle name="3_Book1_1_Bieu4HTMT_KH TPCP vung TNB (03-1-2012)" xfId="1442"/>
    <cellStyle name="3_Book1_1_Book1" xfId="5482"/>
    <cellStyle name="3_Book1_1_KH TPCP vung TNB (03-1-2012)" xfId="1443"/>
    <cellStyle name="3_Book1_Bang noi suy KL dao dat da" xfId="5483"/>
    <cellStyle name="3_Book1_Book1" xfId="5484"/>
    <cellStyle name="3_Book1_Book1_1" xfId="5485"/>
    <cellStyle name="3_Book1_PHU BIEU HA TINH 2008 DAY DU1 (THAM KHAO)" xfId="5486"/>
    <cellStyle name="3_Book1_PHU BIEU HA TINH 2008 DAY DU2" xfId="5487"/>
    <cellStyle name="3_Book1_PHU BIEU THU NGHE AN" xfId="5488"/>
    <cellStyle name="3_Book1_Tong hop" xfId="5489"/>
    <cellStyle name="3_Cau Hua Trai (TT 04)" xfId="5490"/>
    <cellStyle name="3_Cau thuy dien Ban La (Cu Anh)" xfId="1444"/>
    <cellStyle name="3_Cau thuy dien Ban La (Cu Anh)_!1 1 bao cao giao KH ve HTCMT vung TNB   12-12-2011" xfId="1445"/>
    <cellStyle name="3_Cau thuy dien Ban La (Cu Anh)_Bieu4HTMT" xfId="1446"/>
    <cellStyle name="3_Cau thuy dien Ban La (Cu Anh)_Bieu4HTMT_!1 1 bao cao giao KH ve HTCMT vung TNB   12-12-2011" xfId="1447"/>
    <cellStyle name="3_Cau thuy dien Ban La (Cu Anh)_Bieu4HTMT_KH TPCP vung TNB (03-1-2012)" xfId="1448"/>
    <cellStyle name="3_Cau thuy dien Ban La (Cu Anh)_Book1" xfId="5491"/>
    <cellStyle name="3_Cau thuy dien Ban La (Cu Anh)_KH TPCP vung TNB (03-1-2012)" xfId="1449"/>
    <cellStyle name="3_DIEN" xfId="5492"/>
    <cellStyle name="3_DT 2007_phong Gia_chi tiet_QD_UB" xfId="5493"/>
    <cellStyle name="3_DT 2008_Vxa_Ngay 26_12_2007" xfId="5494"/>
    <cellStyle name="3_DT KT ngay 10-9-2005" xfId="5495"/>
    <cellStyle name="3_DT R1 duyet" xfId="5496"/>
    <cellStyle name="3_Dtdchinh2397" xfId="1450"/>
    <cellStyle name="3_Dtdchinh2397_Tong hop KH 2014" xfId="1451"/>
    <cellStyle name="3_DTXL goi 11(20-9-05)" xfId="5497"/>
    <cellStyle name="3_Du toan (23-05-2005) Tham dinh" xfId="5498"/>
    <cellStyle name="3_Du toan (5 - 04 - 2004)" xfId="5499"/>
    <cellStyle name="3_Du toan (5 - 04 - 2004)_Book1" xfId="5500"/>
    <cellStyle name="3_Du toan 2008_Vanxa_Tuchu_Khong tu chu" xfId="5501"/>
    <cellStyle name="3_Du toan 558 (Km17+508.12 - Km 22)" xfId="1452"/>
    <cellStyle name="3_Du toan 558 (Km17+508.12 - Km 22)_!1 1 bao cao giao KH ve HTCMT vung TNB   12-12-2011" xfId="1453"/>
    <cellStyle name="3_Du toan 558 (Km17+508.12 - Km 22)_Bieu4HTMT" xfId="1454"/>
    <cellStyle name="3_Du toan 558 (Km17+508.12 - Km 22)_Bieu4HTMT_!1 1 bao cao giao KH ve HTCMT vung TNB   12-12-2011" xfId="1455"/>
    <cellStyle name="3_Du toan 558 (Km17+508.12 - Km 22)_Bieu4HTMT_KH TPCP vung TNB (03-1-2012)" xfId="1456"/>
    <cellStyle name="3_Du toan 558 (Km17+508.12 - Km 22)_Book1" xfId="5502"/>
    <cellStyle name="3_Du toan 558 (Km17+508.12 - Km 22)_KH TPCP vung TNB (03-1-2012)" xfId="1457"/>
    <cellStyle name="3_Du toan bo sung (11-2004)" xfId="5503"/>
    <cellStyle name="3_Du toan Goi 1" xfId="5504"/>
    <cellStyle name="3_Du toan Goi 2" xfId="5505"/>
    <cellStyle name="3_Du toan ngay 1-9-2004 (version 1)" xfId="5506"/>
    <cellStyle name="3_Dutoan xuatban" xfId="5507"/>
    <cellStyle name="3_Dutoan xuatbanlan2" xfId="5508"/>
    <cellStyle name="3_Duyet DT-KTTC(GDI)QD so 790" xfId="5509"/>
    <cellStyle name="3_Gia_VLQL48_duyet " xfId="1458"/>
    <cellStyle name="3_Gia_VLQL48_duyet _!1 1 bao cao giao KH ve HTCMT vung TNB   12-12-2011" xfId="1459"/>
    <cellStyle name="3_Gia_VLQL48_duyet _Bieu4HTMT" xfId="1460"/>
    <cellStyle name="3_Gia_VLQL48_duyet _Bieu4HTMT_!1 1 bao cao giao KH ve HTCMT vung TNB   12-12-2011" xfId="1461"/>
    <cellStyle name="3_Gia_VLQL48_duyet _Bieu4HTMT_KH TPCP vung TNB (03-1-2012)" xfId="1462"/>
    <cellStyle name="3_Gia_VLQL48_duyet _Book1" xfId="5510"/>
    <cellStyle name="3_Gia_VLQL48_duyet _KH TPCP vung TNB (03-1-2012)" xfId="1463"/>
    <cellStyle name="3_goi 1" xfId="5511"/>
    <cellStyle name="3_Goi 1 (TT04)" xfId="5512"/>
    <cellStyle name="3_Goi1N206" xfId="5513"/>
    <cellStyle name="3_Goi2N206" xfId="5514"/>
    <cellStyle name="3_Goi4N216" xfId="5515"/>
    <cellStyle name="3_Goi5N216" xfId="5516"/>
    <cellStyle name="3_Hoi Song" xfId="5517"/>
    <cellStyle name="3_KH 2010-bieu 6" xfId="1464"/>
    <cellStyle name="3_Kl6-6-05" xfId="5518"/>
    <cellStyle name="3_KLNM 1303" xfId="1465"/>
    <cellStyle name="3_KlQdinhduyet" xfId="1466"/>
    <cellStyle name="3_KlQdinhduyet_!1 1 bao cao giao KH ve HTCMT vung TNB   12-12-2011" xfId="1467"/>
    <cellStyle name="3_KlQdinhduyet_Bieu4HTMT" xfId="1468"/>
    <cellStyle name="3_KlQdinhduyet_Bieu4HTMT_!1 1 bao cao giao KH ve HTCMT vung TNB   12-12-2011" xfId="1469"/>
    <cellStyle name="3_KlQdinhduyet_Bieu4HTMT_KH TPCP vung TNB (03-1-2012)" xfId="1470"/>
    <cellStyle name="3_KlQdinhduyet_Book1" xfId="5519"/>
    <cellStyle name="3_KlQdinhduyet_KH TPCP vung TNB (03-1-2012)" xfId="1471"/>
    <cellStyle name="3_Kltayth" xfId="5520"/>
    <cellStyle name="3_Kluong4-2004" xfId="5521"/>
    <cellStyle name="3_TDT VINH - DUYET (CAU+DUONG)" xfId="5522"/>
    <cellStyle name="3_Thong ke cong" xfId="1472"/>
    <cellStyle name="3_thong ke giao dan sinh" xfId="1473"/>
    <cellStyle name="3_Tong hop" xfId="5523"/>
    <cellStyle name="3_TT C1 QL7-ql482" xfId="5524"/>
    <cellStyle name="3_ÿÿÿÿÿ" xfId="1474"/>
    <cellStyle name="4" xfId="1475"/>
    <cellStyle name="4_7 noi 48 goi C5 9 vi na" xfId="1476"/>
    <cellStyle name="4_Bang tong hop khoi luong" xfId="5525"/>
    <cellStyle name="4_Book1" xfId="1477"/>
    <cellStyle name="4_Book1_1" xfId="1478"/>
    <cellStyle name="4_Book1_1_!1 1 bao cao giao KH ve HTCMT vung TNB   12-12-2011" xfId="1479"/>
    <cellStyle name="4_Book1_1_Bieu4HTMT" xfId="1480"/>
    <cellStyle name="4_Book1_1_Bieu4HTMT_!1 1 bao cao giao KH ve HTCMT vung TNB   12-12-2011" xfId="1481"/>
    <cellStyle name="4_Book1_1_Bieu4HTMT_KH TPCP vung TNB (03-1-2012)" xfId="1482"/>
    <cellStyle name="4_Book1_1_Book1" xfId="5526"/>
    <cellStyle name="4_Book1_1_KH TPCP vung TNB (03-1-2012)" xfId="1483"/>
    <cellStyle name="4_Book1_Bang noi suy KL dao dat da" xfId="5527"/>
    <cellStyle name="4_Book1_Book1" xfId="5528"/>
    <cellStyle name="4_Book1_Book1_1" xfId="5529"/>
    <cellStyle name="4_Book1_PHU BIEU HA TINH 2008 DAY DU1 (THAM KHAO)" xfId="5530"/>
    <cellStyle name="4_Book1_PHU BIEU HA TINH 2008 DAY DU2" xfId="5531"/>
    <cellStyle name="4_Book1_PHU BIEU THU NGHE AN" xfId="5532"/>
    <cellStyle name="4_Book1_Tong hop" xfId="5533"/>
    <cellStyle name="4_Cau Hua Trai (TT 04)" xfId="5534"/>
    <cellStyle name="4_Cau thuy dien Ban La (Cu Anh)" xfId="1484"/>
    <cellStyle name="4_Cau thuy dien Ban La (Cu Anh)_!1 1 bao cao giao KH ve HTCMT vung TNB   12-12-2011" xfId="1485"/>
    <cellStyle name="4_Cau thuy dien Ban La (Cu Anh)_Bieu4HTMT" xfId="1486"/>
    <cellStyle name="4_Cau thuy dien Ban La (Cu Anh)_Bieu4HTMT_!1 1 bao cao giao KH ve HTCMT vung TNB   12-12-2011" xfId="1487"/>
    <cellStyle name="4_Cau thuy dien Ban La (Cu Anh)_Bieu4HTMT_KH TPCP vung TNB (03-1-2012)" xfId="1488"/>
    <cellStyle name="4_Cau thuy dien Ban La (Cu Anh)_Book1" xfId="5535"/>
    <cellStyle name="4_Cau thuy dien Ban La (Cu Anh)_KH TPCP vung TNB (03-1-2012)" xfId="1489"/>
    <cellStyle name="4_DIEN" xfId="5536"/>
    <cellStyle name="4_DT 2007_phong Gia_chi tiet_QD_UB" xfId="5537"/>
    <cellStyle name="4_DT 2008_Vxa_Ngay 26_12_2007" xfId="5538"/>
    <cellStyle name="4_DT KT ngay 10-9-2005" xfId="5539"/>
    <cellStyle name="4_DT R1 duyet" xfId="5540"/>
    <cellStyle name="4_Dtdchinh2397" xfId="1490"/>
    <cellStyle name="4_Dtdchinh2397_Tong hop KH 2014" xfId="1491"/>
    <cellStyle name="4_DTXL goi 11(20-9-05)" xfId="5541"/>
    <cellStyle name="4_Du toan (23-05-2005) Tham dinh" xfId="5542"/>
    <cellStyle name="4_Du toan (5 - 04 - 2004)" xfId="5543"/>
    <cellStyle name="4_Du toan (5 - 04 - 2004)_Book1" xfId="5544"/>
    <cellStyle name="4_Du toan 2008_Vanxa_Tuchu_Khong tu chu" xfId="5545"/>
    <cellStyle name="4_Du toan 558 (Km17+508.12 - Km 22)" xfId="1492"/>
    <cellStyle name="4_Du toan 558 (Km17+508.12 - Km 22)_!1 1 bao cao giao KH ve HTCMT vung TNB   12-12-2011" xfId="1493"/>
    <cellStyle name="4_Du toan 558 (Km17+508.12 - Km 22)_Bieu4HTMT" xfId="1494"/>
    <cellStyle name="4_Du toan 558 (Km17+508.12 - Km 22)_Bieu4HTMT_!1 1 bao cao giao KH ve HTCMT vung TNB   12-12-2011" xfId="1495"/>
    <cellStyle name="4_Du toan 558 (Km17+508.12 - Km 22)_Bieu4HTMT_KH TPCP vung TNB (03-1-2012)" xfId="1496"/>
    <cellStyle name="4_Du toan 558 (Km17+508.12 - Km 22)_Book1" xfId="5546"/>
    <cellStyle name="4_Du toan 558 (Km17+508.12 - Km 22)_KH TPCP vung TNB (03-1-2012)" xfId="1497"/>
    <cellStyle name="4_Du toan bo sung (11-2004)" xfId="5547"/>
    <cellStyle name="4_Du toan Goi 1" xfId="5548"/>
    <cellStyle name="4_Du toan Goi 2" xfId="5549"/>
    <cellStyle name="4_Du toan ngay 1-9-2004 (version 1)" xfId="5550"/>
    <cellStyle name="4_Dutoan xuatban" xfId="5551"/>
    <cellStyle name="4_Dutoan xuatbanlan2" xfId="5552"/>
    <cellStyle name="4_Duyet DT-KTTC(GDI)QD so 790" xfId="5553"/>
    <cellStyle name="4_Gia_VLQL48_duyet " xfId="1498"/>
    <cellStyle name="4_Gia_VLQL48_duyet _!1 1 bao cao giao KH ve HTCMT vung TNB   12-12-2011" xfId="1499"/>
    <cellStyle name="4_Gia_VLQL48_duyet _Bieu4HTMT" xfId="1500"/>
    <cellStyle name="4_Gia_VLQL48_duyet _Bieu4HTMT_!1 1 bao cao giao KH ve HTCMT vung TNB   12-12-2011" xfId="1501"/>
    <cellStyle name="4_Gia_VLQL48_duyet _Bieu4HTMT_KH TPCP vung TNB (03-1-2012)" xfId="1502"/>
    <cellStyle name="4_Gia_VLQL48_duyet _Book1" xfId="5554"/>
    <cellStyle name="4_Gia_VLQL48_duyet _KH TPCP vung TNB (03-1-2012)" xfId="1503"/>
    <cellStyle name="4_goi 1" xfId="5555"/>
    <cellStyle name="4_Goi 1 (TT04)" xfId="5556"/>
    <cellStyle name="4_Goi1N206" xfId="5557"/>
    <cellStyle name="4_Goi2N206" xfId="5558"/>
    <cellStyle name="4_Goi4N216" xfId="5559"/>
    <cellStyle name="4_Goi5N216" xfId="5560"/>
    <cellStyle name="4_Hoi Song" xfId="5561"/>
    <cellStyle name="4_Kl6-6-05" xfId="5562"/>
    <cellStyle name="4_KLNM 1303" xfId="1504"/>
    <cellStyle name="4_KlQdinhduyet" xfId="1505"/>
    <cellStyle name="4_KlQdinhduyet_!1 1 bao cao giao KH ve HTCMT vung TNB   12-12-2011" xfId="1506"/>
    <cellStyle name="4_KlQdinhduyet_Bieu4HTMT" xfId="1507"/>
    <cellStyle name="4_KlQdinhduyet_Bieu4HTMT_!1 1 bao cao giao KH ve HTCMT vung TNB   12-12-2011" xfId="1508"/>
    <cellStyle name="4_KlQdinhduyet_Bieu4HTMT_KH TPCP vung TNB (03-1-2012)" xfId="1509"/>
    <cellStyle name="4_KlQdinhduyet_Book1" xfId="5563"/>
    <cellStyle name="4_KlQdinhduyet_KH TPCP vung TNB (03-1-2012)" xfId="1510"/>
    <cellStyle name="4_Kltayth" xfId="5564"/>
    <cellStyle name="4_Kluong4-2004" xfId="5565"/>
    <cellStyle name="4_TDT VINH - DUYET (CAU+DUONG)" xfId="5566"/>
    <cellStyle name="4_Thong ke cong" xfId="1511"/>
    <cellStyle name="4_thong ke giao dan sinh" xfId="1512"/>
    <cellStyle name="4_Tong hop" xfId="5567"/>
    <cellStyle name="4_TT C1 QL7-ql482" xfId="5568"/>
    <cellStyle name="4_ÿÿÿÿÿ" xfId="1513"/>
    <cellStyle name="40% - Accent1 2" xfId="1514"/>
    <cellStyle name="40% - Accent2 2" xfId="1515"/>
    <cellStyle name="40% - Accent3 2" xfId="1516"/>
    <cellStyle name="40% - Accent4 2" xfId="1517"/>
    <cellStyle name="40% - Accent5 2" xfId="1518"/>
    <cellStyle name="40% - Accent6 2" xfId="1519"/>
    <cellStyle name="40% - Nhấn1" xfId="1520"/>
    <cellStyle name="40% - Nhấn2" xfId="1521"/>
    <cellStyle name="40% - Nhấn3" xfId="1522"/>
    <cellStyle name="40% - Nhấn4" xfId="1523"/>
    <cellStyle name="40% - Nhấn5" xfId="1524"/>
    <cellStyle name="40% - Nhấn6" xfId="1525"/>
    <cellStyle name="52" xfId="1526"/>
    <cellStyle name="6" xfId="1527"/>
    <cellStyle name="6_15_10_2013 BC nhu cau von doi ung ODA (2014-2016) ngay 15102013 Sua" xfId="1528"/>
    <cellStyle name="6_BC nhu cau von doi ung ODA nganh NN (BKH)" xfId="1529"/>
    <cellStyle name="6_BC nhu cau von doi ung ODA nganh NN (BKH)_05-12  KH trung han 2016-2020 - Liem Thinh edited" xfId="1530"/>
    <cellStyle name="6_BC nhu cau von doi ung ODA nganh NN (BKH)_Copy of 05-12  KH trung han 2016-2020 - Liem Thinh edited (1)" xfId="1531"/>
    <cellStyle name="6_BC Tai co cau (bieu TH)" xfId="1532"/>
    <cellStyle name="6_BC Tai co cau (bieu TH)_05-12  KH trung han 2016-2020 - Liem Thinh edited" xfId="1533"/>
    <cellStyle name="6_BC Tai co cau (bieu TH)_Copy of 05-12  KH trung han 2016-2020 - Liem Thinh edited (1)" xfId="1534"/>
    <cellStyle name="6_Bieu mau ung 2011-Mien Trung-TPCP-11-6" xfId="1535"/>
    <cellStyle name="6_Bieu mau ung 2011-Mien Trung-TPCP-11-6_Tong hop KH 2014" xfId="1536"/>
    <cellStyle name="6_BKH (TPCP) tháng 5.2010_Quang Nam" xfId="1537"/>
    <cellStyle name="6_Book1" xfId="5569"/>
    <cellStyle name="6_Cong trinh co y kien LD_Dang_NN_2011-Tay nguyen-9-10" xfId="1538"/>
    <cellStyle name="6_Cong trinh co y kien LD_Dang_NN_2011-Tay nguyen-9-10_!1 1 bao cao giao KH ve HTCMT vung TNB   12-12-2011" xfId="1539"/>
    <cellStyle name="6_Cong trinh co y kien LD_Dang_NN_2011-Tay nguyen-9-10_Bieu4HTMT" xfId="1540"/>
    <cellStyle name="6_Cong trinh co y kien LD_Dang_NN_2011-Tay nguyen-9-10_Bieu4HTMT_!1 1 bao cao giao KH ve HTCMT vung TNB   12-12-2011" xfId="1541"/>
    <cellStyle name="6_Cong trinh co y kien LD_Dang_NN_2011-Tay nguyen-9-10_Bieu4HTMT_KH TPCP vung TNB (03-1-2012)" xfId="1542"/>
    <cellStyle name="6_Cong trinh co y kien LD_Dang_NN_2011-Tay nguyen-9-10_KH TPCP vung TNB (03-1-2012)" xfId="1543"/>
    <cellStyle name="6_Copy of ghep 3 bieu trinh LD BO 28-6 (TPCP)" xfId="1544"/>
    <cellStyle name="6_Copy of ghep 3 bieu trinh LD BO 28-6 (TPCP)_Tong hop KH 2014" xfId="1545"/>
    <cellStyle name="6_DK 2014-2015 final" xfId="1546"/>
    <cellStyle name="6_DK 2014-2015 final_05-12  KH trung han 2016-2020 - Liem Thinh edited" xfId="1547"/>
    <cellStyle name="6_DK 2014-2015 final_Copy of 05-12  KH trung han 2016-2020 - Liem Thinh edited (1)" xfId="1548"/>
    <cellStyle name="6_DK 2014-2015 new" xfId="1549"/>
    <cellStyle name="6_DK 2014-2015 new_05-12  KH trung han 2016-2020 - Liem Thinh edited" xfId="1550"/>
    <cellStyle name="6_DK 2014-2015 new_Copy of 05-12  KH trung han 2016-2020 - Liem Thinh edited (1)" xfId="1551"/>
    <cellStyle name="6_DK KH CBDT 2014 11-11-2013" xfId="1552"/>
    <cellStyle name="6_DK KH CBDT 2014 11-11-2013(1)" xfId="1553"/>
    <cellStyle name="6_DK KH CBDT 2014 11-11-2013(1)_05-12  KH trung han 2016-2020 - Liem Thinh edited" xfId="1554"/>
    <cellStyle name="6_DK KH CBDT 2014 11-11-2013(1)_Copy of 05-12  KH trung han 2016-2020 - Liem Thinh edited (1)" xfId="1555"/>
    <cellStyle name="6_DK KH CBDT 2014 11-11-2013_05-12  KH trung han 2016-2020 - Liem Thinh edited" xfId="1556"/>
    <cellStyle name="6_DK KH CBDT 2014 11-11-2013_Copy of 05-12  KH trung han 2016-2020 - Liem Thinh edited (1)" xfId="1557"/>
    <cellStyle name="6_DTDuong dong tien -sua tham tra 2009 - luong 650" xfId="1558"/>
    <cellStyle name="6_DTDuong dong tien -sua tham tra 2009 - luong 650_Tong hop KH 2014" xfId="1559"/>
    <cellStyle name="6_KH 2011-2015" xfId="1560"/>
    <cellStyle name="6_Nhu cau tam ung NSNN&amp;TPCP&amp;ODA theo tieu chi cua Bo (CV410_BKH-TH)_vung Tay Nguyen (11.6.2010)" xfId="1561"/>
    <cellStyle name="6_Nhu cau tam ung NSNN&amp;TPCP&amp;ODA theo tieu chi cua Bo (CV410_BKH-TH)_vung Tay Nguyen (11.6.2010)_Tong hop KH 2014" xfId="1562"/>
    <cellStyle name="6_tai co cau dau tu (tong hop)1" xfId="1563"/>
    <cellStyle name="6_thanh toan cau tran (dot 7)-" xfId="5570"/>
    <cellStyle name="6_thanh_toan_cau_tran_dot_12" xfId="5571"/>
    <cellStyle name="6_thanh_toandot_14" xfId="5572"/>
    <cellStyle name="6_TN - Ho tro khac 2011" xfId="1564"/>
    <cellStyle name="6_TN - Ho tro khac 2011_!1 1 bao cao giao KH ve HTCMT vung TNB   12-12-2011" xfId="1565"/>
    <cellStyle name="6_TN - Ho tro khac 2011_Bieu4HTMT" xfId="1566"/>
    <cellStyle name="6_TN - Ho tro khac 2011_Bieu4HTMT_!1 1 bao cao giao KH ve HTCMT vung TNB   12-12-2011" xfId="1567"/>
    <cellStyle name="6_TN - Ho tro khac 2011_Bieu4HTMT_KH TPCP vung TNB (03-1-2012)" xfId="1568"/>
    <cellStyle name="6_TN - Ho tro khac 2011_KH TPCP vung TNB (03-1-2012)" xfId="1569"/>
    <cellStyle name="6_Tong hop KH 2014" xfId="1570"/>
    <cellStyle name="60% - Accent1 2" xfId="1571"/>
    <cellStyle name="60% - Accent2 2" xfId="1572"/>
    <cellStyle name="60% - Accent3 2" xfId="1573"/>
    <cellStyle name="60% - Accent4 2" xfId="1574"/>
    <cellStyle name="60% - Accent5 2" xfId="1575"/>
    <cellStyle name="60% - Accent6 2" xfId="1576"/>
    <cellStyle name="60% - Nhấn1" xfId="1577"/>
    <cellStyle name="60% - Nhấn2" xfId="1578"/>
    <cellStyle name="60% - Nhấn3" xfId="1579"/>
    <cellStyle name="60% - Nhấn4" xfId="1580"/>
    <cellStyle name="60% - Nhấn5" xfId="1581"/>
    <cellStyle name="60% - Nhấn6" xfId="1582"/>
    <cellStyle name="9" xfId="1583"/>
    <cellStyle name="9_!1 1 bao cao giao KH ve HTCMT vung TNB   12-12-2011" xfId="1584"/>
    <cellStyle name="9_Bieu4HTMT" xfId="1585"/>
    <cellStyle name="9_Bieu4HTMT_!1 1 bao cao giao KH ve HTCMT vung TNB   12-12-2011" xfId="1586"/>
    <cellStyle name="9_Bieu4HTMT_KH TPCP vung TNB (03-1-2012)" xfId="1587"/>
    <cellStyle name="9_KH TPCP vung TNB (03-1-2012)" xfId="1588"/>
    <cellStyle name="_x0001_Å»_x001e_´ " xfId="5573"/>
    <cellStyle name="_x0001_Å»_x001e_´_" xfId="5574"/>
    <cellStyle name="Accent1 2" xfId="1589"/>
    <cellStyle name="Accent2 2" xfId="1590"/>
    <cellStyle name="Accent3 2" xfId="1591"/>
    <cellStyle name="Accent4 2" xfId="1592"/>
    <cellStyle name="Accent5 2" xfId="1593"/>
    <cellStyle name="Accent6 2" xfId="1594"/>
    <cellStyle name="ÅëÈ­ [0]_      " xfId="1595"/>
    <cellStyle name="AeE­ [0]_INQUIRY ¿?¾÷AßAø " xfId="1596"/>
    <cellStyle name="ÅëÈ­ [0]_L601CPT" xfId="1597"/>
    <cellStyle name="ÅëÈ­_      " xfId="1598"/>
    <cellStyle name="AeE­_INQUIRY ¿?¾÷AßAø " xfId="1599"/>
    <cellStyle name="ÅëÈ­_L601CPT" xfId="1600"/>
    <cellStyle name="args.style" xfId="1601"/>
    <cellStyle name="args.style 2" xfId="1602"/>
    <cellStyle name="at" xfId="1603"/>
    <cellStyle name="ÄÞ¸¶ [0]_      " xfId="1604"/>
    <cellStyle name="AÞ¸¶ [0]_INQUIRY ¿?¾÷AßAø " xfId="9"/>
    <cellStyle name="ÄÞ¸¶ [0]_L601CPT" xfId="1605"/>
    <cellStyle name="ÄÞ¸¶_      " xfId="1606"/>
    <cellStyle name="AÞ¸¶_INQUIRY ¿?¾÷AßAø " xfId="10"/>
    <cellStyle name="ÄÞ¸¶_L601CPT" xfId="1607"/>
    <cellStyle name="AutoFormat Options" xfId="1608"/>
    <cellStyle name="AutoFormat Options 2" xfId="1609"/>
    <cellStyle name="Bad 2" xfId="1610"/>
    <cellStyle name="Body" xfId="1611"/>
    <cellStyle name="C?AØ_¿?¾÷CoE² " xfId="11"/>
    <cellStyle name="C~1" xfId="1612"/>
    <cellStyle name="Ç¥ÁØ_      " xfId="1613"/>
    <cellStyle name="C￥AØ_¿μ¾÷CoE² " xfId="12"/>
    <cellStyle name="Ç¥ÁØ_±¸¹Ì´ëÃ¥" xfId="1614"/>
    <cellStyle name="C￥AØ_Sheet1_¿μ¾÷CoE² " xfId="1615"/>
    <cellStyle name="Ç¥ÁØ_ÿÿÿÿÿÿ_4_ÃÑÇÕ°è " xfId="1616"/>
    <cellStyle name="Calc Currency (0)" xfId="1617"/>
    <cellStyle name="Calc Currency (0) 2" xfId="1618"/>
    <cellStyle name="Calc Currency (0) 3" xfId="5575"/>
    <cellStyle name="Calc Currency (0) 4" xfId="5576"/>
    <cellStyle name="Calc Currency (0) 5" xfId="5577"/>
    <cellStyle name="Calc Currency (0) 6" xfId="5578"/>
    <cellStyle name="Calc Currency (0) 7" xfId="5579"/>
    <cellStyle name="Calc Currency (0) 8" xfId="5580"/>
    <cellStyle name="Calc Currency (0)_Bien ban" xfId="5581"/>
    <cellStyle name="Calc Currency (2)" xfId="1619"/>
    <cellStyle name="Calc Currency (2) 10" xfId="1620"/>
    <cellStyle name="Calc Currency (2) 11" xfId="1621"/>
    <cellStyle name="Calc Currency (2) 12" xfId="1622"/>
    <cellStyle name="Calc Currency (2) 13" xfId="1623"/>
    <cellStyle name="Calc Currency (2) 14" xfId="1624"/>
    <cellStyle name="Calc Currency (2) 15" xfId="1625"/>
    <cellStyle name="Calc Currency (2) 16" xfId="1626"/>
    <cellStyle name="Calc Currency (2) 2" xfId="1627"/>
    <cellStyle name="Calc Currency (2) 3" xfId="1628"/>
    <cellStyle name="Calc Currency (2) 4" xfId="1629"/>
    <cellStyle name="Calc Currency (2) 5" xfId="1630"/>
    <cellStyle name="Calc Currency (2) 6" xfId="1631"/>
    <cellStyle name="Calc Currency (2) 7" xfId="1632"/>
    <cellStyle name="Calc Currency (2) 8" xfId="1633"/>
    <cellStyle name="Calc Currency (2) 9" xfId="1634"/>
    <cellStyle name="Calc Percent (0)" xfId="1635"/>
    <cellStyle name="Calc Percent (0) 10" xfId="1636"/>
    <cellStyle name="Calc Percent (0) 11" xfId="1637"/>
    <cellStyle name="Calc Percent (0) 12" xfId="1638"/>
    <cellStyle name="Calc Percent (0) 13" xfId="1639"/>
    <cellStyle name="Calc Percent (0) 14" xfId="1640"/>
    <cellStyle name="Calc Percent (0) 15" xfId="1641"/>
    <cellStyle name="Calc Percent (0) 16" xfId="1642"/>
    <cellStyle name="Calc Percent (0) 2" xfId="1643"/>
    <cellStyle name="Calc Percent (0) 3" xfId="1644"/>
    <cellStyle name="Calc Percent (0) 4" xfId="1645"/>
    <cellStyle name="Calc Percent (0) 5" xfId="1646"/>
    <cellStyle name="Calc Percent (0) 6" xfId="1647"/>
    <cellStyle name="Calc Percent (0) 7" xfId="1648"/>
    <cellStyle name="Calc Percent (0) 8" xfId="1649"/>
    <cellStyle name="Calc Percent (0) 9" xfId="1650"/>
    <cellStyle name="Calc Percent (1)" xfId="1651"/>
    <cellStyle name="Calc Percent (1) 10" xfId="1652"/>
    <cellStyle name="Calc Percent (1) 11" xfId="1653"/>
    <cellStyle name="Calc Percent (1) 12" xfId="1654"/>
    <cellStyle name="Calc Percent (1) 13" xfId="1655"/>
    <cellStyle name="Calc Percent (1) 14" xfId="1656"/>
    <cellStyle name="Calc Percent (1) 15" xfId="1657"/>
    <cellStyle name="Calc Percent (1) 16" xfId="1658"/>
    <cellStyle name="Calc Percent (1) 2" xfId="1659"/>
    <cellStyle name="Calc Percent (1) 3" xfId="1660"/>
    <cellStyle name="Calc Percent (1) 4" xfId="1661"/>
    <cellStyle name="Calc Percent (1) 5" xfId="1662"/>
    <cellStyle name="Calc Percent (1) 6" xfId="1663"/>
    <cellStyle name="Calc Percent (1) 7" xfId="1664"/>
    <cellStyle name="Calc Percent (1) 8" xfId="1665"/>
    <cellStyle name="Calc Percent (1) 9" xfId="1666"/>
    <cellStyle name="Calc Percent (2)" xfId="1667"/>
    <cellStyle name="Calc Percent (2) 10" xfId="1668"/>
    <cellStyle name="Calc Percent (2) 11" xfId="1669"/>
    <cellStyle name="Calc Percent (2) 12" xfId="1670"/>
    <cellStyle name="Calc Percent (2) 13" xfId="1671"/>
    <cellStyle name="Calc Percent (2) 14" xfId="1672"/>
    <cellStyle name="Calc Percent (2) 15" xfId="1673"/>
    <cellStyle name="Calc Percent (2) 16" xfId="1674"/>
    <cellStyle name="Calc Percent (2) 2" xfId="1675"/>
    <cellStyle name="Calc Percent (2) 3" xfId="1676"/>
    <cellStyle name="Calc Percent (2) 4" xfId="1677"/>
    <cellStyle name="Calc Percent (2) 5" xfId="1678"/>
    <cellStyle name="Calc Percent (2) 6" xfId="1679"/>
    <cellStyle name="Calc Percent (2) 7" xfId="1680"/>
    <cellStyle name="Calc Percent (2) 8" xfId="1681"/>
    <cellStyle name="Calc Percent (2) 9" xfId="1682"/>
    <cellStyle name="Calc Units (0)" xfId="1683"/>
    <cellStyle name="Calc Units (0) 10" xfId="1684"/>
    <cellStyle name="Calc Units (0) 11" xfId="1685"/>
    <cellStyle name="Calc Units (0) 12" xfId="1686"/>
    <cellStyle name="Calc Units (0) 13" xfId="1687"/>
    <cellStyle name="Calc Units (0) 14" xfId="1688"/>
    <cellStyle name="Calc Units (0) 15" xfId="1689"/>
    <cellStyle name="Calc Units (0) 16" xfId="1690"/>
    <cellStyle name="Calc Units (0) 2" xfId="1691"/>
    <cellStyle name="Calc Units (0) 3" xfId="1692"/>
    <cellStyle name="Calc Units (0) 4" xfId="1693"/>
    <cellStyle name="Calc Units (0) 5" xfId="1694"/>
    <cellStyle name="Calc Units (0) 6" xfId="1695"/>
    <cellStyle name="Calc Units (0) 7" xfId="1696"/>
    <cellStyle name="Calc Units (0) 8" xfId="1697"/>
    <cellStyle name="Calc Units (0) 9" xfId="1698"/>
    <cellStyle name="Calc Units (1)" xfId="1699"/>
    <cellStyle name="Calc Units (1) 10" xfId="1700"/>
    <cellStyle name="Calc Units (1) 11" xfId="1701"/>
    <cellStyle name="Calc Units (1) 12" xfId="1702"/>
    <cellStyle name="Calc Units (1) 13" xfId="1703"/>
    <cellStyle name="Calc Units (1) 14" xfId="1704"/>
    <cellStyle name="Calc Units (1) 15" xfId="1705"/>
    <cellStyle name="Calc Units (1) 16" xfId="1706"/>
    <cellStyle name="Calc Units (1) 2" xfId="1707"/>
    <cellStyle name="Calc Units (1) 3" xfId="1708"/>
    <cellStyle name="Calc Units (1) 4" xfId="1709"/>
    <cellStyle name="Calc Units (1) 5" xfId="1710"/>
    <cellStyle name="Calc Units (1) 6" xfId="1711"/>
    <cellStyle name="Calc Units (1) 7" xfId="1712"/>
    <cellStyle name="Calc Units (1) 8" xfId="1713"/>
    <cellStyle name="Calc Units (1) 9" xfId="1714"/>
    <cellStyle name="Calc Units (2)" xfId="1715"/>
    <cellStyle name="Calc Units (2) 10" xfId="1716"/>
    <cellStyle name="Calc Units (2) 11" xfId="1717"/>
    <cellStyle name="Calc Units (2) 12" xfId="1718"/>
    <cellStyle name="Calc Units (2) 13" xfId="1719"/>
    <cellStyle name="Calc Units (2) 14" xfId="1720"/>
    <cellStyle name="Calc Units (2) 15" xfId="1721"/>
    <cellStyle name="Calc Units (2) 16" xfId="1722"/>
    <cellStyle name="Calc Units (2) 2" xfId="1723"/>
    <cellStyle name="Calc Units (2) 3" xfId="1724"/>
    <cellStyle name="Calc Units (2) 4" xfId="1725"/>
    <cellStyle name="Calc Units (2) 5" xfId="1726"/>
    <cellStyle name="Calc Units (2) 6" xfId="1727"/>
    <cellStyle name="Calc Units (2) 7" xfId="1728"/>
    <cellStyle name="Calc Units (2) 8" xfId="1729"/>
    <cellStyle name="Calc Units (2) 9" xfId="1730"/>
    <cellStyle name="Calculation 2" xfId="1731"/>
    <cellStyle name="category" xfId="1732"/>
    <cellStyle name="category 2" xfId="1733"/>
    <cellStyle name="Centered Heading" xfId="1734"/>
    <cellStyle name="Cerrency_Sheet2_XANGDAU" xfId="1735"/>
    <cellStyle name="Check Cell 2" xfId="1736"/>
    <cellStyle name="Chi phÝ kh¸c_Book1" xfId="1737"/>
    <cellStyle name="chu" xfId="1738"/>
    <cellStyle name="CHUONG" xfId="1739"/>
    <cellStyle name="ColLevel_0" xfId="5582"/>
    <cellStyle name="Column_Title" xfId="1740"/>
    <cellStyle name="Comma" xfId="3" builtinId="3"/>
    <cellStyle name="Comma  - Style1" xfId="1741"/>
    <cellStyle name="Comma  - Style2" xfId="1742"/>
    <cellStyle name="Comma  - Style3" xfId="1743"/>
    <cellStyle name="Comma  - Style4" xfId="1744"/>
    <cellStyle name="Comma  - Style5" xfId="1745"/>
    <cellStyle name="Comma  - Style6" xfId="1746"/>
    <cellStyle name="Comma  - Style7" xfId="1747"/>
    <cellStyle name="Comma  - Style8" xfId="1748"/>
    <cellStyle name="Comma %" xfId="1749"/>
    <cellStyle name="Comma % 10" xfId="1750"/>
    <cellStyle name="Comma % 11" xfId="1751"/>
    <cellStyle name="Comma % 12" xfId="1752"/>
    <cellStyle name="Comma % 13" xfId="1753"/>
    <cellStyle name="Comma % 14" xfId="1754"/>
    <cellStyle name="Comma % 15" xfId="1755"/>
    <cellStyle name="Comma % 2" xfId="1756"/>
    <cellStyle name="Comma % 3" xfId="1757"/>
    <cellStyle name="Comma % 4" xfId="1758"/>
    <cellStyle name="Comma % 5" xfId="1759"/>
    <cellStyle name="Comma % 6" xfId="1760"/>
    <cellStyle name="Comma % 7" xfId="1761"/>
    <cellStyle name="Comma % 8" xfId="1762"/>
    <cellStyle name="Comma % 9" xfId="1763"/>
    <cellStyle name="Comma [ ,]" xfId="5583"/>
    <cellStyle name="Comma [0] 10" xfId="1764"/>
    <cellStyle name="Comma [0] 11" xfId="1765"/>
    <cellStyle name="Comma [0] 2" xfId="1766"/>
    <cellStyle name="Comma [0] 2 10" xfId="1767"/>
    <cellStyle name="Comma [0] 2 11" xfId="1768"/>
    <cellStyle name="Comma [0] 2 12" xfId="1769"/>
    <cellStyle name="Comma [0] 2 13" xfId="1770"/>
    <cellStyle name="Comma [0] 2 14" xfId="1771"/>
    <cellStyle name="Comma [0] 2 15" xfId="1772"/>
    <cellStyle name="Comma [0] 2 16" xfId="1773"/>
    <cellStyle name="Comma [0] 2 17" xfId="1774"/>
    <cellStyle name="Comma [0] 2 18" xfId="1775"/>
    <cellStyle name="Comma [0] 2 19" xfId="1776"/>
    <cellStyle name="Comma [0] 2 2" xfId="1777"/>
    <cellStyle name="Comma [0] 2 2 2" xfId="1778"/>
    <cellStyle name="Comma [0] 2 20" xfId="1779"/>
    <cellStyle name="Comma [0] 2 21" xfId="1780"/>
    <cellStyle name="Comma [0] 2 22" xfId="1781"/>
    <cellStyle name="Comma [0] 2 23" xfId="1782"/>
    <cellStyle name="Comma [0] 2 24" xfId="1783"/>
    <cellStyle name="Comma [0] 2 25" xfId="1784"/>
    <cellStyle name="Comma [0] 2 26" xfId="1785"/>
    <cellStyle name="Comma [0] 2 3" xfId="1786"/>
    <cellStyle name="Comma [0] 2 4" xfId="1787"/>
    <cellStyle name="Comma [0] 2 5" xfId="1788"/>
    <cellStyle name="Comma [0] 2 6" xfId="1789"/>
    <cellStyle name="Comma [0] 2 7" xfId="1790"/>
    <cellStyle name="Comma [0] 2 8" xfId="1791"/>
    <cellStyle name="Comma [0] 2 9" xfId="1792"/>
    <cellStyle name="Comma [0] 2_05-12  KH trung han 2016-2020 - Liem Thinh edited" xfId="1793"/>
    <cellStyle name="Comma [0] 3" xfId="1794"/>
    <cellStyle name="Comma [0] 3 2" xfId="1795"/>
    <cellStyle name="Comma [0] 3 3" xfId="1796"/>
    <cellStyle name="Comma [0] 4" xfId="1797"/>
    <cellStyle name="Comma [0] 4 2" xfId="5584"/>
    <cellStyle name="Comma [0] 4 3" xfId="5585"/>
    <cellStyle name="Comma [0] 4 4" xfId="5586"/>
    <cellStyle name="Comma [0] 4 5" xfId="5587"/>
    <cellStyle name="Comma [0] 4 6" xfId="5588"/>
    <cellStyle name="Comma [0] 5" xfId="1798"/>
    <cellStyle name="Comma [0] 6" xfId="1799"/>
    <cellStyle name="Comma [0] 7" xfId="1800"/>
    <cellStyle name="Comma [0] 8" xfId="1801"/>
    <cellStyle name="Comma [0] 9" xfId="1802"/>
    <cellStyle name="Comma [00]" xfId="1803"/>
    <cellStyle name="Comma [00] 10" xfId="1804"/>
    <cellStyle name="Comma [00] 11" xfId="1805"/>
    <cellStyle name="Comma [00] 12" xfId="1806"/>
    <cellStyle name="Comma [00] 13" xfId="1807"/>
    <cellStyle name="Comma [00] 14" xfId="1808"/>
    <cellStyle name="Comma [00] 15" xfId="1809"/>
    <cellStyle name="Comma [00] 16" xfId="1810"/>
    <cellStyle name="Comma [00] 2" xfId="1811"/>
    <cellStyle name="Comma [00] 3" xfId="1812"/>
    <cellStyle name="Comma [00] 4" xfId="1813"/>
    <cellStyle name="Comma [00] 5" xfId="1814"/>
    <cellStyle name="Comma [00] 6" xfId="1815"/>
    <cellStyle name="Comma [00] 7" xfId="1816"/>
    <cellStyle name="Comma [00] 8" xfId="1817"/>
    <cellStyle name="Comma [00] 9" xfId="1818"/>
    <cellStyle name="Comma 0.0" xfId="1819"/>
    <cellStyle name="Comma 0.0%" xfId="1820"/>
    <cellStyle name="Comma 0.00" xfId="1821"/>
    <cellStyle name="Comma 0.00%" xfId="1822"/>
    <cellStyle name="Comma 0.000" xfId="1823"/>
    <cellStyle name="Comma 0.000%" xfId="1824"/>
    <cellStyle name="Comma 10" xfId="1825"/>
    <cellStyle name="Comma 10 10" xfId="13"/>
    <cellStyle name="Comma 10 2" xfId="14"/>
    <cellStyle name="Comma 10 2 2" xfId="1826"/>
    <cellStyle name="Comma 10 3" xfId="1827"/>
    <cellStyle name="Comma 10 3 10" xfId="1828"/>
    <cellStyle name="Comma 10 3 11" xfId="1829"/>
    <cellStyle name="Comma 10 3 12" xfId="1830"/>
    <cellStyle name="Comma 10 3 13" xfId="1831"/>
    <cellStyle name="Comma 10 3 14" xfId="1832"/>
    <cellStyle name="Comma 10 3 15" xfId="1833"/>
    <cellStyle name="Comma 10 3 16" xfId="1834"/>
    <cellStyle name="Comma 10 3 17" xfId="1835"/>
    <cellStyle name="Comma 10 3 18" xfId="1836"/>
    <cellStyle name="Comma 10 3 19" xfId="1837"/>
    <cellStyle name="Comma 10 3 2" xfId="1838"/>
    <cellStyle name="Comma 10 3 2 10" xfId="1839"/>
    <cellStyle name="Comma 10 3 2 11" xfId="1840"/>
    <cellStyle name="Comma 10 3 2 12" xfId="1841"/>
    <cellStyle name="Comma 10 3 2 13" xfId="1842"/>
    <cellStyle name="Comma 10 3 2 14" xfId="1843"/>
    <cellStyle name="Comma 10 3 2 15" xfId="1844"/>
    <cellStyle name="Comma 10 3 2 16" xfId="1845"/>
    <cellStyle name="Comma 10 3 2 17" xfId="1846"/>
    <cellStyle name="Comma 10 3 2 18" xfId="1847"/>
    <cellStyle name="Comma 10 3 2 19" xfId="1848"/>
    <cellStyle name="Comma 10 3 2 2" xfId="1849"/>
    <cellStyle name="Comma 10 3 2 2 10" xfId="1850"/>
    <cellStyle name="Comma 10 3 2 2 11" xfId="1851"/>
    <cellStyle name="Comma 10 3 2 2 12" xfId="1852"/>
    <cellStyle name="Comma 10 3 2 2 13" xfId="1853"/>
    <cellStyle name="Comma 10 3 2 2 14" xfId="1854"/>
    <cellStyle name="Comma 10 3 2 2 15" xfId="1855"/>
    <cellStyle name="Comma 10 3 2 2 16" xfId="1856"/>
    <cellStyle name="Comma 10 3 2 2 17" xfId="1857"/>
    <cellStyle name="Comma 10 3 2 2 18" xfId="1858"/>
    <cellStyle name="Comma 10 3 2 2 19" xfId="1859"/>
    <cellStyle name="Comma 10 3 2 2 2" xfId="1860"/>
    <cellStyle name="Comma 10 3 2 2 20" xfId="1861"/>
    <cellStyle name="Comma 10 3 2 2 21" xfId="1862"/>
    <cellStyle name="Comma 10 3 2 2 22" xfId="1863"/>
    <cellStyle name="Comma 10 3 2 2 23" xfId="1864"/>
    <cellStyle name="Comma 10 3 2 2 3" xfId="1865"/>
    <cellStyle name="Comma 10 3 2 2 4" xfId="1866"/>
    <cellStyle name="Comma 10 3 2 2 5" xfId="1867"/>
    <cellStyle name="Comma 10 3 2 2 6" xfId="1868"/>
    <cellStyle name="Comma 10 3 2 2 7" xfId="1869"/>
    <cellStyle name="Comma 10 3 2 2 8" xfId="1870"/>
    <cellStyle name="Comma 10 3 2 2 9" xfId="1871"/>
    <cellStyle name="Comma 10 3 2 20" xfId="1872"/>
    <cellStyle name="Comma 10 3 2 21" xfId="1873"/>
    <cellStyle name="Comma 10 3 2 22" xfId="1874"/>
    <cellStyle name="Comma 10 3 2 23" xfId="1875"/>
    <cellStyle name="Comma 10 3 2 3" xfId="1876"/>
    <cellStyle name="Comma 10 3 2 4" xfId="1877"/>
    <cellStyle name="Comma 10 3 2 5" xfId="1878"/>
    <cellStyle name="Comma 10 3 2 6" xfId="1879"/>
    <cellStyle name="Comma 10 3 2 7" xfId="1880"/>
    <cellStyle name="Comma 10 3 2 8" xfId="1881"/>
    <cellStyle name="Comma 10 3 2 9" xfId="1882"/>
    <cellStyle name="Comma 10 3 20" xfId="1883"/>
    <cellStyle name="Comma 10 3 21" xfId="1884"/>
    <cellStyle name="Comma 10 3 22" xfId="1885"/>
    <cellStyle name="Comma 10 3 23" xfId="1886"/>
    <cellStyle name="Comma 10 3 3" xfId="1887"/>
    <cellStyle name="Comma 10 3 3 2" xfId="1888"/>
    <cellStyle name="Comma 10 3 4" xfId="1889"/>
    <cellStyle name="Comma 10 3 5" xfId="1890"/>
    <cellStyle name="Comma 10 3 6" xfId="1891"/>
    <cellStyle name="Comma 10 3 7" xfId="1892"/>
    <cellStyle name="Comma 10 3 8" xfId="1893"/>
    <cellStyle name="Comma 10 3 9" xfId="1894"/>
    <cellStyle name="Comma 11" xfId="1895"/>
    <cellStyle name="Comma 11 2" xfId="1896"/>
    <cellStyle name="Comma 11 3" xfId="1897"/>
    <cellStyle name="Comma 11 3 2" xfId="1898"/>
    <cellStyle name="Comma 11 3 3" xfId="1899"/>
    <cellStyle name="Comma 12" xfId="1900"/>
    <cellStyle name="Comma 12 2" xfId="1901"/>
    <cellStyle name="Comma 12 3" xfId="1902"/>
    <cellStyle name="Comma 13" xfId="1903"/>
    <cellStyle name="Comma 13 2" xfId="1904"/>
    <cellStyle name="Comma 13 2 2" xfId="1905"/>
    <cellStyle name="Comma 13 2 2 2" xfId="1906"/>
    <cellStyle name="Comma 13 2 2 2 2" xfId="1907"/>
    <cellStyle name="Comma 13 2 2 2 3" xfId="1908"/>
    <cellStyle name="Comma 13 2 2 3" xfId="1909"/>
    <cellStyle name="Comma 13 2 2 4" xfId="1910"/>
    <cellStyle name="Comma 13 2 2 5" xfId="1911"/>
    <cellStyle name="Comma 13 2 3" xfId="1912"/>
    <cellStyle name="Comma 13 2 3 2" xfId="1913"/>
    <cellStyle name="Comma 13 2 4" xfId="1914"/>
    <cellStyle name="Comma 13 2 5" xfId="1915"/>
    <cellStyle name="Comma 13 2 7 2" xfId="1916"/>
    <cellStyle name="Comma 13 3" xfId="1917"/>
    <cellStyle name="Comma 13 3 3" xfId="1918"/>
    <cellStyle name="Comma 13 4" xfId="1919"/>
    <cellStyle name="Comma 13 5" xfId="5589"/>
    <cellStyle name="Comma 13 6" xfId="5590"/>
    <cellStyle name="Comma 14" xfId="1920"/>
    <cellStyle name="Comma 14 2" xfId="1921"/>
    <cellStyle name="Comma 14 2 2" xfId="1922"/>
    <cellStyle name="Comma 14 3" xfId="1923"/>
    <cellStyle name="Comma 15" xfId="1924"/>
    <cellStyle name="Comma 15 2" xfId="1925"/>
    <cellStyle name="Comma 15 3" xfId="1926"/>
    <cellStyle name="Comma 16" xfId="1927"/>
    <cellStyle name="Comma 16 2" xfId="1928"/>
    <cellStyle name="Comma 16 3" xfId="1929"/>
    <cellStyle name="Comma 16 3 2" xfId="1930"/>
    <cellStyle name="Comma 16 3 2 2" xfId="1931"/>
    <cellStyle name="Comma 16 3 3" xfId="1932"/>
    <cellStyle name="Comma 16 3 3 2" xfId="1933"/>
    <cellStyle name="Comma 16 3 4" xfId="1934"/>
    <cellStyle name="Comma 17" xfId="1935"/>
    <cellStyle name="Comma 17 2" xfId="1936"/>
    <cellStyle name="Comma 17 3" xfId="1937"/>
    <cellStyle name="Comma 17 4" xfId="1938"/>
    <cellStyle name="Comma 17 5" xfId="5591"/>
    <cellStyle name="Comma 17 6" xfId="5592"/>
    <cellStyle name="Comma 18" xfId="1939"/>
    <cellStyle name="Comma 18 2" xfId="1940"/>
    <cellStyle name="Comma 18 3" xfId="1941"/>
    <cellStyle name="Comma 19" xfId="1942"/>
    <cellStyle name="Comma 19 2" xfId="1943"/>
    <cellStyle name="Comma 2" xfId="4"/>
    <cellStyle name="Comma 2 10" xfId="1944"/>
    <cellStyle name="Comma 2 11" xfId="1945"/>
    <cellStyle name="Comma 2 12" xfId="1946"/>
    <cellStyle name="Comma 2 13" xfId="1947"/>
    <cellStyle name="Comma 2 14" xfId="1948"/>
    <cellStyle name="Comma 2 15" xfId="1949"/>
    <cellStyle name="Comma 2 16" xfId="1950"/>
    <cellStyle name="Comma 2 17" xfId="1951"/>
    <cellStyle name="Comma 2 18" xfId="1952"/>
    <cellStyle name="Comma 2 19" xfId="1953"/>
    <cellStyle name="Comma 2 2" xfId="15"/>
    <cellStyle name="Comma 2 2 10" xfId="1954"/>
    <cellStyle name="Comma 2 2 11" xfId="1955"/>
    <cellStyle name="Comma 2 2 12" xfId="1956"/>
    <cellStyle name="Comma 2 2 13" xfId="1957"/>
    <cellStyle name="Comma 2 2 14" xfId="1958"/>
    <cellStyle name="Comma 2 2 15" xfId="1959"/>
    <cellStyle name="Comma 2 2 16" xfId="1960"/>
    <cellStyle name="Comma 2 2 17" xfId="1961"/>
    <cellStyle name="Comma 2 2 18" xfId="1962"/>
    <cellStyle name="Comma 2 2 19" xfId="1963"/>
    <cellStyle name="Comma 2 2 2" xfId="63"/>
    <cellStyle name="Comma 2 2 2 10" xfId="1964"/>
    <cellStyle name="Comma 2 2 2 11" xfId="1965"/>
    <cellStyle name="Comma 2 2 2 12" xfId="1966"/>
    <cellStyle name="Comma 2 2 2 13" xfId="1967"/>
    <cellStyle name="Comma 2 2 2 14" xfId="1968"/>
    <cellStyle name="Comma 2 2 2 15" xfId="1969"/>
    <cellStyle name="Comma 2 2 2 16" xfId="1970"/>
    <cellStyle name="Comma 2 2 2 17" xfId="1971"/>
    <cellStyle name="Comma 2 2 2 18" xfId="1972"/>
    <cellStyle name="Comma 2 2 2 19" xfId="1973"/>
    <cellStyle name="Comma 2 2 2 2" xfId="1974"/>
    <cellStyle name="Comma 2 2 2 2 10" xfId="1975"/>
    <cellStyle name="Comma 2 2 2 2 11" xfId="1976"/>
    <cellStyle name="Comma 2 2 2 2 12" xfId="1977"/>
    <cellStyle name="Comma 2 2 2 2 13" xfId="1978"/>
    <cellStyle name="Comma 2 2 2 2 14" xfId="1979"/>
    <cellStyle name="Comma 2 2 2 2 15" xfId="1980"/>
    <cellStyle name="Comma 2 2 2 2 16" xfId="1981"/>
    <cellStyle name="Comma 2 2 2 2 17" xfId="1982"/>
    <cellStyle name="Comma 2 2 2 2 18" xfId="1983"/>
    <cellStyle name="Comma 2 2 2 2 19" xfId="1984"/>
    <cellStyle name="Comma 2 2 2 2 2" xfId="1985"/>
    <cellStyle name="Comma 2 2 2 2 2 10" xfId="1986"/>
    <cellStyle name="Comma 2 2 2 2 2 11" xfId="1987"/>
    <cellStyle name="Comma 2 2 2 2 2 12" xfId="1988"/>
    <cellStyle name="Comma 2 2 2 2 2 13" xfId="1989"/>
    <cellStyle name="Comma 2 2 2 2 2 14" xfId="1990"/>
    <cellStyle name="Comma 2 2 2 2 2 15" xfId="1991"/>
    <cellStyle name="Comma 2 2 2 2 2 16" xfId="1992"/>
    <cellStyle name="Comma 2 2 2 2 2 17" xfId="1993"/>
    <cellStyle name="Comma 2 2 2 2 2 18" xfId="1994"/>
    <cellStyle name="Comma 2 2 2 2 2 19" xfId="1995"/>
    <cellStyle name="Comma 2 2 2 2 2 2" xfId="1996"/>
    <cellStyle name="Comma 2 2 2 2 2 2 2" xfId="1997"/>
    <cellStyle name="Comma 2 2 2 2 2 2 3" xfId="1998"/>
    <cellStyle name="Comma 2 2 2 2 2 2 4" xfId="1999"/>
    <cellStyle name="Comma 2 2 2 2 2 20" xfId="2000"/>
    <cellStyle name="Comma 2 2 2 2 2 21" xfId="2001"/>
    <cellStyle name="Comma 2 2 2 2 2 22" xfId="2002"/>
    <cellStyle name="Comma 2 2 2 2 2 23" xfId="2003"/>
    <cellStyle name="Comma 2 2 2 2 2 24" xfId="2004"/>
    <cellStyle name="Comma 2 2 2 2 2 25" xfId="2005"/>
    <cellStyle name="Comma 2 2 2 2 2 3" xfId="2006"/>
    <cellStyle name="Comma 2 2 2 2 2 4" xfId="2007"/>
    <cellStyle name="Comma 2 2 2 2 2 5" xfId="2008"/>
    <cellStyle name="Comma 2 2 2 2 2 6" xfId="2009"/>
    <cellStyle name="Comma 2 2 2 2 2 7" xfId="2010"/>
    <cellStyle name="Comma 2 2 2 2 2 8" xfId="2011"/>
    <cellStyle name="Comma 2 2 2 2 2 9" xfId="2012"/>
    <cellStyle name="Comma 2 2 2 2 20" xfId="2013"/>
    <cellStyle name="Comma 2 2 2 2 21" xfId="2014"/>
    <cellStyle name="Comma 2 2 2 2 22" xfId="2015"/>
    <cellStyle name="Comma 2 2 2 2 23" xfId="2016"/>
    <cellStyle name="Comma 2 2 2 2 24" xfId="2017"/>
    <cellStyle name="Comma 2 2 2 2 25" xfId="2018"/>
    <cellStyle name="Comma 2 2 2 2 3" xfId="2019"/>
    <cellStyle name="Comma 2 2 2 2 4" xfId="2020"/>
    <cellStyle name="Comma 2 2 2 2 5" xfId="2021"/>
    <cellStyle name="Comma 2 2 2 2 6" xfId="2022"/>
    <cellStyle name="Comma 2 2 2 2 7" xfId="2023"/>
    <cellStyle name="Comma 2 2 2 2 8" xfId="2024"/>
    <cellStyle name="Comma 2 2 2 2 9" xfId="2025"/>
    <cellStyle name="Comma 2 2 2 20" xfId="2026"/>
    <cellStyle name="Comma 2 2 2 21" xfId="2027"/>
    <cellStyle name="Comma 2 2 2 22" xfId="2028"/>
    <cellStyle name="Comma 2 2 2 23" xfId="2029"/>
    <cellStyle name="Comma 2 2 2 24" xfId="2030"/>
    <cellStyle name="Comma 2 2 2 25" xfId="2031"/>
    <cellStyle name="Comma 2 2 2 26" xfId="2032"/>
    <cellStyle name="Comma 2 2 2 27" xfId="2033"/>
    <cellStyle name="Comma 2 2 2 28" xfId="2034"/>
    <cellStyle name="Comma 2 2 2 29" xfId="2035"/>
    <cellStyle name="Comma 2 2 2 3" xfId="2036"/>
    <cellStyle name="Comma 2 2 2 30" xfId="2037"/>
    <cellStyle name="Comma 2 2 2 31" xfId="2038"/>
    <cellStyle name="Comma 2 2 2 32" xfId="2039"/>
    <cellStyle name="Comma 2 2 2 33" xfId="2040"/>
    <cellStyle name="Comma 2 2 2 34" xfId="2041"/>
    <cellStyle name="Comma 2 2 2 35" xfId="2042"/>
    <cellStyle name="Comma 2 2 2 36" xfId="2043"/>
    <cellStyle name="Comma 2 2 2 37" xfId="2044"/>
    <cellStyle name="Comma 2 2 2 38" xfId="2045"/>
    <cellStyle name="Comma 2 2 2 39" xfId="2046"/>
    <cellStyle name="Comma 2 2 2 4" xfId="2047"/>
    <cellStyle name="Comma 2 2 2 40" xfId="2048"/>
    <cellStyle name="Comma 2 2 2 41" xfId="2049"/>
    <cellStyle name="Comma 2 2 2 42" xfId="2050"/>
    <cellStyle name="Comma 2 2 2 43" xfId="2051"/>
    <cellStyle name="Comma 2 2 2 44" xfId="2052"/>
    <cellStyle name="Comma 2 2 2 45" xfId="2053"/>
    <cellStyle name="Comma 2 2 2 46" xfId="2054"/>
    <cellStyle name="Comma 2 2 2 5" xfId="2055"/>
    <cellStyle name="Comma 2 2 2 6" xfId="2056"/>
    <cellStyle name="Comma 2 2 2 7" xfId="2057"/>
    <cellStyle name="Comma 2 2 2 8" xfId="2058"/>
    <cellStyle name="Comma 2 2 2 9" xfId="2059"/>
    <cellStyle name="Comma 2 2 20" xfId="2060"/>
    <cellStyle name="Comma 2 2 21" xfId="2061"/>
    <cellStyle name="Comma 2 2 22" xfId="2062"/>
    <cellStyle name="Comma 2 2 23" xfId="2063"/>
    <cellStyle name="Comma 2 2 24" xfId="2064"/>
    <cellStyle name="Comma 2 2 24 2" xfId="2065"/>
    <cellStyle name="Comma 2 2 25" xfId="2066"/>
    <cellStyle name="Comma 2 2 26" xfId="2067"/>
    <cellStyle name="Comma 2 2 27" xfId="2068"/>
    <cellStyle name="Comma 2 2 28" xfId="2069"/>
    <cellStyle name="Comma 2 2 29" xfId="2070"/>
    <cellStyle name="Comma 2 2 3" xfId="2071"/>
    <cellStyle name="Comma 2 2 3 2" xfId="2072"/>
    <cellStyle name="Comma 2 2 30" xfId="2073"/>
    <cellStyle name="Comma 2 2 31" xfId="2074"/>
    <cellStyle name="Comma 2 2 32" xfId="2075"/>
    <cellStyle name="Comma 2 2 33" xfId="2076"/>
    <cellStyle name="Comma 2 2 34" xfId="2077"/>
    <cellStyle name="Comma 2 2 35" xfId="2078"/>
    <cellStyle name="Comma 2 2 36" xfId="2079"/>
    <cellStyle name="Comma 2 2 37" xfId="2080"/>
    <cellStyle name="Comma 2 2 38" xfId="2081"/>
    <cellStyle name="Comma 2 2 39" xfId="2082"/>
    <cellStyle name="Comma 2 2 4" xfId="2083"/>
    <cellStyle name="Comma 2 2 40" xfId="2084"/>
    <cellStyle name="Comma 2 2 41" xfId="2085"/>
    <cellStyle name="Comma 2 2 42" xfId="2086"/>
    <cellStyle name="Comma 2 2 43" xfId="2087"/>
    <cellStyle name="Comma 2 2 44" xfId="2088"/>
    <cellStyle name="Comma 2 2 45" xfId="2089"/>
    <cellStyle name="Comma 2 2 46" xfId="2090"/>
    <cellStyle name="Comma 2 2 47" xfId="2091"/>
    <cellStyle name="Comma 2 2 5" xfId="2092"/>
    <cellStyle name="Comma 2 2 6" xfId="2093"/>
    <cellStyle name="Comma 2 2 7" xfId="2094"/>
    <cellStyle name="Comma 2 2 8" xfId="2095"/>
    <cellStyle name="Comma 2 2 9" xfId="2096"/>
    <cellStyle name="Comma 2 2_05-12  KH trung han 2016-2020 - Liem Thinh edited" xfId="2097"/>
    <cellStyle name="Comma 2 20" xfId="2098"/>
    <cellStyle name="Comma 2 21" xfId="2099"/>
    <cellStyle name="Comma 2 22" xfId="2100"/>
    <cellStyle name="Comma 2 23" xfId="2101"/>
    <cellStyle name="Comma 2 24" xfId="2102"/>
    <cellStyle name="Comma 2 25" xfId="2103"/>
    <cellStyle name="Comma 2 26" xfId="2104"/>
    <cellStyle name="Comma 2 26 2" xfId="2105"/>
    <cellStyle name="Comma 2 27" xfId="2106"/>
    <cellStyle name="Comma 2 28" xfId="2107"/>
    <cellStyle name="Comma 2 29" xfId="2108"/>
    <cellStyle name="Comma 2 3" xfId="2109"/>
    <cellStyle name="Comma 2 3 2" xfId="2110"/>
    <cellStyle name="Comma 2 3 2 2" xfId="2111"/>
    <cellStyle name="Comma 2 3 2 3" xfId="2112"/>
    <cellStyle name="Comma 2 3 3" xfId="2113"/>
    <cellStyle name="Comma 2 3 6" xfId="2114"/>
    <cellStyle name="Comma 2 30" xfId="2115"/>
    <cellStyle name="Comma 2 31" xfId="2116"/>
    <cellStyle name="Comma 2 32" xfId="2117"/>
    <cellStyle name="Comma 2 33" xfId="2118"/>
    <cellStyle name="Comma 2 34" xfId="2119"/>
    <cellStyle name="Comma 2 35" xfId="2120"/>
    <cellStyle name="Comma 2 36" xfId="2121"/>
    <cellStyle name="Comma 2 37" xfId="2122"/>
    <cellStyle name="Comma 2 38" xfId="2123"/>
    <cellStyle name="Comma 2 39" xfId="2124"/>
    <cellStyle name="Comma 2 4" xfId="2125"/>
    <cellStyle name="Comma 2 4 2" xfId="2126"/>
    <cellStyle name="Comma 2 40" xfId="2127"/>
    <cellStyle name="Comma 2 41" xfId="2128"/>
    <cellStyle name="Comma 2 42" xfId="2129"/>
    <cellStyle name="Comma 2 43" xfId="2130"/>
    <cellStyle name="Comma 2 44" xfId="2131"/>
    <cellStyle name="Comma 2 45" xfId="2132"/>
    <cellStyle name="Comma 2 46" xfId="2133"/>
    <cellStyle name="Comma 2 47" xfId="2134"/>
    <cellStyle name="Comma 2 48" xfId="2135"/>
    <cellStyle name="Comma 2 49" xfId="2136"/>
    <cellStyle name="Comma 2 5" xfId="2137"/>
    <cellStyle name="Comma 2 5 2" xfId="2138"/>
    <cellStyle name="Comma 2 5 3" xfId="2139"/>
    <cellStyle name="Comma 2 50" xfId="2140"/>
    <cellStyle name="Comma 2 6" xfId="2141"/>
    <cellStyle name="Comma 2 7" xfId="2142"/>
    <cellStyle name="Comma 2 8" xfId="2143"/>
    <cellStyle name="Comma 2 9" xfId="2144"/>
    <cellStyle name="Comma 2_Book1" xfId="5593"/>
    <cellStyle name="Comma 20" xfId="2145"/>
    <cellStyle name="Comma 20 2" xfId="2146"/>
    <cellStyle name="Comma 20 3" xfId="2147"/>
    <cellStyle name="Comma 20 4" xfId="2148"/>
    <cellStyle name="Comma 21" xfId="16"/>
    <cellStyle name="Comma 21 2" xfId="2149"/>
    <cellStyle name="Comma 21 3" xfId="2150"/>
    <cellStyle name="Comma 21 4" xfId="17"/>
    <cellStyle name="Comma 22" xfId="2151"/>
    <cellStyle name="Comma 22 2" xfId="2152"/>
    <cellStyle name="Comma 22 3" xfId="2153"/>
    <cellStyle name="Comma 23" xfId="2154"/>
    <cellStyle name="Comma 23 2" xfId="2155"/>
    <cellStyle name="Comma 23 3" xfId="2156"/>
    <cellStyle name="Comma 24" xfId="2157"/>
    <cellStyle name="Comma 24 2" xfId="2158"/>
    <cellStyle name="Comma 25" xfId="2159"/>
    <cellStyle name="Comma 25 2" xfId="2160"/>
    <cellStyle name="Comma 26" xfId="2161"/>
    <cellStyle name="Comma 26 2" xfId="2162"/>
    <cellStyle name="Comma 27" xfId="2163"/>
    <cellStyle name="Comma 27 2" xfId="2164"/>
    <cellStyle name="Comma 28" xfId="2165"/>
    <cellStyle name="Comma 28 2" xfId="2166"/>
    <cellStyle name="Comma 29" xfId="2167"/>
    <cellStyle name="Comma 29 2" xfId="2168"/>
    <cellStyle name="Comma 3" xfId="6"/>
    <cellStyle name="Comma 3 2" xfId="2169"/>
    <cellStyle name="Comma 3 2 10" xfId="2170"/>
    <cellStyle name="Comma 3 2 11" xfId="2171"/>
    <cellStyle name="Comma 3 2 12" xfId="2172"/>
    <cellStyle name="Comma 3 2 13" xfId="2173"/>
    <cellStyle name="Comma 3 2 14" xfId="2174"/>
    <cellStyle name="Comma 3 2 15" xfId="2175"/>
    <cellStyle name="Comma 3 2 2" xfId="2176"/>
    <cellStyle name="Comma 3 2 2 2" xfId="2177"/>
    <cellStyle name="Comma 3 2 2 3" xfId="2178"/>
    <cellStyle name="Comma 3 2 3" xfId="2179"/>
    <cellStyle name="Comma 3 2 3 2" xfId="2180"/>
    <cellStyle name="Comma 3 2 3 3" xfId="2181"/>
    <cellStyle name="Comma 3 2 4" xfId="2182"/>
    <cellStyle name="Comma 3 2 5" xfId="2183"/>
    <cellStyle name="Comma 3 2 6" xfId="2184"/>
    <cellStyle name="Comma 3 2 7" xfId="2185"/>
    <cellStyle name="Comma 3 2 8" xfId="2186"/>
    <cellStyle name="Comma 3 2 9" xfId="2187"/>
    <cellStyle name="Comma 3 3" xfId="2188"/>
    <cellStyle name="Comma 3 3 2" xfId="2189"/>
    <cellStyle name="Comma 3 3 3" xfId="2190"/>
    <cellStyle name="Comma 3 4" xfId="2191"/>
    <cellStyle name="Comma 3 4 2" xfId="2192"/>
    <cellStyle name="Comma 3 4 3" xfId="2193"/>
    <cellStyle name="Comma 3 5" xfId="2194"/>
    <cellStyle name="Comma 3 5 2" xfId="2195"/>
    <cellStyle name="Comma 3 6" xfId="2196"/>
    <cellStyle name="Comma 3 6 2" xfId="2197"/>
    <cellStyle name="Comma 3_Biểu 14 - KH2015 dự án ODA" xfId="2198"/>
    <cellStyle name="Comma 30" xfId="2199"/>
    <cellStyle name="Comma 30 2" xfId="2200"/>
    <cellStyle name="Comma 31" xfId="2201"/>
    <cellStyle name="Comma 31 2" xfId="2202"/>
    <cellStyle name="Comma 32" xfId="2203"/>
    <cellStyle name="Comma 32 2" xfId="2204"/>
    <cellStyle name="Comma 32 2 2" xfId="2205"/>
    <cellStyle name="Comma 32 3" xfId="2206"/>
    <cellStyle name="Comma 33" xfId="2207"/>
    <cellStyle name="Comma 33 2" xfId="2208"/>
    <cellStyle name="Comma 34" xfId="2209"/>
    <cellStyle name="Comma 34 2" xfId="2210"/>
    <cellStyle name="Comma 35" xfId="2211"/>
    <cellStyle name="Comma 35 2" xfId="2212"/>
    <cellStyle name="Comma 35 3" xfId="2213"/>
    <cellStyle name="Comma 35 3 2" xfId="2214"/>
    <cellStyle name="Comma 35 4" xfId="2215"/>
    <cellStyle name="Comma 35 4 2" xfId="2216"/>
    <cellStyle name="Comma 36" xfId="2217"/>
    <cellStyle name="Comma 36 2" xfId="2218"/>
    <cellStyle name="Comma 37" xfId="2219"/>
    <cellStyle name="Comma 37 2" xfId="2220"/>
    <cellStyle name="Comma 38" xfId="2221"/>
    <cellStyle name="Comma 39" xfId="2222"/>
    <cellStyle name="Comma 39 2" xfId="2223"/>
    <cellStyle name="Comma 4" xfId="18"/>
    <cellStyle name="Comma 4 10" xfId="2224"/>
    <cellStyle name="Comma 4 11" xfId="2225"/>
    <cellStyle name="Comma 4 12" xfId="2226"/>
    <cellStyle name="Comma 4 13" xfId="2227"/>
    <cellStyle name="Comma 4 14" xfId="2228"/>
    <cellStyle name="Comma 4 15" xfId="2229"/>
    <cellStyle name="Comma 4 16" xfId="2230"/>
    <cellStyle name="Comma 4 17" xfId="2231"/>
    <cellStyle name="Comma 4 18" xfId="2232"/>
    <cellStyle name="Comma 4 19" xfId="2233"/>
    <cellStyle name="Comma 4 2" xfId="19"/>
    <cellStyle name="Comma 4 2 10" xfId="2234"/>
    <cellStyle name="Comma 4 2 11" xfId="2235"/>
    <cellStyle name="Comma 4 2 12" xfId="2236"/>
    <cellStyle name="Comma 4 2 13" xfId="2237"/>
    <cellStyle name="Comma 4 2 14" xfId="2238"/>
    <cellStyle name="Comma 4 2 15" xfId="2239"/>
    <cellStyle name="Comma 4 2 16" xfId="2240"/>
    <cellStyle name="Comma 4 2 17" xfId="2241"/>
    <cellStyle name="Comma 4 2 18" xfId="2242"/>
    <cellStyle name="Comma 4 2 19" xfId="2243"/>
    <cellStyle name="Comma 4 2 2" xfId="2244"/>
    <cellStyle name="Comma 4 2 2 10" xfId="2245"/>
    <cellStyle name="Comma 4 2 2 11" xfId="2246"/>
    <cellStyle name="Comma 4 2 2 12" xfId="2247"/>
    <cellStyle name="Comma 4 2 2 13" xfId="2248"/>
    <cellStyle name="Comma 4 2 2 14" xfId="2249"/>
    <cellStyle name="Comma 4 2 2 15" xfId="2250"/>
    <cellStyle name="Comma 4 2 2 16" xfId="2251"/>
    <cellStyle name="Comma 4 2 2 17" xfId="2252"/>
    <cellStyle name="Comma 4 2 2 18" xfId="2253"/>
    <cellStyle name="Comma 4 2 2 19" xfId="2254"/>
    <cellStyle name="Comma 4 2 2 2" xfId="2255"/>
    <cellStyle name="Comma 4 2 2 20" xfId="2256"/>
    <cellStyle name="Comma 4 2 2 21" xfId="2257"/>
    <cellStyle name="Comma 4 2 2 22" xfId="2258"/>
    <cellStyle name="Comma 4 2 2 23" xfId="2259"/>
    <cellStyle name="Comma 4 2 2 3" xfId="2260"/>
    <cellStyle name="Comma 4 2 2 4" xfId="2261"/>
    <cellStyle name="Comma 4 2 2 5" xfId="2262"/>
    <cellStyle name="Comma 4 2 2 6" xfId="2263"/>
    <cellStyle name="Comma 4 2 2 7" xfId="2264"/>
    <cellStyle name="Comma 4 2 2 8" xfId="2265"/>
    <cellStyle name="Comma 4 2 2 9" xfId="2266"/>
    <cellStyle name="Comma 4 2 20" xfId="2267"/>
    <cellStyle name="Comma 4 2 21" xfId="2268"/>
    <cellStyle name="Comma 4 2 22" xfId="2269"/>
    <cellStyle name="Comma 4 2 23" xfId="2270"/>
    <cellStyle name="Comma 4 2 3" xfId="20"/>
    <cellStyle name="Comma 4 2 4" xfId="2271"/>
    <cellStyle name="Comma 4 2 5" xfId="2272"/>
    <cellStyle name="Comma 4 2 6" xfId="2273"/>
    <cellStyle name="Comma 4 2 7" xfId="2274"/>
    <cellStyle name="Comma 4 2 8" xfId="2275"/>
    <cellStyle name="Comma 4 2 9" xfId="2276"/>
    <cellStyle name="Comma 4 20" xfId="2277"/>
    <cellStyle name="Comma 4 21" xfId="2278"/>
    <cellStyle name="Comma 4 22" xfId="2279"/>
    <cellStyle name="Comma 4 23" xfId="2280"/>
    <cellStyle name="Comma 4 24" xfId="2281"/>
    <cellStyle name="Comma 4 25" xfId="2282"/>
    <cellStyle name="Comma 4 26" xfId="2283"/>
    <cellStyle name="Comma 4 3" xfId="2284"/>
    <cellStyle name="Comma 4 3 2" xfId="2285"/>
    <cellStyle name="Comma 4 3 2 2" xfId="2286"/>
    <cellStyle name="Comma 4 3 3" xfId="2287"/>
    <cellStyle name="Comma 4 3 4" xfId="21"/>
    <cellStyle name="Comma 4 4" xfId="2288"/>
    <cellStyle name="Comma 4 4 2" xfId="2289"/>
    <cellStyle name="Comma 4 4 3" xfId="2290"/>
    <cellStyle name="Comma 4 4 4" xfId="2291"/>
    <cellStyle name="Comma 4 5" xfId="2292"/>
    <cellStyle name="Comma 4 6" xfId="2293"/>
    <cellStyle name="Comma 4 7" xfId="2294"/>
    <cellStyle name="Comma 4 8" xfId="2295"/>
    <cellStyle name="Comma 4 9" xfId="2296"/>
    <cellStyle name="Comma 4_TH KH 2013" xfId="2297"/>
    <cellStyle name="Comma 40" xfId="2298"/>
    <cellStyle name="Comma 40 2" xfId="2299"/>
    <cellStyle name="Comma 41" xfId="2300"/>
    <cellStyle name="Comma 42" xfId="2301"/>
    <cellStyle name="Comma 43" xfId="2302"/>
    <cellStyle name="Comma 44" xfId="2303"/>
    <cellStyle name="Comma 45" xfId="2304"/>
    <cellStyle name="Comma 46" xfId="2305"/>
    <cellStyle name="Comma 47" xfId="2306"/>
    <cellStyle name="Comma 48" xfId="2307"/>
    <cellStyle name="Comma 49" xfId="2308"/>
    <cellStyle name="Comma 5" xfId="22"/>
    <cellStyle name="Comma 5 10" xfId="2309"/>
    <cellStyle name="Comma 5 11" xfId="2310"/>
    <cellStyle name="Comma 5 12" xfId="2311"/>
    <cellStyle name="Comma 5 13" xfId="2312"/>
    <cellStyle name="Comma 5 14" xfId="2313"/>
    <cellStyle name="Comma 5 15" xfId="2314"/>
    <cellStyle name="Comma 5 16" xfId="2315"/>
    <cellStyle name="Comma 5 17" xfId="2316"/>
    <cellStyle name="Comma 5 17 2" xfId="2317"/>
    <cellStyle name="Comma 5 18" xfId="2318"/>
    <cellStyle name="Comma 5 19" xfId="2319"/>
    <cellStyle name="Comma 5 2" xfId="2320"/>
    <cellStyle name="Comma 5 2 2" xfId="2321"/>
    <cellStyle name="Comma 5 20" xfId="2322"/>
    <cellStyle name="Comma 5 21" xfId="2323"/>
    <cellStyle name="Comma 5 21 2" xfId="2324"/>
    <cellStyle name="Comma 5 22" xfId="2325"/>
    <cellStyle name="Comma 5 23" xfId="2326"/>
    <cellStyle name="Comma 5 24" xfId="2327"/>
    <cellStyle name="Comma 5 3" xfId="2328"/>
    <cellStyle name="Comma 5 3 2" xfId="2329"/>
    <cellStyle name="Comma 5 4" xfId="2330"/>
    <cellStyle name="Comma 5 4 2" xfId="2331"/>
    <cellStyle name="Comma 5 5" xfId="2332"/>
    <cellStyle name="Comma 5 5 2" xfId="2333"/>
    <cellStyle name="Comma 5 6" xfId="2334"/>
    <cellStyle name="Comma 5 7" xfId="2335"/>
    <cellStyle name="Comma 5 8" xfId="2336"/>
    <cellStyle name="Comma 5 9" xfId="2337"/>
    <cellStyle name="Comma 5_05-12  KH trung han 2016-2020 - Liem Thinh edited" xfId="2338"/>
    <cellStyle name="Comma 50" xfId="2339"/>
    <cellStyle name="Comma 50 2" xfId="2340"/>
    <cellStyle name="Comma 51" xfId="2341"/>
    <cellStyle name="Comma 51 2" xfId="2342"/>
    <cellStyle name="Comma 52" xfId="2343"/>
    <cellStyle name="Comma 53" xfId="5594"/>
    <cellStyle name="Comma 54" xfId="5595"/>
    <cellStyle name="Comma 55" xfId="5596"/>
    <cellStyle name="Comma 56" xfId="5597"/>
    <cellStyle name="Comma 57" xfId="5598"/>
    <cellStyle name="Comma 58" xfId="5599"/>
    <cellStyle name="Comma 59" xfId="5600"/>
    <cellStyle name="Comma 6" xfId="23"/>
    <cellStyle name="Comma 6 2" xfId="24"/>
    <cellStyle name="Comma 6 2 2" xfId="2344"/>
    <cellStyle name="Comma 6 3" xfId="25"/>
    <cellStyle name="Comma 6 4" xfId="2345"/>
    <cellStyle name="Comma 60" xfId="5601"/>
    <cellStyle name="Comma 61" xfId="5602"/>
    <cellStyle name="Comma 62" xfId="5603"/>
    <cellStyle name="Comma 63" xfId="5604"/>
    <cellStyle name="Comma 64" xfId="5605"/>
    <cellStyle name="Comma 65" xfId="5606"/>
    <cellStyle name="Comma 66" xfId="5607"/>
    <cellStyle name="Comma 67" xfId="5608"/>
    <cellStyle name="Comma 68" xfId="5609"/>
    <cellStyle name="Comma 69" xfId="5610"/>
    <cellStyle name="Comma 7" xfId="7"/>
    <cellStyle name="Comma 7 10" xfId="2346"/>
    <cellStyle name="Comma 7 11" xfId="2347"/>
    <cellStyle name="Comma 7 12" xfId="2348"/>
    <cellStyle name="Comma 7 13" xfId="2349"/>
    <cellStyle name="Comma 7 14" xfId="2350"/>
    <cellStyle name="Comma 7 15" xfId="2351"/>
    <cellStyle name="Comma 7 16" xfId="2352"/>
    <cellStyle name="Comma 7 17" xfId="2353"/>
    <cellStyle name="Comma 7 18" xfId="2354"/>
    <cellStyle name="Comma 7 19" xfId="2355"/>
    <cellStyle name="Comma 7 2" xfId="2356"/>
    <cellStyle name="Comma 7 20" xfId="2357"/>
    <cellStyle name="Comma 7 21" xfId="2358"/>
    <cellStyle name="Comma 7 22" xfId="2359"/>
    <cellStyle name="Comma 7 23" xfId="2360"/>
    <cellStyle name="Comma 7 3" xfId="2361"/>
    <cellStyle name="Comma 7 3 2" xfId="2362"/>
    <cellStyle name="Comma 7 4" xfId="2363"/>
    <cellStyle name="Comma 7 5" xfId="2364"/>
    <cellStyle name="Comma 7 6" xfId="2365"/>
    <cellStyle name="Comma 7 7" xfId="2366"/>
    <cellStyle name="Comma 7 8" xfId="2367"/>
    <cellStyle name="Comma 7 9" xfId="2368"/>
    <cellStyle name="Comma 7_20131129 Nhu cau 2014_TPCP ODA (co hoan ung)" xfId="2369"/>
    <cellStyle name="Comma 70" xfId="5611"/>
    <cellStyle name="Comma 71" xfId="5612"/>
    <cellStyle name="Comma 72" xfId="5796"/>
    <cellStyle name="Comma 73" xfId="5798"/>
    <cellStyle name="Comma 8" xfId="26"/>
    <cellStyle name="Comma 8 10" xfId="2370"/>
    <cellStyle name="Comma 8 11" xfId="2371"/>
    <cellStyle name="Comma 8 12" xfId="2372"/>
    <cellStyle name="Comma 8 13" xfId="2373"/>
    <cellStyle name="Comma 8 14" xfId="2374"/>
    <cellStyle name="Comma 8 15" xfId="2375"/>
    <cellStyle name="Comma 8 16" xfId="2376"/>
    <cellStyle name="Comma 8 17" xfId="2377"/>
    <cellStyle name="Comma 8 18" xfId="2378"/>
    <cellStyle name="Comma 8 19" xfId="2379"/>
    <cellStyle name="Comma 8 2" xfId="2380"/>
    <cellStyle name="Comma 8 2 10" xfId="2381"/>
    <cellStyle name="Comma 8 2 11" xfId="2382"/>
    <cellStyle name="Comma 8 2 12" xfId="2383"/>
    <cellStyle name="Comma 8 2 13" xfId="2384"/>
    <cellStyle name="Comma 8 2 14" xfId="2385"/>
    <cellStyle name="Comma 8 2 15" xfId="2386"/>
    <cellStyle name="Comma 8 2 16" xfId="2387"/>
    <cellStyle name="Comma 8 2 17" xfId="2388"/>
    <cellStyle name="Comma 8 2 18" xfId="2389"/>
    <cellStyle name="Comma 8 2 19" xfId="2390"/>
    <cellStyle name="Comma 8 2 2" xfId="2391"/>
    <cellStyle name="Comma 8 2 20" xfId="2392"/>
    <cellStyle name="Comma 8 2 21" xfId="2393"/>
    <cellStyle name="Comma 8 2 22" xfId="2394"/>
    <cellStyle name="Comma 8 2 23" xfId="2395"/>
    <cellStyle name="Comma 8 2 3" xfId="2396"/>
    <cellStyle name="Comma 8 2 4" xfId="2397"/>
    <cellStyle name="Comma 8 2 5" xfId="2398"/>
    <cellStyle name="Comma 8 2 6" xfId="2399"/>
    <cellStyle name="Comma 8 2 7" xfId="2400"/>
    <cellStyle name="Comma 8 2 8" xfId="2401"/>
    <cellStyle name="Comma 8 2 9" xfId="2402"/>
    <cellStyle name="Comma 8 20" xfId="2403"/>
    <cellStyle name="Comma 8 21" xfId="2404"/>
    <cellStyle name="Comma 8 22" xfId="2405"/>
    <cellStyle name="Comma 8 23" xfId="2406"/>
    <cellStyle name="Comma 8 24" xfId="2407"/>
    <cellStyle name="Comma 8 3" xfId="2408"/>
    <cellStyle name="Comma 8 4" xfId="2409"/>
    <cellStyle name="Comma 8 5" xfId="2410"/>
    <cellStyle name="Comma 8 6" xfId="2411"/>
    <cellStyle name="Comma 8 7" xfId="2412"/>
    <cellStyle name="Comma 8 8" xfId="2413"/>
    <cellStyle name="Comma 8 9" xfId="2414"/>
    <cellStyle name="Comma 82" xfId="5613"/>
    <cellStyle name="Comma 84" xfId="5614"/>
    <cellStyle name="Comma 85" xfId="5615"/>
    <cellStyle name="Comma 9" xfId="27"/>
    <cellStyle name="Comma 9 2" xfId="2415"/>
    <cellStyle name="Comma 9 2 2" xfId="2416"/>
    <cellStyle name="Comma 9 2 3" xfId="2417"/>
    <cellStyle name="Comma 9 3" xfId="2418"/>
    <cellStyle name="Comma 9 3 2" xfId="2419"/>
    <cellStyle name="Comma 9 4" xfId="2420"/>
    <cellStyle name="Comma 9 5" xfId="2421"/>
    <cellStyle name="comma zerodec" xfId="2422"/>
    <cellStyle name="Comma0" xfId="28"/>
    <cellStyle name="Comma0 - Modelo1" xfId="2423"/>
    <cellStyle name="Comma0 - Style1" xfId="2424"/>
    <cellStyle name="Comma0 10" xfId="2425"/>
    <cellStyle name="Comma0 11" xfId="2426"/>
    <cellStyle name="Comma0 12" xfId="2427"/>
    <cellStyle name="Comma0 13" xfId="2428"/>
    <cellStyle name="Comma0 14" xfId="2429"/>
    <cellStyle name="Comma0 15" xfId="2430"/>
    <cellStyle name="Comma0 16" xfId="2431"/>
    <cellStyle name="Comma0 2" xfId="2432"/>
    <cellStyle name="Comma0 2 2" xfId="2433"/>
    <cellStyle name="Comma0 3" xfId="2434"/>
    <cellStyle name="Comma0 4" xfId="2435"/>
    <cellStyle name="Comma0 5" xfId="2436"/>
    <cellStyle name="Comma0 6" xfId="2437"/>
    <cellStyle name="Comma0 7" xfId="2438"/>
    <cellStyle name="Comma0 8" xfId="2439"/>
    <cellStyle name="Comma0 9" xfId="2440"/>
    <cellStyle name="Comma1 - Modelo2" xfId="2441"/>
    <cellStyle name="Comma1 - Style2" xfId="2442"/>
    <cellStyle name="Company Name" xfId="2443"/>
    <cellStyle name="cong" xfId="2444"/>
    <cellStyle name="Copied" xfId="2445"/>
    <cellStyle name="Co聭ma_Sheet1" xfId="2446"/>
    <cellStyle name="CR Comma" xfId="2447"/>
    <cellStyle name="CR Currency" xfId="2448"/>
    <cellStyle name="Credit" xfId="2449"/>
    <cellStyle name="Credit subtotal" xfId="2450"/>
    <cellStyle name="Credit Total" xfId="2451"/>
    <cellStyle name="Cࡵrrency_Sheet1_PRODUCTĠ" xfId="2452"/>
    <cellStyle name="_x0001_CS_x0006_RMO[" xfId="5616"/>
    <cellStyle name="_x0001_CS_x0006_RMO_" xfId="5617"/>
    <cellStyle name="ct xuyen a" xfId="5618"/>
    <cellStyle name="Curråncy [0]_FCST_RESULTS" xfId="2453"/>
    <cellStyle name="Currency %" xfId="2454"/>
    <cellStyle name="Currency % 10" xfId="2455"/>
    <cellStyle name="Currency % 11" xfId="2456"/>
    <cellStyle name="Currency % 12" xfId="2457"/>
    <cellStyle name="Currency % 13" xfId="2458"/>
    <cellStyle name="Currency % 14" xfId="2459"/>
    <cellStyle name="Currency % 15" xfId="2460"/>
    <cellStyle name="Currency % 2" xfId="2461"/>
    <cellStyle name="Currency % 3" xfId="2462"/>
    <cellStyle name="Currency % 4" xfId="2463"/>
    <cellStyle name="Currency % 5" xfId="2464"/>
    <cellStyle name="Currency % 6" xfId="2465"/>
    <cellStyle name="Currency % 7" xfId="2466"/>
    <cellStyle name="Currency % 8" xfId="2467"/>
    <cellStyle name="Currency % 9" xfId="2468"/>
    <cellStyle name="Currency %_05-12  KH trung han 2016-2020 - Liem Thinh edited" xfId="2469"/>
    <cellStyle name="Currency [0]ßmud plant bolted_RESULTS" xfId="2470"/>
    <cellStyle name="Currency [00]" xfId="2471"/>
    <cellStyle name="Currency [00] 10" xfId="2472"/>
    <cellStyle name="Currency [00] 11" xfId="2473"/>
    <cellStyle name="Currency [00] 12" xfId="2474"/>
    <cellStyle name="Currency [00] 13" xfId="2475"/>
    <cellStyle name="Currency [00] 14" xfId="2476"/>
    <cellStyle name="Currency [00] 15" xfId="2477"/>
    <cellStyle name="Currency [00] 16" xfId="2478"/>
    <cellStyle name="Currency [00] 2" xfId="2479"/>
    <cellStyle name="Currency [00] 3" xfId="2480"/>
    <cellStyle name="Currency [00] 4" xfId="2481"/>
    <cellStyle name="Currency [00] 5" xfId="2482"/>
    <cellStyle name="Currency [00] 6" xfId="2483"/>
    <cellStyle name="Currency [00] 7" xfId="2484"/>
    <cellStyle name="Currency [00] 8" xfId="2485"/>
    <cellStyle name="Currency [00] 9" xfId="2486"/>
    <cellStyle name="Currency 0.0" xfId="2487"/>
    <cellStyle name="Currency 0.0%" xfId="2488"/>
    <cellStyle name="Currency 0.0_05-12  KH trung han 2016-2020 - Liem Thinh edited" xfId="2489"/>
    <cellStyle name="Currency 0.00" xfId="2490"/>
    <cellStyle name="Currency 0.00%" xfId="2491"/>
    <cellStyle name="Currency 0.00_05-12  KH trung han 2016-2020 - Liem Thinh edited" xfId="2492"/>
    <cellStyle name="Currency 0.000" xfId="2493"/>
    <cellStyle name="Currency 0.000%" xfId="2494"/>
    <cellStyle name="Currency 0.000_05-12  KH trung han 2016-2020 - Liem Thinh edited" xfId="2495"/>
    <cellStyle name="Currency 2" xfId="2496"/>
    <cellStyle name="Currency 2 10" xfId="2497"/>
    <cellStyle name="Currency 2 11" xfId="2498"/>
    <cellStyle name="Currency 2 12" xfId="2499"/>
    <cellStyle name="Currency 2 13" xfId="2500"/>
    <cellStyle name="Currency 2 14" xfId="2501"/>
    <cellStyle name="Currency 2 15" xfId="2502"/>
    <cellStyle name="Currency 2 16" xfId="2503"/>
    <cellStyle name="Currency 2 2" xfId="2504"/>
    <cellStyle name="Currency 2 3" xfId="2505"/>
    <cellStyle name="Currency 2 4" xfId="2506"/>
    <cellStyle name="Currency 2 5" xfId="2507"/>
    <cellStyle name="Currency 2 6" xfId="2508"/>
    <cellStyle name="Currency 2 7" xfId="2509"/>
    <cellStyle name="Currency 2 8" xfId="2510"/>
    <cellStyle name="Currency 2 9" xfId="2511"/>
    <cellStyle name="Currency![0]_FCSt (2)" xfId="2512"/>
    <cellStyle name="Currency0" xfId="29"/>
    <cellStyle name="Currency0 10" xfId="2513"/>
    <cellStyle name="Currency0 11" xfId="2514"/>
    <cellStyle name="Currency0 12" xfId="2515"/>
    <cellStyle name="Currency0 13" xfId="2516"/>
    <cellStyle name="Currency0 14" xfId="2517"/>
    <cellStyle name="Currency0 15" xfId="2518"/>
    <cellStyle name="Currency0 16" xfId="2519"/>
    <cellStyle name="Currency0 2" xfId="2520"/>
    <cellStyle name="Currency0 2 2" xfId="2521"/>
    <cellStyle name="Currency0 3" xfId="2522"/>
    <cellStyle name="Currency0 4" xfId="2523"/>
    <cellStyle name="Currency0 5" xfId="2524"/>
    <cellStyle name="Currency0 6" xfId="2525"/>
    <cellStyle name="Currency0 7" xfId="2526"/>
    <cellStyle name="Currency0 8" xfId="2527"/>
    <cellStyle name="Currency0 9" xfId="2528"/>
    <cellStyle name="Currency0_IPC No.4 ADB5-TTH04 - T7,8-2008" xfId="5619"/>
    <cellStyle name="Currency1" xfId="2529"/>
    <cellStyle name="Currency1 10" xfId="2530"/>
    <cellStyle name="Currency1 11" xfId="2531"/>
    <cellStyle name="Currency1 12" xfId="2532"/>
    <cellStyle name="Currency1 13" xfId="2533"/>
    <cellStyle name="Currency1 14" xfId="2534"/>
    <cellStyle name="Currency1 15" xfId="2535"/>
    <cellStyle name="Currency1 16" xfId="2536"/>
    <cellStyle name="Currency1 2" xfId="2537"/>
    <cellStyle name="Currency1 2 2" xfId="2538"/>
    <cellStyle name="Currency1 3" xfId="2539"/>
    <cellStyle name="Currency1 4" xfId="2540"/>
    <cellStyle name="Currency1 5" xfId="2541"/>
    <cellStyle name="Currency1 6" xfId="2542"/>
    <cellStyle name="Currency1 7" xfId="2543"/>
    <cellStyle name="Currency1 8" xfId="2544"/>
    <cellStyle name="Currency1 9" xfId="2545"/>
    <cellStyle name="D1" xfId="2546"/>
    <cellStyle name="Date" xfId="30"/>
    <cellStyle name="Date 10" xfId="2547"/>
    <cellStyle name="Date 11" xfId="2548"/>
    <cellStyle name="Date 12" xfId="2549"/>
    <cellStyle name="Date 13" xfId="2550"/>
    <cellStyle name="Date 14" xfId="2551"/>
    <cellStyle name="Date 15" xfId="2552"/>
    <cellStyle name="Date 16" xfId="2553"/>
    <cellStyle name="Date 2" xfId="2554"/>
    <cellStyle name="Date 2 2" xfId="2555"/>
    <cellStyle name="Date 3" xfId="2556"/>
    <cellStyle name="Date 4" xfId="2557"/>
    <cellStyle name="Date 5" xfId="2558"/>
    <cellStyle name="Date 6" xfId="2559"/>
    <cellStyle name="Date 7" xfId="2560"/>
    <cellStyle name="Date 8" xfId="2561"/>
    <cellStyle name="Date 9" xfId="2562"/>
    <cellStyle name="Date Short" xfId="2563"/>
    <cellStyle name="Date Short 2" xfId="2564"/>
    <cellStyle name="Date_Bao Cao Kiem Tra  trung bay Ke milk-yomilk CK 2" xfId="5620"/>
    <cellStyle name="Đầu ra" xfId="2565"/>
    <cellStyle name="Đầu vào" xfId="2566"/>
    <cellStyle name="Dấu_phảy 2" xfId="2567"/>
    <cellStyle name="DAUDE" xfId="2568"/>
    <cellStyle name="Đề mục 1" xfId="2569"/>
    <cellStyle name="Đề mục 2" xfId="2570"/>
    <cellStyle name="Đề mục 3" xfId="2571"/>
    <cellStyle name="Đề mục 4" xfId="2572"/>
    <cellStyle name="Debit" xfId="2573"/>
    <cellStyle name="Debit subtotal" xfId="2574"/>
    <cellStyle name="Debit Total" xfId="2575"/>
    <cellStyle name="DELTA" xfId="2576"/>
    <cellStyle name="DELTA 10" xfId="2577"/>
    <cellStyle name="DELTA 11" xfId="2578"/>
    <cellStyle name="DELTA 12" xfId="2579"/>
    <cellStyle name="DELTA 13" xfId="2580"/>
    <cellStyle name="DELTA 14" xfId="2581"/>
    <cellStyle name="DELTA 15" xfId="2582"/>
    <cellStyle name="DELTA 2" xfId="2583"/>
    <cellStyle name="DELTA 3" xfId="2584"/>
    <cellStyle name="DELTA 4" xfId="2585"/>
    <cellStyle name="DELTA 5" xfId="2586"/>
    <cellStyle name="DELTA 6" xfId="2587"/>
    <cellStyle name="DELTA 7" xfId="2588"/>
    <cellStyle name="DELTA 8" xfId="2589"/>
    <cellStyle name="DELTA 9" xfId="2590"/>
    <cellStyle name="Dezimal [0]_35ERI8T2gbIEMixb4v26icuOo" xfId="2591"/>
    <cellStyle name="Dezimal_35ERI8T2gbIEMixb4v26icuOo" xfId="2592"/>
    <cellStyle name="Dg" xfId="2593"/>
    <cellStyle name="Dgia" xfId="2594"/>
    <cellStyle name="Dgia 2" xfId="2595"/>
    <cellStyle name="Dia" xfId="2596"/>
    <cellStyle name="_x0001_dÏÈ¹ " xfId="5621"/>
    <cellStyle name="_x0001_dÏÈ¹_" xfId="5622"/>
    <cellStyle name="Dollar (zero dec)" xfId="2597"/>
    <cellStyle name="Dollar (zero dec) 10" xfId="2598"/>
    <cellStyle name="Dollar (zero dec) 11" xfId="2599"/>
    <cellStyle name="Dollar (zero dec) 12" xfId="2600"/>
    <cellStyle name="Dollar (zero dec) 13" xfId="2601"/>
    <cellStyle name="Dollar (zero dec) 14" xfId="2602"/>
    <cellStyle name="Dollar (zero dec) 15" xfId="2603"/>
    <cellStyle name="Dollar (zero dec) 16" xfId="2604"/>
    <cellStyle name="Dollar (zero dec) 2" xfId="2605"/>
    <cellStyle name="Dollar (zero dec) 2 2" xfId="2606"/>
    <cellStyle name="Dollar (zero dec) 3" xfId="2607"/>
    <cellStyle name="Dollar (zero dec) 4" xfId="2608"/>
    <cellStyle name="Dollar (zero dec) 5" xfId="2609"/>
    <cellStyle name="Dollar (zero dec) 6" xfId="2610"/>
    <cellStyle name="Dollar (zero dec) 7" xfId="2611"/>
    <cellStyle name="Dollar (zero dec) 8" xfId="2612"/>
    <cellStyle name="Dollar (zero dec) 9" xfId="2613"/>
    <cellStyle name="Don gia" xfId="2614"/>
    <cellStyle name="Dziesi?tny [0]_Invoices2001Slovakia" xfId="2615"/>
    <cellStyle name="Dziesi?tny_Invoices2001Slovakia" xfId="2616"/>
    <cellStyle name="Dziesietny [0]_Invoices2001Slovakia" xfId="2617"/>
    <cellStyle name="Dziesiętny [0]_Invoices2001Slovakia" xfId="2618"/>
    <cellStyle name="Dziesietny [0]_Invoices2001Slovakia 2" xfId="2619"/>
    <cellStyle name="Dziesiętny [0]_Invoices2001Slovakia 2" xfId="2620"/>
    <cellStyle name="Dziesietny [0]_Invoices2001Slovakia 3" xfId="2621"/>
    <cellStyle name="Dziesiętny [0]_Invoices2001Slovakia 3" xfId="2622"/>
    <cellStyle name="Dziesietny [0]_Invoices2001Slovakia 4" xfId="2623"/>
    <cellStyle name="Dziesiętny [0]_Invoices2001Slovakia 4" xfId="2624"/>
    <cellStyle name="Dziesietny [0]_Invoices2001Slovakia 5" xfId="2625"/>
    <cellStyle name="Dziesiętny [0]_Invoices2001Slovakia 5" xfId="2626"/>
    <cellStyle name="Dziesietny [0]_Invoices2001Slovakia 6" xfId="2627"/>
    <cellStyle name="Dziesiętny [0]_Invoices2001Slovakia 6" xfId="2628"/>
    <cellStyle name="Dziesietny [0]_Invoices2001Slovakia 7" xfId="2629"/>
    <cellStyle name="Dziesiętny [0]_Invoices2001Slovakia 7" xfId="2630"/>
    <cellStyle name="Dziesietny [0]_Invoices2001Slovakia_01_Nha so 1_Dien" xfId="2631"/>
    <cellStyle name="Dziesiętny [0]_Invoices2001Slovakia_01_Nha so 1_Dien" xfId="2632"/>
    <cellStyle name="Dziesietny [0]_Invoices2001Slovakia_05-12  KH trung han 2016-2020 - Liem Thinh edited" xfId="2633"/>
    <cellStyle name="Dziesiętny [0]_Invoices2001Slovakia_05-12  KH trung han 2016-2020 - Liem Thinh edited" xfId="2634"/>
    <cellStyle name="Dziesietny [0]_Invoices2001Slovakia_10_Nha so 10_Dien1" xfId="2635"/>
    <cellStyle name="Dziesiętny [0]_Invoices2001Slovakia_10_Nha so 10_Dien1" xfId="2636"/>
    <cellStyle name="Dziesietny [0]_Invoices2001Slovakia_Book1" xfId="2637"/>
    <cellStyle name="Dziesiętny [0]_Invoices2001Slovakia_Book1" xfId="2638"/>
    <cellStyle name="Dziesietny [0]_Invoices2001Slovakia_Book1_1" xfId="2639"/>
    <cellStyle name="Dziesiętny [0]_Invoices2001Slovakia_Book1_1" xfId="2640"/>
    <cellStyle name="Dziesietny [0]_Invoices2001Slovakia_Book1_1_Book1" xfId="2641"/>
    <cellStyle name="Dziesiętny [0]_Invoices2001Slovakia_Book1_1_Book1" xfId="2642"/>
    <cellStyle name="Dziesietny [0]_Invoices2001Slovakia_Book1_2" xfId="2643"/>
    <cellStyle name="Dziesiętny [0]_Invoices2001Slovakia_Book1_2" xfId="2644"/>
    <cellStyle name="Dziesietny [0]_Invoices2001Slovakia_Book1_Nhu cau von ung truoc 2011 Tha h Hoa + Nge An gui TW" xfId="2645"/>
    <cellStyle name="Dziesiętny [0]_Invoices2001Slovakia_Book1_Nhu cau von ung truoc 2011 Tha h Hoa + Nge An gui TW" xfId="2646"/>
    <cellStyle name="Dziesietny [0]_Invoices2001Slovakia_Book1_Tong hop Cac tuyen(9-1-06)" xfId="2647"/>
    <cellStyle name="Dziesiętny [0]_Invoices2001Slovakia_Book1_Tong hop Cac tuyen(9-1-06)" xfId="2648"/>
    <cellStyle name="Dziesietny [0]_Invoices2001Slovakia_Book1_Tong hop Cac tuyen(9-1-06)_Book1" xfId="5623"/>
    <cellStyle name="Dziesiętny [0]_Invoices2001Slovakia_Book1_Tong hop Cac tuyen(9-1-06)_Book1" xfId="5624"/>
    <cellStyle name="Dziesietny [0]_Invoices2001Slovakia_Book1_ung 2011 - 11-6-Thanh hoa-Nghe an" xfId="2649"/>
    <cellStyle name="Dziesiętny [0]_Invoices2001Slovakia_Book1_ung 2011 - 11-6-Thanh hoa-Nghe an" xfId="2650"/>
    <cellStyle name="Dziesietny [0]_Invoices2001Slovakia_Book1_ung truoc 2011 NSTW Thanh Hoa + Nge An gui Thu 12-5" xfId="2651"/>
    <cellStyle name="Dziesiętny [0]_Invoices2001Slovakia_Book1_ung truoc 2011 NSTW Thanh Hoa + Nge An gui Thu 12-5" xfId="2652"/>
    <cellStyle name="Dziesietny [0]_Invoices2001Slovakia_Copy of 05-12  KH trung han 2016-2020 - Liem Thinh edited (1)" xfId="2653"/>
    <cellStyle name="Dziesiętny [0]_Invoices2001Slovakia_Copy of 05-12  KH trung han 2016-2020 - Liem Thinh edited (1)" xfId="2654"/>
    <cellStyle name="Dziesietny [0]_Invoices2001Slovakia_d-uong+TDT" xfId="2655"/>
    <cellStyle name="Dziesiętny [0]_Invoices2001Slovakia_KH TPCP 2016-2020 (tong hop)" xfId="2656"/>
    <cellStyle name="Dziesietny [0]_Invoices2001Slovakia_NHA de xe nguyen du" xfId="2657"/>
    <cellStyle name="Dziesiętny [0]_Invoices2001Slovakia_NHA de xe nguyen du" xfId="2658"/>
    <cellStyle name="Dziesietny [0]_Invoices2001Slovakia_Nhalamviec VTC(25-1-05)" xfId="2659"/>
    <cellStyle name="Dziesiętny [0]_Invoices2001Slovakia_Nhalamviec VTC(25-1-05)" xfId="2660"/>
    <cellStyle name="Dziesietny [0]_Invoices2001Slovakia_Nhu cau von ung truoc 2011 Tha h Hoa + Nge An gui TW" xfId="2661"/>
    <cellStyle name="Dziesiętny [0]_Invoices2001Slovakia_TDT KHANH HOA" xfId="2662"/>
    <cellStyle name="Dziesietny [0]_Invoices2001Slovakia_TDT KHANH HOA_Tong hop Cac tuyen(9-1-06)" xfId="2663"/>
    <cellStyle name="Dziesiętny [0]_Invoices2001Slovakia_TDT KHANH HOA_Tong hop Cac tuyen(9-1-06)" xfId="2664"/>
    <cellStyle name="Dziesietny [0]_Invoices2001Slovakia_TDT KHANH HOA_Tong hop Cac tuyen(9-1-06)_Book1" xfId="5625"/>
    <cellStyle name="Dziesiętny [0]_Invoices2001Slovakia_TDT KHANH HOA_Tong hop Cac tuyen(9-1-06)_Book1" xfId="5626"/>
    <cellStyle name="Dziesietny [0]_Invoices2001Slovakia_TDT quangngai" xfId="2665"/>
    <cellStyle name="Dziesiętny [0]_Invoices2001Slovakia_TDT quangngai" xfId="2666"/>
    <cellStyle name="Dziesietny [0]_Invoices2001Slovakia_TMDT(10-5-06)" xfId="2667"/>
    <cellStyle name="Dziesietny_Invoices2001Slovakia" xfId="2668"/>
    <cellStyle name="Dziesiętny_Invoices2001Slovakia" xfId="2669"/>
    <cellStyle name="Dziesietny_Invoices2001Slovakia 2" xfId="2670"/>
    <cellStyle name="Dziesiętny_Invoices2001Slovakia 2" xfId="2671"/>
    <cellStyle name="Dziesietny_Invoices2001Slovakia 3" xfId="2672"/>
    <cellStyle name="Dziesiętny_Invoices2001Slovakia 3" xfId="2673"/>
    <cellStyle name="Dziesietny_Invoices2001Slovakia 4" xfId="2674"/>
    <cellStyle name="Dziesiętny_Invoices2001Slovakia 4" xfId="2675"/>
    <cellStyle name="Dziesietny_Invoices2001Slovakia 5" xfId="2676"/>
    <cellStyle name="Dziesiętny_Invoices2001Slovakia 5" xfId="2677"/>
    <cellStyle name="Dziesietny_Invoices2001Slovakia 6" xfId="2678"/>
    <cellStyle name="Dziesiętny_Invoices2001Slovakia 6" xfId="2679"/>
    <cellStyle name="Dziesietny_Invoices2001Slovakia 7" xfId="2680"/>
    <cellStyle name="Dziesiętny_Invoices2001Slovakia 7" xfId="2681"/>
    <cellStyle name="Dziesietny_Invoices2001Slovakia_01_Nha so 1_Dien" xfId="2682"/>
    <cellStyle name="Dziesiętny_Invoices2001Slovakia_01_Nha so 1_Dien" xfId="2683"/>
    <cellStyle name="Dziesietny_Invoices2001Slovakia_05-12  KH trung han 2016-2020 - Liem Thinh edited" xfId="2684"/>
    <cellStyle name="Dziesiętny_Invoices2001Slovakia_05-12  KH trung han 2016-2020 - Liem Thinh edited" xfId="2685"/>
    <cellStyle name="Dziesietny_Invoices2001Slovakia_10_Nha so 10_Dien1" xfId="2686"/>
    <cellStyle name="Dziesiętny_Invoices2001Slovakia_10_Nha so 10_Dien1" xfId="2687"/>
    <cellStyle name="Dziesietny_Invoices2001Slovakia_Book1" xfId="2688"/>
    <cellStyle name="Dziesiętny_Invoices2001Slovakia_Book1" xfId="2689"/>
    <cellStyle name="Dziesietny_Invoices2001Slovakia_Book1_1" xfId="2690"/>
    <cellStyle name="Dziesiętny_Invoices2001Slovakia_Book1_1" xfId="2691"/>
    <cellStyle name="Dziesietny_Invoices2001Slovakia_Book1_1_Book1" xfId="2692"/>
    <cellStyle name="Dziesiętny_Invoices2001Slovakia_Book1_1_Book1" xfId="2693"/>
    <cellStyle name="Dziesietny_Invoices2001Slovakia_Book1_2" xfId="2694"/>
    <cellStyle name="Dziesiętny_Invoices2001Slovakia_Book1_2" xfId="2695"/>
    <cellStyle name="Dziesietny_Invoices2001Slovakia_Book1_Nhu cau von ung truoc 2011 Tha h Hoa + Nge An gui TW" xfId="2696"/>
    <cellStyle name="Dziesiętny_Invoices2001Slovakia_Book1_Nhu cau von ung truoc 2011 Tha h Hoa + Nge An gui TW" xfId="2697"/>
    <cellStyle name="Dziesietny_Invoices2001Slovakia_Book1_Tong hop Cac tuyen(9-1-06)" xfId="2698"/>
    <cellStyle name="Dziesiętny_Invoices2001Slovakia_Book1_Tong hop Cac tuyen(9-1-06)" xfId="2699"/>
    <cellStyle name="Dziesietny_Invoices2001Slovakia_Book1_Tong hop Cac tuyen(9-1-06)_Book1" xfId="5627"/>
    <cellStyle name="Dziesiętny_Invoices2001Slovakia_Book1_Tong hop Cac tuyen(9-1-06)_Book1" xfId="5628"/>
    <cellStyle name="Dziesietny_Invoices2001Slovakia_Book1_ung 2011 - 11-6-Thanh hoa-Nghe an" xfId="2700"/>
    <cellStyle name="Dziesiętny_Invoices2001Slovakia_Book1_ung 2011 - 11-6-Thanh hoa-Nghe an" xfId="2701"/>
    <cellStyle name="Dziesietny_Invoices2001Slovakia_Book1_ung truoc 2011 NSTW Thanh Hoa + Nge An gui Thu 12-5" xfId="2702"/>
    <cellStyle name="Dziesiętny_Invoices2001Slovakia_Book1_ung truoc 2011 NSTW Thanh Hoa + Nge An gui Thu 12-5" xfId="2703"/>
    <cellStyle name="Dziesietny_Invoices2001Slovakia_Copy of 05-12  KH trung han 2016-2020 - Liem Thinh edited (1)" xfId="2704"/>
    <cellStyle name="Dziesiętny_Invoices2001Slovakia_Copy of 05-12  KH trung han 2016-2020 - Liem Thinh edited (1)" xfId="2705"/>
    <cellStyle name="Dziesietny_Invoices2001Slovakia_d-uong+TDT" xfId="2706"/>
    <cellStyle name="Dziesiętny_Invoices2001Slovakia_KH TPCP 2016-2020 (tong hop)" xfId="2707"/>
    <cellStyle name="Dziesietny_Invoices2001Slovakia_NHA de xe nguyen du" xfId="2708"/>
    <cellStyle name="Dziesiętny_Invoices2001Slovakia_NHA de xe nguyen du" xfId="2709"/>
    <cellStyle name="Dziesietny_Invoices2001Slovakia_Nhalamviec VTC(25-1-05)" xfId="2710"/>
    <cellStyle name="Dziesiętny_Invoices2001Slovakia_Nhalamviec VTC(25-1-05)" xfId="2711"/>
    <cellStyle name="Dziesietny_Invoices2001Slovakia_Nhu cau von ung truoc 2011 Tha h Hoa + Nge An gui TW" xfId="2712"/>
    <cellStyle name="Dziesiętny_Invoices2001Slovakia_TDT KHANH HOA" xfId="2713"/>
    <cellStyle name="Dziesietny_Invoices2001Slovakia_TDT KHANH HOA_Tong hop Cac tuyen(9-1-06)" xfId="2714"/>
    <cellStyle name="Dziesiętny_Invoices2001Slovakia_TDT KHANH HOA_Tong hop Cac tuyen(9-1-06)" xfId="2715"/>
    <cellStyle name="Dziesietny_Invoices2001Slovakia_TDT KHANH HOA_Tong hop Cac tuyen(9-1-06)_Book1" xfId="5629"/>
    <cellStyle name="Dziesiętny_Invoices2001Slovakia_TDT KHANH HOA_Tong hop Cac tuyen(9-1-06)_Book1" xfId="5630"/>
    <cellStyle name="Dziesietny_Invoices2001Slovakia_TDT quangngai" xfId="2716"/>
    <cellStyle name="Dziesiętny_Invoices2001Slovakia_TDT quangngai" xfId="2717"/>
    <cellStyle name="Dziesietny_Invoices2001Slovakia_TMDT(10-5-06)" xfId="2718"/>
    <cellStyle name="e" xfId="2719"/>
    <cellStyle name="EN CO.," xfId="5631"/>
    <cellStyle name="Encabez1" xfId="2720"/>
    <cellStyle name="Encabez2" xfId="2721"/>
    <cellStyle name="Enter Currency (0)" xfId="2722"/>
    <cellStyle name="Enter Currency (0) 10" xfId="2723"/>
    <cellStyle name="Enter Currency (0) 11" xfId="2724"/>
    <cellStyle name="Enter Currency (0) 12" xfId="2725"/>
    <cellStyle name="Enter Currency (0) 13" xfId="2726"/>
    <cellStyle name="Enter Currency (0) 14" xfId="2727"/>
    <cellStyle name="Enter Currency (0) 15" xfId="2728"/>
    <cellStyle name="Enter Currency (0) 16" xfId="2729"/>
    <cellStyle name="Enter Currency (0) 2" xfId="2730"/>
    <cellStyle name="Enter Currency (0) 3" xfId="2731"/>
    <cellStyle name="Enter Currency (0) 4" xfId="2732"/>
    <cellStyle name="Enter Currency (0) 5" xfId="2733"/>
    <cellStyle name="Enter Currency (0) 6" xfId="2734"/>
    <cellStyle name="Enter Currency (0) 7" xfId="2735"/>
    <cellStyle name="Enter Currency (0) 8" xfId="2736"/>
    <cellStyle name="Enter Currency (0) 9" xfId="2737"/>
    <cellStyle name="Enter Currency (0)_Bien ban" xfId="5632"/>
    <cellStyle name="Enter Currency (2)" xfId="2738"/>
    <cellStyle name="Enter Currency (2) 10" xfId="2739"/>
    <cellStyle name="Enter Currency (2) 11" xfId="2740"/>
    <cellStyle name="Enter Currency (2) 12" xfId="2741"/>
    <cellStyle name="Enter Currency (2) 13" xfId="2742"/>
    <cellStyle name="Enter Currency (2) 14" xfId="2743"/>
    <cellStyle name="Enter Currency (2) 15" xfId="2744"/>
    <cellStyle name="Enter Currency (2) 16" xfId="2745"/>
    <cellStyle name="Enter Currency (2) 2" xfId="2746"/>
    <cellStyle name="Enter Currency (2) 3" xfId="2747"/>
    <cellStyle name="Enter Currency (2) 4" xfId="2748"/>
    <cellStyle name="Enter Currency (2) 5" xfId="2749"/>
    <cellStyle name="Enter Currency (2) 6" xfId="2750"/>
    <cellStyle name="Enter Currency (2) 7" xfId="2751"/>
    <cellStyle name="Enter Currency (2) 8" xfId="2752"/>
    <cellStyle name="Enter Currency (2) 9" xfId="2753"/>
    <cellStyle name="Enter Units (0)" xfId="2754"/>
    <cellStyle name="Enter Units (0) 10" xfId="2755"/>
    <cellStyle name="Enter Units (0) 11" xfId="2756"/>
    <cellStyle name="Enter Units (0) 12" xfId="2757"/>
    <cellStyle name="Enter Units (0) 13" xfId="2758"/>
    <cellStyle name="Enter Units (0) 14" xfId="2759"/>
    <cellStyle name="Enter Units (0) 15" xfId="2760"/>
    <cellStyle name="Enter Units (0) 16" xfId="2761"/>
    <cellStyle name="Enter Units (0) 2" xfId="2762"/>
    <cellStyle name="Enter Units (0) 3" xfId="2763"/>
    <cellStyle name="Enter Units (0) 4" xfId="2764"/>
    <cellStyle name="Enter Units (0) 5" xfId="2765"/>
    <cellStyle name="Enter Units (0) 6" xfId="2766"/>
    <cellStyle name="Enter Units (0) 7" xfId="2767"/>
    <cellStyle name="Enter Units (0) 8" xfId="2768"/>
    <cellStyle name="Enter Units (0) 9" xfId="2769"/>
    <cellStyle name="Enter Units (1)" xfId="2770"/>
    <cellStyle name="Enter Units (1) 10" xfId="2771"/>
    <cellStyle name="Enter Units (1) 11" xfId="2772"/>
    <cellStyle name="Enter Units (1) 12" xfId="2773"/>
    <cellStyle name="Enter Units (1) 13" xfId="2774"/>
    <cellStyle name="Enter Units (1) 14" xfId="2775"/>
    <cellStyle name="Enter Units (1) 15" xfId="2776"/>
    <cellStyle name="Enter Units (1) 16" xfId="2777"/>
    <cellStyle name="Enter Units (1) 2" xfId="2778"/>
    <cellStyle name="Enter Units (1) 3" xfId="2779"/>
    <cellStyle name="Enter Units (1) 4" xfId="2780"/>
    <cellStyle name="Enter Units (1) 5" xfId="2781"/>
    <cellStyle name="Enter Units (1) 6" xfId="2782"/>
    <cellStyle name="Enter Units (1) 7" xfId="2783"/>
    <cellStyle name="Enter Units (1) 8" xfId="2784"/>
    <cellStyle name="Enter Units (1) 9" xfId="2785"/>
    <cellStyle name="Enter Units (2)" xfId="2786"/>
    <cellStyle name="Enter Units (2) 10" xfId="2787"/>
    <cellStyle name="Enter Units (2) 11" xfId="2788"/>
    <cellStyle name="Enter Units (2) 12" xfId="2789"/>
    <cellStyle name="Enter Units (2) 13" xfId="2790"/>
    <cellStyle name="Enter Units (2) 14" xfId="2791"/>
    <cellStyle name="Enter Units (2) 15" xfId="2792"/>
    <cellStyle name="Enter Units (2) 16" xfId="2793"/>
    <cellStyle name="Enter Units (2) 2" xfId="2794"/>
    <cellStyle name="Enter Units (2) 3" xfId="2795"/>
    <cellStyle name="Enter Units (2) 4" xfId="2796"/>
    <cellStyle name="Enter Units (2) 5" xfId="2797"/>
    <cellStyle name="Enter Units (2) 6" xfId="2798"/>
    <cellStyle name="Enter Units (2) 7" xfId="2799"/>
    <cellStyle name="Enter Units (2) 8" xfId="2800"/>
    <cellStyle name="Enter Units (2) 9" xfId="2801"/>
    <cellStyle name="Entered" xfId="2802"/>
    <cellStyle name="Euro" xfId="2803"/>
    <cellStyle name="Euro 10" xfId="2804"/>
    <cellStyle name="Euro 11" xfId="2805"/>
    <cellStyle name="Euro 12" xfId="2806"/>
    <cellStyle name="Euro 13" xfId="2807"/>
    <cellStyle name="Euro 14" xfId="2808"/>
    <cellStyle name="Euro 15" xfId="2809"/>
    <cellStyle name="Euro 16" xfId="2810"/>
    <cellStyle name="Euro 2" xfId="2811"/>
    <cellStyle name="Euro 3" xfId="2812"/>
    <cellStyle name="Euro 4" xfId="2813"/>
    <cellStyle name="Euro 5" xfId="2814"/>
    <cellStyle name="Euro 6" xfId="2815"/>
    <cellStyle name="Euro 7" xfId="2816"/>
    <cellStyle name="Euro 8" xfId="2817"/>
    <cellStyle name="Euro 9" xfId="2818"/>
    <cellStyle name="Excel Built-in Normal" xfId="2819"/>
    <cellStyle name="Explanatory Text 2" xfId="2820"/>
    <cellStyle name="f" xfId="2821"/>
    <cellStyle name="f_Danhmuc_Quyhoach2009" xfId="2822"/>
    <cellStyle name="f_Danhmuc_Quyhoach2009 2" xfId="2823"/>
    <cellStyle name="f_Danhmuc_Quyhoach2009 2 2" xfId="2824"/>
    <cellStyle name="F2" xfId="2825"/>
    <cellStyle name="F3" xfId="2826"/>
    <cellStyle name="F4" xfId="2827"/>
    <cellStyle name="F5" xfId="2828"/>
    <cellStyle name="F6" xfId="2829"/>
    <cellStyle name="F7" xfId="2830"/>
    <cellStyle name="F8" xfId="2831"/>
    <cellStyle name="Fijo" xfId="2832"/>
    <cellStyle name="Financiero" xfId="2833"/>
    <cellStyle name="Fixed" xfId="31"/>
    <cellStyle name="Fixed 10" xfId="2834"/>
    <cellStyle name="Fixed 11" xfId="2835"/>
    <cellStyle name="Fixed 12" xfId="2836"/>
    <cellStyle name="Fixed 13" xfId="2837"/>
    <cellStyle name="Fixed 14" xfId="2838"/>
    <cellStyle name="Fixed 15" xfId="2839"/>
    <cellStyle name="Fixed 16" xfId="2840"/>
    <cellStyle name="Fixed 2" xfId="2841"/>
    <cellStyle name="Fixed 2 2" xfId="2842"/>
    <cellStyle name="Fixed 3" xfId="2843"/>
    <cellStyle name="Fixed 4" xfId="2844"/>
    <cellStyle name="Fixed 5" xfId="2845"/>
    <cellStyle name="Fixed 6" xfId="2846"/>
    <cellStyle name="Fixed 7" xfId="2847"/>
    <cellStyle name="Fixed 8" xfId="2848"/>
    <cellStyle name="Fixed 9" xfId="2849"/>
    <cellStyle name="Font Britannic16" xfId="2850"/>
    <cellStyle name="Font Britannic18" xfId="2851"/>
    <cellStyle name="Font CenturyCond 18" xfId="2852"/>
    <cellStyle name="Font Cond20" xfId="2853"/>
    <cellStyle name="Font LucidaSans16" xfId="2854"/>
    <cellStyle name="Font NewCenturyCond18" xfId="2855"/>
    <cellStyle name="Font Ottawa14" xfId="2856"/>
    <cellStyle name="Font Ottawa16" xfId="2857"/>
    <cellStyle name="Formulas" xfId="2858"/>
    <cellStyle name="Ghi chú" xfId="2859"/>
    <cellStyle name="gia" xfId="2860"/>
    <cellStyle name="Good 2" xfId="2861"/>
    <cellStyle name="Grey" xfId="2862"/>
    <cellStyle name="Grey 10" xfId="2863"/>
    <cellStyle name="Grey 11" xfId="2864"/>
    <cellStyle name="Grey 12" xfId="2865"/>
    <cellStyle name="Grey 13" xfId="2866"/>
    <cellStyle name="Grey 14" xfId="2867"/>
    <cellStyle name="Grey 15" xfId="2868"/>
    <cellStyle name="Grey 16" xfId="2869"/>
    <cellStyle name="Grey 2" xfId="2870"/>
    <cellStyle name="Grey 3" xfId="2871"/>
    <cellStyle name="Grey 4" xfId="2872"/>
    <cellStyle name="Grey 5" xfId="2873"/>
    <cellStyle name="Grey 6" xfId="2874"/>
    <cellStyle name="Grey 7" xfId="2875"/>
    <cellStyle name="Grey 8" xfId="2876"/>
    <cellStyle name="Grey 9" xfId="2877"/>
    <cellStyle name="Grey_KH TPCP 2016-2020 (tong hop)" xfId="2878"/>
    <cellStyle name="Group" xfId="2879"/>
    <cellStyle name="H" xfId="2880"/>
    <cellStyle name="ha" xfId="2881"/>
    <cellStyle name="HAI" xfId="2882"/>
    <cellStyle name="Head 1" xfId="2883"/>
    <cellStyle name="HEADER" xfId="2884"/>
    <cellStyle name="HEADER 2" xfId="2885"/>
    <cellStyle name="Header1" xfId="32"/>
    <cellStyle name="Header1 2" xfId="2886"/>
    <cellStyle name="Header2" xfId="33"/>
    <cellStyle name="Header2 2" xfId="2887"/>
    <cellStyle name="Heading" xfId="2888"/>
    <cellStyle name="Heading 1 2" xfId="2889"/>
    <cellStyle name="Heading 1 3" xfId="5633"/>
    <cellStyle name="Heading 2 2" xfId="2890"/>
    <cellStyle name="Heading 2 3" xfId="5634"/>
    <cellStyle name="Heading 3 2" xfId="2891"/>
    <cellStyle name="Heading 4 2" xfId="2892"/>
    <cellStyle name="Heading No Underline" xfId="2893"/>
    <cellStyle name="Heading With Underline" xfId="2894"/>
    <cellStyle name="Heading1" xfId="2895"/>
    <cellStyle name="Heading1 2" xfId="5635"/>
    <cellStyle name="Heading2" xfId="2896"/>
    <cellStyle name="HEADING2 2" xfId="5636"/>
    <cellStyle name="HEADING2 3" xfId="5637"/>
    <cellStyle name="HEADING2 4" xfId="5638"/>
    <cellStyle name="HEADING2 5" xfId="5639"/>
    <cellStyle name="HEADING2 6" xfId="5640"/>
    <cellStyle name="HEADING2 7" xfId="5641"/>
    <cellStyle name="Heading2 8" xfId="5642"/>
    <cellStyle name="Heading2 9" xfId="5643"/>
    <cellStyle name="HEADING2_Bien ban" xfId="5644"/>
    <cellStyle name="HEADINGS" xfId="2897"/>
    <cellStyle name="HEADINGSTOP" xfId="2898"/>
    <cellStyle name="headoption" xfId="2899"/>
    <cellStyle name="headoption 2" xfId="2900"/>
    <cellStyle name="headoption 3" xfId="2901"/>
    <cellStyle name="hoa" xfId="2902"/>
    <cellStyle name="Hoa-Scholl" xfId="2903"/>
    <cellStyle name="Hoa-Scholl 2" xfId="2904"/>
    <cellStyle name="HUY" xfId="2905"/>
    <cellStyle name="i phÝ kh¸c_B¶ng 2" xfId="2906"/>
    <cellStyle name="I.3" xfId="2907"/>
    <cellStyle name="i·0" xfId="2908"/>
    <cellStyle name="i·0 2" xfId="2909"/>
    <cellStyle name="_x0001_í½?" xfId="5645"/>
    <cellStyle name="ï-¾È»ê_BiÓu TB" xfId="2910"/>
    <cellStyle name="_x0001_íå_x001b_ô " xfId="5646"/>
    <cellStyle name="_x0001_íå_x001b_ô_" xfId="5647"/>
    <cellStyle name="Input [yellow]" xfId="2911"/>
    <cellStyle name="Input [yellow] 10" xfId="2912"/>
    <cellStyle name="Input [yellow] 11" xfId="2913"/>
    <cellStyle name="Input [yellow] 12" xfId="2914"/>
    <cellStyle name="Input [yellow] 13" xfId="2915"/>
    <cellStyle name="Input [yellow] 14" xfId="2916"/>
    <cellStyle name="Input [yellow] 15" xfId="2917"/>
    <cellStyle name="Input [yellow] 16" xfId="2918"/>
    <cellStyle name="Input [yellow] 2" xfId="2919"/>
    <cellStyle name="Input [yellow] 2 2" xfId="2920"/>
    <cellStyle name="Input [yellow] 3" xfId="2921"/>
    <cellStyle name="Input [yellow] 4" xfId="2922"/>
    <cellStyle name="Input [yellow] 5" xfId="2923"/>
    <cellStyle name="Input [yellow] 6" xfId="2924"/>
    <cellStyle name="Input [yellow] 7" xfId="2925"/>
    <cellStyle name="Input [yellow] 8" xfId="2926"/>
    <cellStyle name="Input [yellow] 9" xfId="2927"/>
    <cellStyle name="Input [yellow]_KH TPCP 2016-2020 (tong hop)" xfId="2928"/>
    <cellStyle name="Input 2" xfId="2929"/>
    <cellStyle name="Input 3" xfId="2930"/>
    <cellStyle name="Input 4" xfId="2931"/>
    <cellStyle name="Input 5" xfId="2932"/>
    <cellStyle name="Input 6" xfId="2933"/>
    <cellStyle name="Input 7" xfId="2934"/>
    <cellStyle name="k" xfId="2935"/>
    <cellStyle name="k_TONG HOP KINH PHI" xfId="2936"/>
    <cellStyle name="k_TONG HOP KINH PHI_!1 1 bao cao giao KH ve HTCMT vung TNB   12-12-2011" xfId="2937"/>
    <cellStyle name="k_TONG HOP KINH PHI_Bieu4HTMT" xfId="2938"/>
    <cellStyle name="k_TONG HOP KINH PHI_Bieu4HTMT_!1 1 bao cao giao KH ve HTCMT vung TNB   12-12-2011" xfId="2939"/>
    <cellStyle name="k_TONG HOP KINH PHI_Bieu4HTMT_KH TPCP vung TNB (03-1-2012)" xfId="2940"/>
    <cellStyle name="k_TONG HOP KINH PHI_KH TPCP vung TNB (03-1-2012)" xfId="2941"/>
    <cellStyle name="k_ÿÿÿÿÿ" xfId="2942"/>
    <cellStyle name="k_ÿÿÿÿÿ_!1 1 bao cao giao KH ve HTCMT vung TNB   12-12-2011" xfId="2943"/>
    <cellStyle name="k_ÿÿÿÿÿ_1" xfId="2944"/>
    <cellStyle name="k_ÿÿÿÿÿ_2" xfId="2945"/>
    <cellStyle name="k_ÿÿÿÿÿ_2_!1 1 bao cao giao KH ve HTCMT vung TNB   12-12-2011" xfId="2946"/>
    <cellStyle name="k_ÿÿÿÿÿ_2_Bieu4HTMT" xfId="2947"/>
    <cellStyle name="k_ÿÿÿÿÿ_2_Bieu4HTMT_!1 1 bao cao giao KH ve HTCMT vung TNB   12-12-2011" xfId="2948"/>
    <cellStyle name="k_ÿÿÿÿÿ_2_Bieu4HTMT_KH TPCP vung TNB (03-1-2012)" xfId="2949"/>
    <cellStyle name="k_ÿÿÿÿÿ_2_KH TPCP vung TNB (03-1-2012)" xfId="2950"/>
    <cellStyle name="k_ÿÿÿÿÿ_Bieu4HTMT" xfId="2951"/>
    <cellStyle name="k_ÿÿÿÿÿ_Bieu4HTMT_!1 1 bao cao giao KH ve HTCMT vung TNB   12-12-2011" xfId="2952"/>
    <cellStyle name="k_ÿÿÿÿÿ_Bieu4HTMT_KH TPCP vung TNB (03-1-2012)" xfId="2953"/>
    <cellStyle name="k_ÿÿÿÿÿ_KH TPCP vung TNB (03-1-2012)" xfId="2954"/>
    <cellStyle name="kh¸c_Bang Chi tieu" xfId="2955"/>
    <cellStyle name="khanh" xfId="2956"/>
    <cellStyle name="khoa2" xfId="2957"/>
    <cellStyle name="khung" xfId="2958"/>
    <cellStyle name="Kiểm tra Ô" xfId="2959"/>
    <cellStyle name="KL" xfId="2960"/>
    <cellStyle name="Ledger 17 x 11 in" xfId="2961"/>
    <cellStyle name="Ledger 17 x 11 in 2" xfId="5648"/>
    <cellStyle name="Ledger 17 x 11 in 2 2" xfId="5649"/>
    <cellStyle name="Ledger 17 x 11 in_bieu 8e" xfId="5650"/>
    <cellStyle name="left" xfId="2962"/>
    <cellStyle name="Line" xfId="2963"/>
    <cellStyle name="Link Currency (0)" xfId="2964"/>
    <cellStyle name="Link Currency (0) 10" xfId="2965"/>
    <cellStyle name="Link Currency (0) 11" xfId="2966"/>
    <cellStyle name="Link Currency (0) 12" xfId="2967"/>
    <cellStyle name="Link Currency (0) 13" xfId="2968"/>
    <cellStyle name="Link Currency (0) 14" xfId="2969"/>
    <cellStyle name="Link Currency (0) 15" xfId="2970"/>
    <cellStyle name="Link Currency (0) 16" xfId="2971"/>
    <cellStyle name="Link Currency (0) 2" xfId="2972"/>
    <cellStyle name="Link Currency (0) 3" xfId="2973"/>
    <cellStyle name="Link Currency (0) 4" xfId="2974"/>
    <cellStyle name="Link Currency (0) 5" xfId="2975"/>
    <cellStyle name="Link Currency (0) 6" xfId="2976"/>
    <cellStyle name="Link Currency (0) 7" xfId="2977"/>
    <cellStyle name="Link Currency (0) 8" xfId="2978"/>
    <cellStyle name="Link Currency (0) 9" xfId="2979"/>
    <cellStyle name="Link Currency (0)_Bien ban" xfId="5651"/>
    <cellStyle name="Link Currency (2)" xfId="2980"/>
    <cellStyle name="Link Currency (2) 10" xfId="2981"/>
    <cellStyle name="Link Currency (2) 11" xfId="2982"/>
    <cellStyle name="Link Currency (2) 12" xfId="2983"/>
    <cellStyle name="Link Currency (2) 13" xfId="2984"/>
    <cellStyle name="Link Currency (2) 14" xfId="2985"/>
    <cellStyle name="Link Currency (2) 15" xfId="2986"/>
    <cellStyle name="Link Currency (2) 16" xfId="2987"/>
    <cellStyle name="Link Currency (2) 2" xfId="2988"/>
    <cellStyle name="Link Currency (2) 3" xfId="2989"/>
    <cellStyle name="Link Currency (2) 4" xfId="2990"/>
    <cellStyle name="Link Currency (2) 5" xfId="2991"/>
    <cellStyle name="Link Currency (2) 6" xfId="2992"/>
    <cellStyle name="Link Currency (2) 7" xfId="2993"/>
    <cellStyle name="Link Currency (2) 8" xfId="2994"/>
    <cellStyle name="Link Currency (2) 9" xfId="2995"/>
    <cellStyle name="Link Units (0)" xfId="2996"/>
    <cellStyle name="Link Units (0) 10" xfId="2997"/>
    <cellStyle name="Link Units (0) 11" xfId="2998"/>
    <cellStyle name="Link Units (0) 12" xfId="2999"/>
    <cellStyle name="Link Units (0) 13" xfId="3000"/>
    <cellStyle name="Link Units (0) 14" xfId="3001"/>
    <cellStyle name="Link Units (0) 15" xfId="3002"/>
    <cellStyle name="Link Units (0) 16" xfId="3003"/>
    <cellStyle name="Link Units (0) 2" xfId="3004"/>
    <cellStyle name="Link Units (0) 3" xfId="3005"/>
    <cellStyle name="Link Units (0) 4" xfId="3006"/>
    <cellStyle name="Link Units (0) 5" xfId="3007"/>
    <cellStyle name="Link Units (0) 6" xfId="3008"/>
    <cellStyle name="Link Units (0) 7" xfId="3009"/>
    <cellStyle name="Link Units (0) 8" xfId="3010"/>
    <cellStyle name="Link Units (0) 9" xfId="3011"/>
    <cellStyle name="Link Units (1)" xfId="3012"/>
    <cellStyle name="Link Units (1) 10" xfId="3013"/>
    <cellStyle name="Link Units (1) 11" xfId="3014"/>
    <cellStyle name="Link Units (1) 12" xfId="3015"/>
    <cellStyle name="Link Units (1) 13" xfId="3016"/>
    <cellStyle name="Link Units (1) 14" xfId="3017"/>
    <cellStyle name="Link Units (1) 15" xfId="3018"/>
    <cellStyle name="Link Units (1) 16" xfId="3019"/>
    <cellStyle name="Link Units (1) 2" xfId="3020"/>
    <cellStyle name="Link Units (1) 3" xfId="3021"/>
    <cellStyle name="Link Units (1) 4" xfId="3022"/>
    <cellStyle name="Link Units (1) 5" xfId="3023"/>
    <cellStyle name="Link Units (1) 6" xfId="3024"/>
    <cellStyle name="Link Units (1) 7" xfId="3025"/>
    <cellStyle name="Link Units (1) 8" xfId="3026"/>
    <cellStyle name="Link Units (1) 9" xfId="3027"/>
    <cellStyle name="Link Units (2)" xfId="3028"/>
    <cellStyle name="Link Units (2) 10" xfId="3029"/>
    <cellStyle name="Link Units (2) 11" xfId="3030"/>
    <cellStyle name="Link Units (2) 12" xfId="3031"/>
    <cellStyle name="Link Units (2) 13" xfId="3032"/>
    <cellStyle name="Link Units (2) 14" xfId="3033"/>
    <cellStyle name="Link Units (2) 15" xfId="3034"/>
    <cellStyle name="Link Units (2) 16" xfId="3035"/>
    <cellStyle name="Link Units (2) 2" xfId="3036"/>
    <cellStyle name="Link Units (2) 3" xfId="3037"/>
    <cellStyle name="Link Units (2) 4" xfId="3038"/>
    <cellStyle name="Link Units (2) 5" xfId="3039"/>
    <cellStyle name="Link Units (2) 6" xfId="3040"/>
    <cellStyle name="Link Units (2) 7" xfId="3041"/>
    <cellStyle name="Link Units (2) 8" xfId="3042"/>
    <cellStyle name="Link Units (2) 9" xfId="3043"/>
    <cellStyle name="Linked Cell 2" xfId="3044"/>
    <cellStyle name="Loai CBDT" xfId="3045"/>
    <cellStyle name="Loai CT" xfId="3046"/>
    <cellStyle name="Loai GD" xfId="3047"/>
    <cellStyle name="MAU" xfId="3048"/>
    <cellStyle name="MAU 2" xfId="3049"/>
    <cellStyle name="Migliaia (0)_CALPREZZ" xfId="3050"/>
    <cellStyle name="Migliaia_ PESO ELETTR." xfId="3051"/>
    <cellStyle name="Millares [0]_10 AVERIAS MASIVAS + ANT" xfId="3052"/>
    <cellStyle name="Millares_Well Timing" xfId="3053"/>
    <cellStyle name="Milliers [0]_      " xfId="3054"/>
    <cellStyle name="Milliers_      " xfId="3055"/>
    <cellStyle name="Model" xfId="3056"/>
    <cellStyle name="Model 2" xfId="3057"/>
    <cellStyle name="moi" xfId="3058"/>
    <cellStyle name="moi 2" xfId="3059"/>
    <cellStyle name="moi 3" xfId="3060"/>
    <cellStyle name="Moneda [0]_Well Timing" xfId="3061"/>
    <cellStyle name="Moneda_Well Timing" xfId="3062"/>
    <cellStyle name="Monétaire [0]_      " xfId="3063"/>
    <cellStyle name="Monétaire_      " xfId="3064"/>
    <cellStyle name="n" xfId="34"/>
    <cellStyle name="n_Bieu ke hoach nam 2010" xfId="3065"/>
    <cellStyle name="n_KH 2010-bieu 6" xfId="3066"/>
    <cellStyle name="Neutral 2" xfId="3067"/>
    <cellStyle name="New" xfId="3068"/>
    <cellStyle name="New Times Roman" xfId="3069"/>
    <cellStyle name="nga" xfId="3070"/>
    <cellStyle name="nga 2" xfId="3071"/>
    <cellStyle name="nga 3" xfId="3072"/>
    <cellStyle name="Nhấn1" xfId="3073"/>
    <cellStyle name="Nhấn2" xfId="3074"/>
    <cellStyle name="Nhấn3" xfId="3075"/>
    <cellStyle name="Nhấn4" xfId="3076"/>
    <cellStyle name="Nhấn5" xfId="3077"/>
    <cellStyle name="Nhấn6" xfId="3078"/>
    <cellStyle name="no dec" xfId="3079"/>
    <cellStyle name="no dec 2" xfId="3080"/>
    <cellStyle name="no dec 2 2" xfId="3081"/>
    <cellStyle name="ÑONVÒ" xfId="3082"/>
    <cellStyle name="ÑONVÒ 2" xfId="3083"/>
    <cellStyle name="Normal" xfId="0" builtinId="0"/>
    <cellStyle name="Normal - ??1" xfId="3084"/>
    <cellStyle name="Normal - Style1" xfId="35"/>
    <cellStyle name="Normal - Style1 2" xfId="3085"/>
    <cellStyle name="Normal - Style1 3" xfId="3086"/>
    <cellStyle name="Normal - Style1_KH TPCP 2016-2020 (tong hop)" xfId="3087"/>
    <cellStyle name="Normal - 유형1" xfId="3088"/>
    <cellStyle name="Normal 10" xfId="36"/>
    <cellStyle name="Normal 10 10" xfId="3089"/>
    <cellStyle name="Normal 10 11" xfId="3090"/>
    <cellStyle name="Normal 10 12" xfId="3091"/>
    <cellStyle name="Normal 10 13" xfId="3092"/>
    <cellStyle name="Normal 10 14" xfId="3093"/>
    <cellStyle name="Normal 10 15" xfId="3094"/>
    <cellStyle name="Normal 10 16" xfId="3095"/>
    <cellStyle name="Normal 10 17" xfId="3096"/>
    <cellStyle name="Normal 10 18" xfId="3097"/>
    <cellStyle name="Normal 10 19" xfId="3098"/>
    <cellStyle name="Normal 10 2" xfId="2"/>
    <cellStyle name="Normal 10 2 10" xfId="3099"/>
    <cellStyle name="Normal 10 2 11" xfId="3100"/>
    <cellStyle name="Normal 10 2 12" xfId="3101"/>
    <cellStyle name="Normal 10 2 13" xfId="3102"/>
    <cellStyle name="Normal 10 2 14" xfId="3103"/>
    <cellStyle name="Normal 10 2 15" xfId="3104"/>
    <cellStyle name="Normal 10 2 16" xfId="3105"/>
    <cellStyle name="Normal 10 2 17" xfId="3106"/>
    <cellStyle name="Normal 10 2 18" xfId="3107"/>
    <cellStyle name="Normal 10 2 19" xfId="3108"/>
    <cellStyle name="Normal 10 2 2" xfId="3109"/>
    <cellStyle name="Normal 10 2 20" xfId="3110"/>
    <cellStyle name="Normal 10 2 21" xfId="3111"/>
    <cellStyle name="Normal 10 2 22" xfId="3112"/>
    <cellStyle name="Normal 10 2 23" xfId="3113"/>
    <cellStyle name="Normal 10 2 24" xfId="37"/>
    <cellStyle name="Normal 10 2 3" xfId="3114"/>
    <cellStyle name="Normal 10 2 4" xfId="3115"/>
    <cellStyle name="Normal 10 2 5" xfId="3116"/>
    <cellStyle name="Normal 10 2 6" xfId="3117"/>
    <cellStyle name="Normal 10 2 7" xfId="3118"/>
    <cellStyle name="Normal 10 2 8" xfId="3119"/>
    <cellStyle name="Normal 10 2 9" xfId="3120"/>
    <cellStyle name="Normal 10 20" xfId="3121"/>
    <cellStyle name="Normal 10 21" xfId="3122"/>
    <cellStyle name="Normal 10 22" xfId="3123"/>
    <cellStyle name="Normal 10 23" xfId="3124"/>
    <cellStyle name="Normal 10 24" xfId="3125"/>
    <cellStyle name="Normal 10 25" xfId="3126"/>
    <cellStyle name="Normal 10 26" xfId="5799"/>
    <cellStyle name="Normal 10 3" xfId="3127"/>
    <cellStyle name="Normal 10 3 2" xfId="3128"/>
    <cellStyle name="Normal 10 4" xfId="3129"/>
    <cellStyle name="Normal 10 5" xfId="3130"/>
    <cellStyle name="Normal 10 6" xfId="3131"/>
    <cellStyle name="Normal 10 7" xfId="3132"/>
    <cellStyle name="Normal 10 7 2" xfId="3133"/>
    <cellStyle name="Normal 10 8" xfId="3134"/>
    <cellStyle name="Normal 10 9" xfId="3135"/>
    <cellStyle name="Normal 10_05-12  KH trung han 2016-2020 - Liem Thinh edited" xfId="3136"/>
    <cellStyle name="Normal 100" xfId="5652"/>
    <cellStyle name="Normal 101" xfId="5653"/>
    <cellStyle name="Normal 102" xfId="5795"/>
    <cellStyle name="Normal 103" xfId="5797"/>
    <cellStyle name="Normal 11" xfId="3137"/>
    <cellStyle name="Normal 11 2" xfId="3138"/>
    <cellStyle name="Normal 11 2 2" xfId="3139"/>
    <cellStyle name="Normal 11 3" xfId="3140"/>
    <cellStyle name="Normal 11 3 2" xfId="3141"/>
    <cellStyle name="Normal 11 3 3" xfId="3142"/>
    <cellStyle name="Normal 11 3 4" xfId="3143"/>
    <cellStyle name="Normal 11 4" xfId="3144"/>
    <cellStyle name="Normal 12" xfId="3145"/>
    <cellStyle name="Normal 12 2" xfId="3146"/>
    <cellStyle name="Normal 12 3" xfId="3147"/>
    <cellStyle name="Normal 12 4" xfId="3148"/>
    <cellStyle name="Normal 12_CD nguon va su dung nguon" xfId="5654"/>
    <cellStyle name="Normal 13" xfId="38"/>
    <cellStyle name="Normal 13 2" xfId="3149"/>
    <cellStyle name="Normal 13_CD nguon va su dung nguon" xfId="5655"/>
    <cellStyle name="Normal 14" xfId="3150"/>
    <cellStyle name="Normal 14 2" xfId="3151"/>
    <cellStyle name="Normal 14 3" xfId="3152"/>
    <cellStyle name="Normal 15" xfId="3153"/>
    <cellStyle name="Normal 15 2" xfId="3154"/>
    <cellStyle name="Normal 15 3" xfId="3155"/>
    <cellStyle name="Normal 16" xfId="3156"/>
    <cellStyle name="Normal 16 2" xfId="3157"/>
    <cellStyle name="Normal 16 2 2" xfId="3158"/>
    <cellStyle name="Normal 16 2 2 2" xfId="3159"/>
    <cellStyle name="Normal 16 2 3" xfId="3160"/>
    <cellStyle name="Normal 16 2 3 2" xfId="3161"/>
    <cellStyle name="Normal 16 2 4" xfId="3162"/>
    <cellStyle name="Normal 16 3" xfId="3163"/>
    <cellStyle name="Normal 16 4" xfId="3164"/>
    <cellStyle name="Normal 16 4 2" xfId="3165"/>
    <cellStyle name="Normal 16 5" xfId="3166"/>
    <cellStyle name="Normal 16 5 2" xfId="3167"/>
    <cellStyle name="Normal 17" xfId="3168"/>
    <cellStyle name="Normal 17 2" xfId="3169"/>
    <cellStyle name="Normal 17 3 2" xfId="3170"/>
    <cellStyle name="Normal 17 3 2 2" xfId="3171"/>
    <cellStyle name="Normal 17 3 2 2 2" xfId="3172"/>
    <cellStyle name="Normal 17 3 2 3" xfId="3173"/>
    <cellStyle name="Normal 17 3 2 3 2" xfId="3174"/>
    <cellStyle name="Normal 17 3 2 4" xfId="3175"/>
    <cellStyle name="Normal 17_CD nguon va su dung nguon" xfId="5656"/>
    <cellStyle name="Normal 18" xfId="3176"/>
    <cellStyle name="Normal 18 2" xfId="3177"/>
    <cellStyle name="Normal 18 2 2" xfId="3178"/>
    <cellStyle name="Normal 18 3" xfId="3179"/>
    <cellStyle name="Normal 18_05-12  KH trung han 2016-2020 - Liem Thinh edited" xfId="3180"/>
    <cellStyle name="Normal 19" xfId="3181"/>
    <cellStyle name="Normal 19 2" xfId="3182"/>
    <cellStyle name="Normal 19 3" xfId="3183"/>
    <cellStyle name="Normal 2" xfId="1"/>
    <cellStyle name="Normal 2 10" xfId="3184"/>
    <cellStyle name="Normal 2 10 2" xfId="3185"/>
    <cellStyle name="Normal 2 11" xfId="3186"/>
    <cellStyle name="Normal 2 11 2" xfId="3187"/>
    <cellStyle name="Normal 2 12" xfId="3188"/>
    <cellStyle name="Normal 2 12 2" xfId="3189"/>
    <cellStyle name="Normal 2 13" xfId="3190"/>
    <cellStyle name="Normal 2 13 2" xfId="3191"/>
    <cellStyle name="Normal 2 14" xfId="3192"/>
    <cellStyle name="Normal 2 14 2" xfId="3193"/>
    <cellStyle name="Normal 2 14_Phuongangiao 1-giaoxulykythuat" xfId="3194"/>
    <cellStyle name="Normal 2 15" xfId="3195"/>
    <cellStyle name="Normal 2 16" xfId="3196"/>
    <cellStyle name="Normal 2 17" xfId="3197"/>
    <cellStyle name="Normal 2 18" xfId="3198"/>
    <cellStyle name="Normal 2 19" xfId="3199"/>
    <cellStyle name="Normal 2 2" xfId="5"/>
    <cellStyle name="Normal 2 2 10" xfId="3200"/>
    <cellStyle name="Normal 2 2 10 2" xfId="60"/>
    <cellStyle name="Normal 2 2 11" xfId="3201"/>
    <cellStyle name="Normal 2 2 12" xfId="3202"/>
    <cellStyle name="Normal 2 2 13" xfId="3203"/>
    <cellStyle name="Normal 2 2 14" xfId="3204"/>
    <cellStyle name="Normal 2 2 15" xfId="3205"/>
    <cellStyle name="Normal 2 2 16" xfId="3206"/>
    <cellStyle name="Normal 2 2 17" xfId="3207"/>
    <cellStyle name="Normal 2 2 18" xfId="3208"/>
    <cellStyle name="Normal 2 2 19" xfId="3209"/>
    <cellStyle name="Normal 2 2 2" xfId="59"/>
    <cellStyle name="Normal 2 2 2 10" xfId="3210"/>
    <cellStyle name="Normal 2 2 2 11" xfId="3211"/>
    <cellStyle name="Normal 2 2 2 12" xfId="3212"/>
    <cellStyle name="Normal 2 2 2 13" xfId="3213"/>
    <cellStyle name="Normal 2 2 2 14" xfId="3214"/>
    <cellStyle name="Normal 2 2 2 15" xfId="3215"/>
    <cellStyle name="Normal 2 2 2 16" xfId="3216"/>
    <cellStyle name="Normal 2 2 2 17" xfId="3217"/>
    <cellStyle name="Normal 2 2 2 18" xfId="3218"/>
    <cellStyle name="Normal 2 2 2 19" xfId="3219"/>
    <cellStyle name="Normal 2 2 2 2" xfId="3220"/>
    <cellStyle name="Normal 2 2 2 2 10" xfId="3221"/>
    <cellStyle name="Normal 2 2 2 2 11" xfId="3222"/>
    <cellStyle name="Normal 2 2 2 2 12" xfId="3223"/>
    <cellStyle name="Normal 2 2 2 2 13" xfId="3224"/>
    <cellStyle name="Normal 2 2 2 2 14" xfId="3225"/>
    <cellStyle name="Normal 2 2 2 2 15" xfId="3226"/>
    <cellStyle name="Normal 2 2 2 2 16" xfId="3227"/>
    <cellStyle name="Normal 2 2 2 2 17" xfId="3228"/>
    <cellStyle name="Normal 2 2 2 2 18" xfId="3229"/>
    <cellStyle name="Normal 2 2 2 2 19" xfId="3230"/>
    <cellStyle name="Normal 2 2 2 2 2" xfId="3231"/>
    <cellStyle name="Normal 2 2 2 2 2 10" xfId="3232"/>
    <cellStyle name="Normal 2 2 2 2 2 11" xfId="3233"/>
    <cellStyle name="Normal 2 2 2 2 2 12" xfId="3234"/>
    <cellStyle name="Normal 2 2 2 2 2 13" xfId="3235"/>
    <cellStyle name="Normal 2 2 2 2 2 14" xfId="3236"/>
    <cellStyle name="Normal 2 2 2 2 2 15" xfId="3237"/>
    <cellStyle name="Normal 2 2 2 2 2 16" xfId="3238"/>
    <cellStyle name="Normal 2 2 2 2 2 17" xfId="3239"/>
    <cellStyle name="Normal 2 2 2 2 2 18" xfId="3240"/>
    <cellStyle name="Normal 2 2 2 2 2 19" xfId="3241"/>
    <cellStyle name="Normal 2 2 2 2 2 2" xfId="3242"/>
    <cellStyle name="Normal 2 2 2 2 2 20" xfId="3243"/>
    <cellStyle name="Normal 2 2 2 2 2 21" xfId="3244"/>
    <cellStyle name="Normal 2 2 2 2 2 22" xfId="3245"/>
    <cellStyle name="Normal 2 2 2 2 2 23" xfId="3246"/>
    <cellStyle name="Normal 2 2 2 2 2 3" xfId="3247"/>
    <cellStyle name="Normal 2 2 2 2 2 4" xfId="3248"/>
    <cellStyle name="Normal 2 2 2 2 2 5" xfId="3249"/>
    <cellStyle name="Normal 2 2 2 2 2 6" xfId="3250"/>
    <cellStyle name="Normal 2 2 2 2 2 7" xfId="3251"/>
    <cellStyle name="Normal 2 2 2 2 2 8" xfId="3252"/>
    <cellStyle name="Normal 2 2 2 2 2 9" xfId="3253"/>
    <cellStyle name="Normal 2 2 2 2 20" xfId="3254"/>
    <cellStyle name="Normal 2 2 2 2 21" xfId="3255"/>
    <cellStyle name="Normal 2 2 2 2 22" xfId="3256"/>
    <cellStyle name="Normal 2 2 2 2 23" xfId="3257"/>
    <cellStyle name="Normal 2 2 2 2 3" xfId="3258"/>
    <cellStyle name="Normal 2 2 2 2 4" xfId="3259"/>
    <cellStyle name="Normal 2 2 2 2 5" xfId="3260"/>
    <cellStyle name="Normal 2 2 2 2 6" xfId="3261"/>
    <cellStyle name="Normal 2 2 2 2 7" xfId="3262"/>
    <cellStyle name="Normal 2 2 2 2 8" xfId="3263"/>
    <cellStyle name="Normal 2 2 2 2 9" xfId="3264"/>
    <cellStyle name="Normal 2 2 2 20" xfId="3265"/>
    <cellStyle name="Normal 2 2 2 21" xfId="3266"/>
    <cellStyle name="Normal 2 2 2 22" xfId="3267"/>
    <cellStyle name="Normal 2 2 2 23" xfId="3268"/>
    <cellStyle name="Normal 2 2 2 3" xfId="3269"/>
    <cellStyle name="Normal 2 2 2 4" xfId="3270"/>
    <cellStyle name="Normal 2 2 2 5" xfId="3271"/>
    <cellStyle name="Normal 2 2 2 6" xfId="3272"/>
    <cellStyle name="Normal 2 2 2 7" xfId="3273"/>
    <cellStyle name="Normal 2 2 2 8" xfId="3274"/>
    <cellStyle name="Normal 2 2 2 9" xfId="3275"/>
    <cellStyle name="Normal 2 2 20" xfId="3276"/>
    <cellStyle name="Normal 2 2 21" xfId="3277"/>
    <cellStyle name="Normal 2 2 22" xfId="3278"/>
    <cellStyle name="Normal 2 2 23" xfId="3279"/>
    <cellStyle name="Normal 2 2 24" xfId="3280"/>
    <cellStyle name="Normal 2 2 25" xfId="3281"/>
    <cellStyle name="Normal 2 2 26" xfId="3282"/>
    <cellStyle name="Normal 2 2 3" xfId="3283"/>
    <cellStyle name="Normal 2 2 4" xfId="3284"/>
    <cellStyle name="Normal 2 2 4 2" xfId="3285"/>
    <cellStyle name="Normal 2 2 4 3" xfId="3286"/>
    <cellStyle name="Normal 2 2 5" xfId="3287"/>
    <cellStyle name="Normal 2 2 6" xfId="3288"/>
    <cellStyle name="Normal 2 2 7" xfId="3289"/>
    <cellStyle name="Normal 2 2 8" xfId="3290"/>
    <cellStyle name="Normal 2 2 9" xfId="3291"/>
    <cellStyle name="Normal 2 2_Bieu chi tiet tang quy mo, dch ky thuat 4" xfId="3292"/>
    <cellStyle name="Normal 2 20" xfId="3293"/>
    <cellStyle name="Normal 2 21" xfId="3294"/>
    <cellStyle name="Normal 2 22" xfId="3295"/>
    <cellStyle name="Normal 2 23" xfId="3296"/>
    <cellStyle name="Normal 2 24" xfId="3297"/>
    <cellStyle name="Normal 2 25" xfId="3298"/>
    <cellStyle name="Normal 2 26" xfId="3299"/>
    <cellStyle name="Normal 2 26 2" xfId="3300"/>
    <cellStyle name="Normal 2 27" xfId="39"/>
    <cellStyle name="Normal 2 28" xfId="3301"/>
    <cellStyle name="Normal 2 29" xfId="3302"/>
    <cellStyle name="Normal 2 3" xfId="3303"/>
    <cellStyle name="Normal 2 3 10" xfId="3304"/>
    <cellStyle name="Normal 2 3 11" xfId="3305"/>
    <cellStyle name="Normal 2 3 12" xfId="3306"/>
    <cellStyle name="Normal 2 3 13" xfId="3307"/>
    <cellStyle name="Normal 2 3 14" xfId="3308"/>
    <cellStyle name="Normal 2 3 15" xfId="3309"/>
    <cellStyle name="Normal 2 3 16" xfId="3310"/>
    <cellStyle name="Normal 2 3 17" xfId="3311"/>
    <cellStyle name="Normal 2 3 18" xfId="3312"/>
    <cellStyle name="Normal 2 3 19" xfId="3313"/>
    <cellStyle name="Normal 2 3 2" xfId="3314"/>
    <cellStyle name="Normal 2 3 2 2" xfId="3315"/>
    <cellStyle name="Normal 2 3 20" xfId="3316"/>
    <cellStyle name="Normal 2 3 21" xfId="3317"/>
    <cellStyle name="Normal 2 3 22" xfId="3318"/>
    <cellStyle name="Normal 2 3 23" xfId="3319"/>
    <cellStyle name="Normal 2 3 24" xfId="3320"/>
    <cellStyle name="Normal 2 3 3" xfId="3321"/>
    <cellStyle name="Normal 2 3 4" xfId="3322"/>
    <cellStyle name="Normal 2 3 5" xfId="3323"/>
    <cellStyle name="Normal 2 3 6" xfId="3324"/>
    <cellStyle name="Normal 2 3 7" xfId="3325"/>
    <cellStyle name="Normal 2 3 8" xfId="3326"/>
    <cellStyle name="Normal 2 3 9" xfId="3327"/>
    <cellStyle name="Normal 2 30" xfId="3328"/>
    <cellStyle name="Normal 2 31" xfId="3329"/>
    <cellStyle name="Normal 2 32" xfId="3330"/>
    <cellStyle name="Normal 2 33" xfId="3331"/>
    <cellStyle name="Normal 2 34" xfId="3332"/>
    <cellStyle name="Normal 2 35" xfId="3333"/>
    <cellStyle name="Normal 2 36" xfId="3334"/>
    <cellStyle name="Normal 2 37" xfId="3335"/>
    <cellStyle name="Normal 2 38" xfId="3336"/>
    <cellStyle name="Normal 2 39" xfId="3337"/>
    <cellStyle name="Normal 2 4" xfId="3338"/>
    <cellStyle name="Normal 2 4 10" xfId="3339"/>
    <cellStyle name="Normal 2 4 11" xfId="3340"/>
    <cellStyle name="Normal 2 4 12" xfId="3341"/>
    <cellStyle name="Normal 2 4 13" xfId="3342"/>
    <cellStyle name="Normal 2 4 14" xfId="3343"/>
    <cellStyle name="Normal 2 4 15" xfId="3344"/>
    <cellStyle name="Normal 2 4 16" xfId="3345"/>
    <cellStyle name="Normal 2 4 17" xfId="3346"/>
    <cellStyle name="Normal 2 4 18" xfId="3347"/>
    <cellStyle name="Normal 2 4 19" xfId="3348"/>
    <cellStyle name="Normal 2 4 2" xfId="3349"/>
    <cellStyle name="Normal 2 4 2 2" xfId="3350"/>
    <cellStyle name="Normal 2 4 20" xfId="3351"/>
    <cellStyle name="Normal 2 4 21" xfId="3352"/>
    <cellStyle name="Normal 2 4 22" xfId="3353"/>
    <cellStyle name="Normal 2 4 23" xfId="3354"/>
    <cellStyle name="Normal 2 4 3" xfId="3355"/>
    <cellStyle name="Normal 2 4 3 2" xfId="3356"/>
    <cellStyle name="Normal 2 4 4" xfId="3357"/>
    <cellStyle name="Normal 2 4 5" xfId="3358"/>
    <cellStyle name="Normal 2 4 6" xfId="3359"/>
    <cellStyle name="Normal 2 4 7" xfId="3360"/>
    <cellStyle name="Normal 2 4 8" xfId="3361"/>
    <cellStyle name="Normal 2 4 9" xfId="3362"/>
    <cellStyle name="Normal 2 40" xfId="3363"/>
    <cellStyle name="Normal 2 41" xfId="3364"/>
    <cellStyle name="Normal 2 42" xfId="3365"/>
    <cellStyle name="Normal 2 43" xfId="3366"/>
    <cellStyle name="Normal 2 44" xfId="3367"/>
    <cellStyle name="Normal 2 45" xfId="3368"/>
    <cellStyle name="Normal 2 46" xfId="3369"/>
    <cellStyle name="Normal 2 5" xfId="3370"/>
    <cellStyle name="Normal 2 5 2" xfId="3371"/>
    <cellStyle name="Normal 2 6" xfId="3372"/>
    <cellStyle name="Normal 2 6 2" xfId="3373"/>
    <cellStyle name="Normal 2 7" xfId="3374"/>
    <cellStyle name="Normal 2 7 2" xfId="3375"/>
    <cellStyle name="Normal 2 8" xfId="40"/>
    <cellStyle name="Normal 2 8 2" xfId="3376"/>
    <cellStyle name="Normal 2 9" xfId="3377"/>
    <cellStyle name="Normal 2 9 2" xfId="3378"/>
    <cellStyle name="Normal 2_bao cao QTr sua 905  12- 2014" xfId="5657"/>
    <cellStyle name="Normal 20" xfId="3379"/>
    <cellStyle name="Normal 20 2" xfId="3380"/>
    <cellStyle name="Normal 21" xfId="3381"/>
    <cellStyle name="Normal 21 2" xfId="3382"/>
    <cellStyle name="Normal 22" xfId="3383"/>
    <cellStyle name="Normal 22 2" xfId="3384"/>
    <cellStyle name="Normal 23" xfId="3385"/>
    <cellStyle name="Normal 23 2" xfId="3386"/>
    <cellStyle name="Normal 23 3" xfId="3387"/>
    <cellStyle name="Normal 24" xfId="3388"/>
    <cellStyle name="Normal 24 2" xfId="3389"/>
    <cellStyle name="Normal 24 2 2" xfId="3390"/>
    <cellStyle name="Normal 25" xfId="3391"/>
    <cellStyle name="Normal 25 2" xfId="3392"/>
    <cellStyle name="Normal 25 3" xfId="3393"/>
    <cellStyle name="Normal 26" xfId="3394"/>
    <cellStyle name="Normal 26 2" xfId="3395"/>
    <cellStyle name="Normal 27" xfId="3396"/>
    <cellStyle name="Normal 27 2" xfId="3397"/>
    <cellStyle name="Normal 28" xfId="3398"/>
    <cellStyle name="Normal 28 2" xfId="3399"/>
    <cellStyle name="Normal 29" xfId="3400"/>
    <cellStyle name="Normal 29 2" xfId="3401"/>
    <cellStyle name="Normal 3" xfId="8"/>
    <cellStyle name="Normal 3 10" xfId="3402"/>
    <cellStyle name="Normal 3 11" xfId="3403"/>
    <cellStyle name="Normal 3 12" xfId="3404"/>
    <cellStyle name="Normal 3 13" xfId="3405"/>
    <cellStyle name="Normal 3 14" xfId="3406"/>
    <cellStyle name="Normal 3 15" xfId="3407"/>
    <cellStyle name="Normal 3 16" xfId="3408"/>
    <cellStyle name="Normal 3 17" xfId="3409"/>
    <cellStyle name="Normal 3 18" xfId="3410"/>
    <cellStyle name="Normal 3 2" xfId="3411"/>
    <cellStyle name="Normal 3 2 2" xfId="3412"/>
    <cellStyle name="Normal 3 2 2 2" xfId="3413"/>
    <cellStyle name="Normal 3 2 3" xfId="3414"/>
    <cellStyle name="Normal 3 2 3 2" xfId="3415"/>
    <cellStyle name="Normal 3 2 4" xfId="3416"/>
    <cellStyle name="Normal 3 2 5" xfId="3417"/>
    <cellStyle name="Normal 3 2 5 2" xfId="3418"/>
    <cellStyle name="Normal 3 2 6" xfId="3419"/>
    <cellStyle name="Normal 3 2 6 2" xfId="3420"/>
    <cellStyle name="Normal 3 2 7" xfId="3421"/>
    <cellStyle name="Normal 3 3" xfId="3422"/>
    <cellStyle name="Normal 3 3 2" xfId="3423"/>
    <cellStyle name="Normal 3 4" xfId="3424"/>
    <cellStyle name="Normal 3 4 2" xfId="3425"/>
    <cellStyle name="Normal 3 5" xfId="3426"/>
    <cellStyle name="Normal 3 6" xfId="3427"/>
    <cellStyle name="Normal 3 7" xfId="3428"/>
    <cellStyle name="Normal 3 8" xfId="3429"/>
    <cellStyle name="Normal 3 9" xfId="3430"/>
    <cellStyle name="Normal 3_1309_THungvonNSTW" xfId="3431"/>
    <cellStyle name="Normal 30" xfId="3432"/>
    <cellStyle name="Normal 30 2" xfId="3433"/>
    <cellStyle name="Normal 30 2 2" xfId="3434"/>
    <cellStyle name="Normal 30 3" xfId="3435"/>
    <cellStyle name="Normal 30 3 2" xfId="3436"/>
    <cellStyle name="Normal 30 4" xfId="3437"/>
    <cellStyle name="Normal 31" xfId="41"/>
    <cellStyle name="Normal 31 2" xfId="3438"/>
    <cellStyle name="Normal 31 2 2" xfId="3439"/>
    <cellStyle name="Normal 31 3" xfId="3440"/>
    <cellStyle name="Normal 31 3 2" xfId="3441"/>
    <cellStyle name="Normal 31 4" xfId="3442"/>
    <cellStyle name="Normal 32" xfId="3443"/>
    <cellStyle name="Normal 32 2" xfId="3444"/>
    <cellStyle name="Normal 32 2 2" xfId="3445"/>
    <cellStyle name="Normal 33" xfId="3446"/>
    <cellStyle name="Normal 33 2" xfId="3447"/>
    <cellStyle name="Normal 34" xfId="3448"/>
    <cellStyle name="Normal 35" xfId="3449"/>
    <cellStyle name="Normal 36" xfId="3450"/>
    <cellStyle name="Normal 37" xfId="3451"/>
    <cellStyle name="Normal 37 2" xfId="3452"/>
    <cellStyle name="Normal 37 2 2" xfId="3453"/>
    <cellStyle name="Normal 37 2 3" xfId="3454"/>
    <cellStyle name="Normal 37 3" xfId="3455"/>
    <cellStyle name="Normal 37 3 2" xfId="3456"/>
    <cellStyle name="Normal 37 4" xfId="3457"/>
    <cellStyle name="Normal 38" xfId="3458"/>
    <cellStyle name="Normal 38 2" xfId="3459"/>
    <cellStyle name="Normal 38 2 2" xfId="3460"/>
    <cellStyle name="Normal 39" xfId="3461"/>
    <cellStyle name="Normal 39 2" xfId="3462"/>
    <cellStyle name="Normal 39 2 2" xfId="3463"/>
    <cellStyle name="Normal 39 3" xfId="3464"/>
    <cellStyle name="Normal 39 3 2" xfId="3465"/>
    <cellStyle name="Normal 4" xfId="3466"/>
    <cellStyle name="Normal 4 10" xfId="3467"/>
    <cellStyle name="Normal 4 11" xfId="3468"/>
    <cellStyle name="Normal 4 12" xfId="3469"/>
    <cellStyle name="Normal 4 13" xfId="3470"/>
    <cellStyle name="Normal 4 14" xfId="3471"/>
    <cellStyle name="Normal 4 15" xfId="3472"/>
    <cellStyle name="Normal 4 16" xfId="3473"/>
    <cellStyle name="Normal 4 17" xfId="3474"/>
    <cellStyle name="Normal 4 18" xfId="3475"/>
    <cellStyle name="Normal 4 19" xfId="3476"/>
    <cellStyle name="Normal 4 2" xfId="3477"/>
    <cellStyle name="Normal 4 2 2" xfId="3478"/>
    <cellStyle name="Normal 4 20" xfId="3479"/>
    <cellStyle name="Normal 4 21" xfId="3480"/>
    <cellStyle name="Normal 4 22" xfId="3481"/>
    <cellStyle name="Normal 4 23" xfId="3482"/>
    <cellStyle name="Normal 4 24" xfId="3483"/>
    <cellStyle name="Normal 4 3" xfId="3484"/>
    <cellStyle name="Normal 4 4" xfId="3485"/>
    <cellStyle name="Normal 4 5" xfId="3486"/>
    <cellStyle name="Normal 4 6" xfId="3487"/>
    <cellStyle name="Normal 4 7" xfId="3488"/>
    <cellStyle name="Normal 4 8" xfId="3489"/>
    <cellStyle name="Normal 4 9" xfId="3490"/>
    <cellStyle name="Normal 4_Bang bieu" xfId="3491"/>
    <cellStyle name="Normal 40" xfId="3492"/>
    <cellStyle name="Normal 41" xfId="3493"/>
    <cellStyle name="Normal 42" xfId="3494"/>
    <cellStyle name="Normal 43" xfId="3495"/>
    <cellStyle name="Normal 44" xfId="3496"/>
    <cellStyle name="Normal 45" xfId="3497"/>
    <cellStyle name="Normal 46" xfId="3498"/>
    <cellStyle name="Normal 46 2" xfId="3499"/>
    <cellStyle name="Normal 47" xfId="3500"/>
    <cellStyle name="Normal 48" xfId="3501"/>
    <cellStyle name="Normal 49" xfId="3502"/>
    <cellStyle name="Normal 5" xfId="42"/>
    <cellStyle name="Normal 5 10" xfId="3503"/>
    <cellStyle name="Normal 5 11" xfId="3504"/>
    <cellStyle name="Normal 5 12" xfId="3505"/>
    <cellStyle name="Normal 5 13" xfId="3506"/>
    <cellStyle name="Normal 5 14" xfId="3507"/>
    <cellStyle name="Normal 5 15" xfId="3508"/>
    <cellStyle name="Normal 5 16" xfId="3509"/>
    <cellStyle name="Normal 5 17" xfId="3510"/>
    <cellStyle name="Normal 5 18" xfId="3511"/>
    <cellStyle name="Normal 5 19" xfId="3512"/>
    <cellStyle name="Normal 5 2" xfId="3513"/>
    <cellStyle name="Normal 5 2 2" xfId="3514"/>
    <cellStyle name="Normal 5 20" xfId="3515"/>
    <cellStyle name="Normal 5 21" xfId="3516"/>
    <cellStyle name="Normal 5 22" xfId="3517"/>
    <cellStyle name="Normal 5 23" xfId="3518"/>
    <cellStyle name="Normal 5 3" xfId="3519"/>
    <cellStyle name="Normal 5 4" xfId="3520"/>
    <cellStyle name="Normal 5 5" xfId="3521"/>
    <cellStyle name="Normal 5 6" xfId="3522"/>
    <cellStyle name="Normal 5 7" xfId="3523"/>
    <cellStyle name="Normal 5 8" xfId="3524"/>
    <cellStyle name="Normal 5 9" xfId="3525"/>
    <cellStyle name="Normal 5_CD nguon va su dung nguon" xfId="5658"/>
    <cellStyle name="Normal 50" xfId="3526"/>
    <cellStyle name="Normal 51" xfId="3527"/>
    <cellStyle name="Normal 52" xfId="3528"/>
    <cellStyle name="Normal 53" xfId="3529"/>
    <cellStyle name="Normal 54" xfId="3530"/>
    <cellStyle name="Normal 55" xfId="5659"/>
    <cellStyle name="Normal 56" xfId="5660"/>
    <cellStyle name="Normal 57" xfId="5661"/>
    <cellStyle name="Normal 58" xfId="5662"/>
    <cellStyle name="Normal 59" xfId="5663"/>
    <cellStyle name="Normal 6" xfId="3531"/>
    <cellStyle name="Normal 6 10" xfId="3532"/>
    <cellStyle name="Normal 6 11" xfId="3533"/>
    <cellStyle name="Normal 6 12" xfId="3534"/>
    <cellStyle name="Normal 6 13" xfId="3535"/>
    <cellStyle name="Normal 6 14" xfId="3536"/>
    <cellStyle name="Normal 6 15" xfId="3537"/>
    <cellStyle name="Normal 6 16" xfId="3538"/>
    <cellStyle name="Normal 6 2" xfId="3539"/>
    <cellStyle name="Normal 6 2 2" xfId="3540"/>
    <cellStyle name="Normal 6 3" xfId="3541"/>
    <cellStyle name="Normal 6 4" xfId="3542"/>
    <cellStyle name="Normal 6 5" xfId="3543"/>
    <cellStyle name="Normal 6 6" xfId="3544"/>
    <cellStyle name="Normal 6 7" xfId="3545"/>
    <cellStyle name="Normal 6 8" xfId="3546"/>
    <cellStyle name="Normal 6 9" xfId="3547"/>
    <cellStyle name="Normal 6_CD nguon va su dung nguon" xfId="5664"/>
    <cellStyle name="Normal 60" xfId="5665"/>
    <cellStyle name="Normal 61" xfId="5666"/>
    <cellStyle name="Normal 62" xfId="5667"/>
    <cellStyle name="Normal 63" xfId="5668"/>
    <cellStyle name="Normal 64" xfId="5669"/>
    <cellStyle name="Normal 65" xfId="5670"/>
    <cellStyle name="Normal 66" xfId="5671"/>
    <cellStyle name="Normal 67" xfId="5672"/>
    <cellStyle name="Normal 68" xfId="5673"/>
    <cellStyle name="Normal 69" xfId="5674"/>
    <cellStyle name="Normal 7" xfId="3548"/>
    <cellStyle name="Normal 7 10" xfId="3549"/>
    <cellStyle name="Normal 7 11" xfId="3550"/>
    <cellStyle name="Normal 7 12" xfId="3551"/>
    <cellStyle name="Normal 7 13" xfId="3552"/>
    <cellStyle name="Normal 7 14" xfId="3553"/>
    <cellStyle name="Normal 7 15" xfId="3554"/>
    <cellStyle name="Normal 7 16" xfId="3555"/>
    <cellStyle name="Normal 7 17" xfId="3556"/>
    <cellStyle name="Normal 7 18" xfId="3557"/>
    <cellStyle name="Normal 7 19" xfId="3558"/>
    <cellStyle name="Normal 7 2" xfId="3559"/>
    <cellStyle name="Normal 7 2 10" xfId="3560"/>
    <cellStyle name="Normal 7 2 11" xfId="3561"/>
    <cellStyle name="Normal 7 2 12" xfId="3562"/>
    <cellStyle name="Normal 7 2 13" xfId="3563"/>
    <cellStyle name="Normal 7 2 14" xfId="3564"/>
    <cellStyle name="Normal 7 2 15" xfId="3565"/>
    <cellStyle name="Normal 7 2 16" xfId="3566"/>
    <cellStyle name="Normal 7 2 17" xfId="3567"/>
    <cellStyle name="Normal 7 2 18" xfId="3568"/>
    <cellStyle name="Normal 7 2 19" xfId="3569"/>
    <cellStyle name="Normal 7 2 2" xfId="3570"/>
    <cellStyle name="Normal 7 2 20" xfId="3571"/>
    <cellStyle name="Normal 7 2 21" xfId="3572"/>
    <cellStyle name="Normal 7 2 22" xfId="3573"/>
    <cellStyle name="Normal 7 2 23" xfId="3574"/>
    <cellStyle name="Normal 7 2 3" xfId="3575"/>
    <cellStyle name="Normal 7 2 4" xfId="3576"/>
    <cellStyle name="Normal 7 2 5" xfId="3577"/>
    <cellStyle name="Normal 7 2 6" xfId="3578"/>
    <cellStyle name="Normal 7 2 7" xfId="3579"/>
    <cellStyle name="Normal 7 2 8" xfId="3580"/>
    <cellStyle name="Normal 7 2 9" xfId="3581"/>
    <cellStyle name="Normal 7 20" xfId="3582"/>
    <cellStyle name="Normal 7 21" xfId="3583"/>
    <cellStyle name="Normal 7 22" xfId="3584"/>
    <cellStyle name="Normal 7 23" xfId="3585"/>
    <cellStyle name="Normal 7 24" xfId="3586"/>
    <cellStyle name="Normal 7 3" xfId="3587"/>
    <cellStyle name="Normal 7 3 2" xfId="3588"/>
    <cellStyle name="Normal 7 3 3" xfId="3589"/>
    <cellStyle name="Normal 7 4" xfId="3590"/>
    <cellStyle name="Normal 7 5" xfId="3591"/>
    <cellStyle name="Normal 7 6" xfId="3592"/>
    <cellStyle name="Normal 7 7" xfId="3593"/>
    <cellStyle name="Normal 7 8" xfId="3594"/>
    <cellStyle name="Normal 7 9" xfId="3595"/>
    <cellStyle name="Normal 7_!1 1 bao cao giao KH ve HTCMT vung TNB   12-12-2011" xfId="3596"/>
    <cellStyle name="Normal 70" xfId="5675"/>
    <cellStyle name="Normal 71" xfId="5676"/>
    <cellStyle name="Normal 72" xfId="5677"/>
    <cellStyle name="Normal 73" xfId="5678"/>
    <cellStyle name="Normal 74" xfId="5679"/>
    <cellStyle name="Normal 75" xfId="5680"/>
    <cellStyle name="Normal 76" xfId="5681"/>
    <cellStyle name="Normal 77" xfId="5682"/>
    <cellStyle name="Normal 78" xfId="5683"/>
    <cellStyle name="Normal 79" xfId="43"/>
    <cellStyle name="Normal 8" xfId="3597"/>
    <cellStyle name="Normal 8 10" xfId="3598"/>
    <cellStyle name="Normal 8 11" xfId="3599"/>
    <cellStyle name="Normal 8 12" xfId="3600"/>
    <cellStyle name="Normal 8 13" xfId="3601"/>
    <cellStyle name="Normal 8 14" xfId="3602"/>
    <cellStyle name="Normal 8 15" xfId="3603"/>
    <cellStyle name="Normal 8 16" xfId="3604"/>
    <cellStyle name="Normal 8 17" xfId="3605"/>
    <cellStyle name="Normal 8 18" xfId="3606"/>
    <cellStyle name="Normal 8 19" xfId="3607"/>
    <cellStyle name="Normal 8 2" xfId="3608"/>
    <cellStyle name="Normal 8 2 10" xfId="3609"/>
    <cellStyle name="Normal 8 2 11" xfId="3610"/>
    <cellStyle name="Normal 8 2 12" xfId="3611"/>
    <cellStyle name="Normal 8 2 13" xfId="3612"/>
    <cellStyle name="Normal 8 2 14" xfId="3613"/>
    <cellStyle name="Normal 8 2 15" xfId="3614"/>
    <cellStyle name="Normal 8 2 16" xfId="3615"/>
    <cellStyle name="Normal 8 2 17" xfId="3616"/>
    <cellStyle name="Normal 8 2 18" xfId="3617"/>
    <cellStyle name="Normal 8 2 19" xfId="3618"/>
    <cellStyle name="Normal 8 2 2" xfId="3619"/>
    <cellStyle name="Normal 8 2 2 2" xfId="3620"/>
    <cellStyle name="Normal 8 2 20" xfId="3621"/>
    <cellStyle name="Normal 8 2 21" xfId="3622"/>
    <cellStyle name="Normal 8 2 22" xfId="3623"/>
    <cellStyle name="Normal 8 2 23" xfId="3624"/>
    <cellStyle name="Normal 8 2 3" xfId="3625"/>
    <cellStyle name="Normal 8 2 4" xfId="3626"/>
    <cellStyle name="Normal 8 2 5" xfId="3627"/>
    <cellStyle name="Normal 8 2 6" xfId="3628"/>
    <cellStyle name="Normal 8 2 7" xfId="3629"/>
    <cellStyle name="Normal 8 2 8" xfId="3630"/>
    <cellStyle name="Normal 8 2 9" xfId="3631"/>
    <cellStyle name="Normal 8 2_Phuongangiao 1-giaoxulykythuat" xfId="3632"/>
    <cellStyle name="Normal 8 20" xfId="3633"/>
    <cellStyle name="Normal 8 21" xfId="3634"/>
    <cellStyle name="Normal 8 22" xfId="3635"/>
    <cellStyle name="Normal 8 23" xfId="3636"/>
    <cellStyle name="Normal 8 24" xfId="3637"/>
    <cellStyle name="Normal 8 3" xfId="3638"/>
    <cellStyle name="Normal 8 4" xfId="3639"/>
    <cellStyle name="Normal 8 5" xfId="3640"/>
    <cellStyle name="Normal 8 6" xfId="3641"/>
    <cellStyle name="Normal 8 7" xfId="3642"/>
    <cellStyle name="Normal 8 8" xfId="3643"/>
    <cellStyle name="Normal 8 9" xfId="3644"/>
    <cellStyle name="Normal 8_KH KH2014-TPCP (11-12-2013)-3 ( lay theo DH TPCP 2012-2015 da trinh)" xfId="3645"/>
    <cellStyle name="Normal 80" xfId="5684"/>
    <cellStyle name="Normal 81" xfId="5685"/>
    <cellStyle name="Normal 82" xfId="5686"/>
    <cellStyle name="Normal 83" xfId="5687"/>
    <cellStyle name="Normal 84" xfId="5688"/>
    <cellStyle name="Normal 85" xfId="5689"/>
    <cellStyle name="Normal 86" xfId="5690"/>
    <cellStyle name="Normal 87" xfId="5333"/>
    <cellStyle name="Normal 88" xfId="5792"/>
    <cellStyle name="Normal 89" xfId="5793"/>
    <cellStyle name="Normal 9" xfId="3646"/>
    <cellStyle name="Normal 9 10" xfId="3647"/>
    <cellStyle name="Normal 9 11" xfId="3648"/>
    <cellStyle name="Normal 9 12" xfId="3649"/>
    <cellStyle name="Normal 9 13" xfId="3650"/>
    <cellStyle name="Normal 9 14" xfId="3651"/>
    <cellStyle name="Normal 9 15" xfId="3652"/>
    <cellStyle name="Normal 9 16" xfId="3653"/>
    <cellStyle name="Normal 9 17" xfId="3654"/>
    <cellStyle name="Normal 9 18" xfId="3655"/>
    <cellStyle name="Normal 9 19" xfId="3656"/>
    <cellStyle name="Normal 9 2" xfId="3657"/>
    <cellStyle name="Normal 9 20" xfId="3658"/>
    <cellStyle name="Normal 9 21" xfId="3659"/>
    <cellStyle name="Normal 9 22" xfId="3660"/>
    <cellStyle name="Normal 9 23" xfId="3661"/>
    <cellStyle name="Normal 9 3" xfId="3662"/>
    <cellStyle name="Normal 9 4" xfId="3663"/>
    <cellStyle name="Normal 9 46" xfId="3664"/>
    <cellStyle name="Normal 9 47" xfId="3665"/>
    <cellStyle name="Normal 9 48" xfId="3666"/>
    <cellStyle name="Normal 9 49" xfId="3667"/>
    <cellStyle name="Normal 9 5" xfId="3668"/>
    <cellStyle name="Normal 9 50" xfId="3669"/>
    <cellStyle name="Normal 9 51" xfId="3670"/>
    <cellStyle name="Normal 9 52" xfId="3671"/>
    <cellStyle name="Normal 9 6" xfId="3672"/>
    <cellStyle name="Normal 9 7" xfId="3673"/>
    <cellStyle name="Normal 9 8" xfId="3674"/>
    <cellStyle name="Normal 9 9" xfId="3675"/>
    <cellStyle name="Normal 9_Bieu KH trung han BKH TW" xfId="3676"/>
    <cellStyle name="Normal 90" xfId="5794"/>
    <cellStyle name="Normal 91" xfId="5691"/>
    <cellStyle name="Normal 92" xfId="5692"/>
    <cellStyle name="Normal 93" xfId="5693"/>
    <cellStyle name="Normal 94" xfId="5694"/>
    <cellStyle name="Normal 95" xfId="5695"/>
    <cellStyle name="Normal 96" xfId="5696"/>
    <cellStyle name="Normal 97" xfId="5697"/>
    <cellStyle name="Normal 98" xfId="5698"/>
    <cellStyle name="Normal 99" xfId="5699"/>
    <cellStyle name="Normal_Bieu mau (CV )" xfId="62"/>
    <cellStyle name="Normal_Ke hoach QH.2009" xfId="61"/>
    <cellStyle name="Normal1" xfId="3677"/>
    <cellStyle name="Normal8" xfId="3678"/>
    <cellStyle name="NORMAL-ADB" xfId="3679"/>
    <cellStyle name="Normale_ PESO ELETTR." xfId="3680"/>
    <cellStyle name="Normalny_Cennik obowiazuje od 06-08-2001 r (1)" xfId="3681"/>
    <cellStyle name="Note 2" xfId="3682"/>
    <cellStyle name="Note 2 2" xfId="3683"/>
    <cellStyle name="Note 3" xfId="3684"/>
    <cellStyle name="Note 3 2" xfId="3685"/>
    <cellStyle name="Note 4" xfId="3686"/>
    <cellStyle name="Note 4 2" xfId="3687"/>
    <cellStyle name="Note 5" xfId="3688"/>
    <cellStyle name="NWM" xfId="3689"/>
    <cellStyle name="Ô Được nối kết" xfId="3690"/>
    <cellStyle name="Ò_x000a_Normal_123569" xfId="3691"/>
    <cellStyle name="Ò_x000d_Normal_123569" xfId="3692"/>
    <cellStyle name="Ò_x005f_x000d_Normal_123569" xfId="3693"/>
    <cellStyle name="Ò_x005f_x005f_x005f_x000d_Normal_123569" xfId="3694"/>
    <cellStyle name="Œ…‹æ_Ø‚è [0.00]_ÆÂ__" xfId="5700"/>
    <cellStyle name="Œ…‹æØ‚è [0.00]_††††† " xfId="3695"/>
    <cellStyle name="Œ…‹æØ‚è_††††† " xfId="3696"/>
    <cellStyle name="oft Excel]_x000a__x000a_Comment=open=/f ‚ðw’è‚·‚é‚ÆAƒ†[ƒU[’è‹`ŠÖ”‚ðŠÖ”“\‚è•t‚¯‚Ìˆê——‚É“o˜^‚·‚é‚±‚Æ‚ª‚Å‚«‚Ü‚·B_x000a__x000a_Maximized" xfId="3697"/>
    <cellStyle name="oft Excel]_x000a__x000a_Comment=open=/f ‚ðŽw’è‚·‚é‚ÆAƒ†[ƒU[’è‹`ŠÖ”‚ðŠÖ”“\‚è•t‚¯‚Ìˆê——‚É“o˜^‚·‚é‚±‚Æ‚ª‚Å‚«‚Ü‚·B_x000a__x000a_Maximized" xfId="3698"/>
    <cellStyle name="oft Excel]_x000a__x000a_Comment=The open=/f lines load custom functions into the Paste Function list._x000a__x000a_Maximized=2_x000a__x000a_Basics=1_x000a__x000a_A" xfId="3699"/>
    <cellStyle name="oft Excel]_x000a__x000a_Comment=The open=/f lines load custom functions into the Paste Function list._x000a__x000a_Maximized=3_x000a__x000a_Basics=1_x000a__x000a_A" xfId="3700"/>
    <cellStyle name="oft Excel]_x000d__x000a_Comment=open=/f ‚ðw’è‚·‚é‚ÆAƒ†[ƒU[’è‹`ŠÖ”‚ðŠÖ”“\‚è•t‚¯‚Ìˆê——‚É“o˜^‚·‚é‚±‚Æ‚ª‚Å‚«‚Ü‚·B_x000d__x000a_Maximized" xfId="3701"/>
    <cellStyle name="oft Excel]_x000d__x000a_Comment=open=/f ‚ðŽw’è‚·‚é‚ÆAƒ†[ƒU[’è‹`ŠÖ”‚ðŠÖ”“\‚è•t‚¯‚Ìˆê——‚É“o˜^‚·‚é‚±‚Æ‚ª‚Å‚«‚Ü‚·B_x000d__x000a_Maximized" xfId="3702"/>
    <cellStyle name="oft Excel]_x000d__x000a_Comment=The open=/f lines load custom functions into the Paste Function list._x000d__x000a_Maximized=2_x000d__x000a_Basics=1_x000d__x000a_A" xfId="3703"/>
    <cellStyle name="oft Excel]_x000d__x000a_Comment=The open=/f lines load custom functions into the Paste Function list._x000d__x000a_Maximized=3_x000d__x000a_Basics=1_x000d__x000a_A" xfId="3704"/>
    <cellStyle name="oft Excel]_x005f_x000d__x005f_x000a_Comment=open=/f ‚ðw’è‚·‚é‚ÆAƒ†[ƒU[’è‹`ŠÖ”‚ðŠÖ”“\‚è•t‚¯‚Ìˆê——‚É“o˜^‚·‚é‚±‚Æ‚ª‚Å‚«‚Ü‚·B_x005f_x000d__x005f_x000a_Maximized" xfId="3705"/>
    <cellStyle name="omma [0]_Mktg Prog" xfId="3706"/>
    <cellStyle name="ormal_Sheet1_1" xfId="3707"/>
    <cellStyle name="Output 2" xfId="3708"/>
    <cellStyle name="p" xfId="3709"/>
    <cellStyle name="p 2" xfId="3710"/>
    <cellStyle name="p 3" xfId="3711"/>
    <cellStyle name="paint" xfId="3712"/>
    <cellStyle name="paint 2" xfId="3713"/>
    <cellStyle name="paint_05-12  KH trung han 2016-2020 - Liem Thinh edited" xfId="3714"/>
    <cellStyle name="Pattern" xfId="3715"/>
    <cellStyle name="Pattern 10" xfId="3716"/>
    <cellStyle name="Pattern 11" xfId="3717"/>
    <cellStyle name="Pattern 12" xfId="3718"/>
    <cellStyle name="Pattern 13" xfId="3719"/>
    <cellStyle name="Pattern 14" xfId="3720"/>
    <cellStyle name="Pattern 15" xfId="3721"/>
    <cellStyle name="Pattern 16" xfId="3722"/>
    <cellStyle name="Pattern 2" xfId="3723"/>
    <cellStyle name="Pattern 3" xfId="3724"/>
    <cellStyle name="Pattern 4" xfId="3725"/>
    <cellStyle name="Pattern 5" xfId="3726"/>
    <cellStyle name="Pattern 6" xfId="3727"/>
    <cellStyle name="Pattern 7" xfId="3728"/>
    <cellStyle name="Pattern 8" xfId="3729"/>
    <cellStyle name="Pattern 9" xfId="3730"/>
    <cellStyle name="per.style" xfId="3731"/>
    <cellStyle name="per.style 2" xfId="3732"/>
    <cellStyle name="Percent %" xfId="3733"/>
    <cellStyle name="Percent % Long Underline" xfId="3734"/>
    <cellStyle name="Percent %_Worksheet in  US Financial Statements Ref. Workbook - Single Co" xfId="3735"/>
    <cellStyle name="Percent (0)" xfId="3736"/>
    <cellStyle name="Percent (0) 10" xfId="3737"/>
    <cellStyle name="Percent (0) 11" xfId="3738"/>
    <cellStyle name="Percent (0) 12" xfId="3739"/>
    <cellStyle name="Percent (0) 13" xfId="3740"/>
    <cellStyle name="Percent (0) 14" xfId="3741"/>
    <cellStyle name="Percent (0) 15" xfId="3742"/>
    <cellStyle name="Percent (0) 2" xfId="3743"/>
    <cellStyle name="Percent (0) 3" xfId="3744"/>
    <cellStyle name="Percent (0) 4" xfId="3745"/>
    <cellStyle name="Percent (0) 5" xfId="3746"/>
    <cellStyle name="Percent (0) 6" xfId="3747"/>
    <cellStyle name="Percent (0) 7" xfId="3748"/>
    <cellStyle name="Percent (0) 8" xfId="3749"/>
    <cellStyle name="Percent (0) 9" xfId="3750"/>
    <cellStyle name="Percent [0]" xfId="3751"/>
    <cellStyle name="Percent [0] 10" xfId="3752"/>
    <cellStyle name="Percent [0] 11" xfId="3753"/>
    <cellStyle name="Percent [0] 12" xfId="3754"/>
    <cellStyle name="Percent [0] 13" xfId="3755"/>
    <cellStyle name="Percent [0] 14" xfId="3756"/>
    <cellStyle name="Percent [0] 15" xfId="3757"/>
    <cellStyle name="Percent [0] 16" xfId="3758"/>
    <cellStyle name="Percent [0] 2" xfId="3759"/>
    <cellStyle name="Percent [0] 3" xfId="3760"/>
    <cellStyle name="Percent [0] 4" xfId="3761"/>
    <cellStyle name="Percent [0] 5" xfId="3762"/>
    <cellStyle name="Percent [0] 6" xfId="3763"/>
    <cellStyle name="Percent [0] 7" xfId="3764"/>
    <cellStyle name="Percent [0] 8" xfId="3765"/>
    <cellStyle name="Percent [0] 9" xfId="3766"/>
    <cellStyle name="Percent [00]" xfId="3767"/>
    <cellStyle name="Percent [00] 10" xfId="3768"/>
    <cellStyle name="Percent [00] 11" xfId="3769"/>
    <cellStyle name="Percent [00] 12" xfId="3770"/>
    <cellStyle name="Percent [00] 13" xfId="3771"/>
    <cellStyle name="Percent [00] 14" xfId="3772"/>
    <cellStyle name="Percent [00] 15" xfId="3773"/>
    <cellStyle name="Percent [00] 16" xfId="3774"/>
    <cellStyle name="Percent [00] 2" xfId="3775"/>
    <cellStyle name="Percent [00] 3" xfId="3776"/>
    <cellStyle name="Percent [00] 4" xfId="3777"/>
    <cellStyle name="Percent [00] 5" xfId="3778"/>
    <cellStyle name="Percent [00] 6" xfId="3779"/>
    <cellStyle name="Percent [00] 7" xfId="3780"/>
    <cellStyle name="Percent [00] 8" xfId="3781"/>
    <cellStyle name="Percent [00] 9" xfId="3782"/>
    <cellStyle name="Percent [2]" xfId="3783"/>
    <cellStyle name="Percent [2] 10" xfId="3784"/>
    <cellStyle name="Percent [2] 11" xfId="3785"/>
    <cellStyle name="Percent [2] 12" xfId="3786"/>
    <cellStyle name="Percent [2] 13" xfId="3787"/>
    <cellStyle name="Percent [2] 14" xfId="3788"/>
    <cellStyle name="Percent [2] 15" xfId="3789"/>
    <cellStyle name="Percent [2] 16" xfId="3790"/>
    <cellStyle name="Percent [2] 2" xfId="3791"/>
    <cellStyle name="Percent [2] 2 2" xfId="3792"/>
    <cellStyle name="Percent [2] 3" xfId="3793"/>
    <cellStyle name="Percent [2] 4" xfId="3794"/>
    <cellStyle name="Percent [2] 5" xfId="3795"/>
    <cellStyle name="Percent [2] 6" xfId="3796"/>
    <cellStyle name="Percent [2] 7" xfId="3797"/>
    <cellStyle name="Percent [2] 8" xfId="3798"/>
    <cellStyle name="Percent [2] 9" xfId="3799"/>
    <cellStyle name="Percent 0.0%" xfId="3800"/>
    <cellStyle name="Percent 0.0% Long Underline" xfId="3801"/>
    <cellStyle name="Percent 0.00%" xfId="3802"/>
    <cellStyle name="Percent 0.00% Long Underline" xfId="3803"/>
    <cellStyle name="Percent 0.000%" xfId="3804"/>
    <cellStyle name="Percent 0.000% Long Underline" xfId="3805"/>
    <cellStyle name="Percent 10" xfId="3806"/>
    <cellStyle name="Percent 10 2" xfId="3807"/>
    <cellStyle name="Percent 11" xfId="3808"/>
    <cellStyle name="Percent 11 2" xfId="3809"/>
    <cellStyle name="Percent 12" xfId="3810"/>
    <cellStyle name="Percent 12 2" xfId="3811"/>
    <cellStyle name="Percent 13" xfId="3812"/>
    <cellStyle name="Percent 13 2" xfId="3813"/>
    <cellStyle name="Percent 14" xfId="3814"/>
    <cellStyle name="Percent 14 2" xfId="3815"/>
    <cellStyle name="Percent 15" xfId="3816"/>
    <cellStyle name="Percent 16" xfId="3817"/>
    <cellStyle name="Percent 17" xfId="3818"/>
    <cellStyle name="Percent 18" xfId="3819"/>
    <cellStyle name="Percent 19" xfId="3820"/>
    <cellStyle name="Percent 19 2" xfId="3821"/>
    <cellStyle name="Percent 2" xfId="3822"/>
    <cellStyle name="Percent 2 2" xfId="3823"/>
    <cellStyle name="Percent 2 2 2" xfId="3824"/>
    <cellStyle name="Percent 2 2 3" xfId="3825"/>
    <cellStyle name="Percent 2 3" xfId="3826"/>
    <cellStyle name="Percent 2 4" xfId="3827"/>
    <cellStyle name="Percent 20" xfId="3828"/>
    <cellStyle name="Percent 20 2" xfId="3829"/>
    <cellStyle name="Percent 21" xfId="3830"/>
    <cellStyle name="Percent 22" xfId="3831"/>
    <cellStyle name="Percent 23" xfId="3832"/>
    <cellStyle name="Percent 24" xfId="5332"/>
    <cellStyle name="Percent 3" xfId="3833"/>
    <cellStyle name="Percent 3 2" xfId="3834"/>
    <cellStyle name="Percent 3 3" xfId="3835"/>
    <cellStyle name="Percent 4" xfId="3836"/>
    <cellStyle name="Percent 4 2" xfId="3837"/>
    <cellStyle name="Percent 5" xfId="3838"/>
    <cellStyle name="Percent 5 2" xfId="3839"/>
    <cellStyle name="Percent 6" xfId="3840"/>
    <cellStyle name="Percent 6 2" xfId="3841"/>
    <cellStyle name="Percent 7" xfId="3842"/>
    <cellStyle name="Percent 7 2" xfId="3843"/>
    <cellStyle name="Percent 8" xfId="3844"/>
    <cellStyle name="Percent 8 2" xfId="3845"/>
    <cellStyle name="Percent 9" xfId="3846"/>
    <cellStyle name="Percent 9 2" xfId="3847"/>
    <cellStyle name="PERCENTAGE" xfId="3848"/>
    <cellStyle name="PERCENTAGE 2" xfId="3849"/>
    <cellStyle name="PHONG" xfId="3850"/>
    <cellStyle name="PrePop Currency (0)" xfId="3851"/>
    <cellStyle name="PrePop Currency (0) 10" xfId="3852"/>
    <cellStyle name="PrePop Currency (0) 11" xfId="3853"/>
    <cellStyle name="PrePop Currency (0) 12" xfId="3854"/>
    <cellStyle name="PrePop Currency (0) 13" xfId="3855"/>
    <cellStyle name="PrePop Currency (0) 14" xfId="3856"/>
    <cellStyle name="PrePop Currency (0) 15" xfId="3857"/>
    <cellStyle name="PrePop Currency (0) 16" xfId="3858"/>
    <cellStyle name="PrePop Currency (0) 2" xfId="3859"/>
    <cellStyle name="PrePop Currency (0) 3" xfId="3860"/>
    <cellStyle name="PrePop Currency (0) 4" xfId="3861"/>
    <cellStyle name="PrePop Currency (0) 5" xfId="3862"/>
    <cellStyle name="PrePop Currency (0) 6" xfId="3863"/>
    <cellStyle name="PrePop Currency (0) 7" xfId="3864"/>
    <cellStyle name="PrePop Currency (0) 8" xfId="3865"/>
    <cellStyle name="PrePop Currency (0) 9" xfId="3866"/>
    <cellStyle name="PrePop Currency (0)_Bien ban" xfId="5701"/>
    <cellStyle name="PrePop Currency (2)" xfId="3867"/>
    <cellStyle name="PrePop Currency (2) 10" xfId="3868"/>
    <cellStyle name="PrePop Currency (2) 11" xfId="3869"/>
    <cellStyle name="PrePop Currency (2) 12" xfId="3870"/>
    <cellStyle name="PrePop Currency (2) 13" xfId="3871"/>
    <cellStyle name="PrePop Currency (2) 14" xfId="3872"/>
    <cellStyle name="PrePop Currency (2) 15" xfId="3873"/>
    <cellStyle name="PrePop Currency (2) 16" xfId="3874"/>
    <cellStyle name="PrePop Currency (2) 2" xfId="3875"/>
    <cellStyle name="PrePop Currency (2) 3" xfId="3876"/>
    <cellStyle name="PrePop Currency (2) 4" xfId="3877"/>
    <cellStyle name="PrePop Currency (2) 5" xfId="3878"/>
    <cellStyle name="PrePop Currency (2) 6" xfId="3879"/>
    <cellStyle name="PrePop Currency (2) 7" xfId="3880"/>
    <cellStyle name="PrePop Currency (2) 8" xfId="3881"/>
    <cellStyle name="PrePop Currency (2) 9" xfId="3882"/>
    <cellStyle name="PrePop Units (0)" xfId="3883"/>
    <cellStyle name="PrePop Units (0) 10" xfId="3884"/>
    <cellStyle name="PrePop Units (0) 11" xfId="3885"/>
    <cellStyle name="PrePop Units (0) 12" xfId="3886"/>
    <cellStyle name="PrePop Units (0) 13" xfId="3887"/>
    <cellStyle name="PrePop Units (0) 14" xfId="3888"/>
    <cellStyle name="PrePop Units (0) 15" xfId="3889"/>
    <cellStyle name="PrePop Units (0) 16" xfId="3890"/>
    <cellStyle name="PrePop Units (0) 2" xfId="3891"/>
    <cellStyle name="PrePop Units (0) 3" xfId="3892"/>
    <cellStyle name="PrePop Units (0) 4" xfId="3893"/>
    <cellStyle name="PrePop Units (0) 5" xfId="3894"/>
    <cellStyle name="PrePop Units (0) 6" xfId="3895"/>
    <cellStyle name="PrePop Units (0) 7" xfId="3896"/>
    <cellStyle name="PrePop Units (0) 8" xfId="3897"/>
    <cellStyle name="PrePop Units (0) 9" xfId="3898"/>
    <cellStyle name="PrePop Units (1)" xfId="3899"/>
    <cellStyle name="PrePop Units (1) 10" xfId="3900"/>
    <cellStyle name="PrePop Units (1) 11" xfId="3901"/>
    <cellStyle name="PrePop Units (1) 12" xfId="3902"/>
    <cellStyle name="PrePop Units (1) 13" xfId="3903"/>
    <cellStyle name="PrePop Units (1) 14" xfId="3904"/>
    <cellStyle name="PrePop Units (1) 15" xfId="3905"/>
    <cellStyle name="PrePop Units (1) 16" xfId="3906"/>
    <cellStyle name="PrePop Units (1) 2" xfId="3907"/>
    <cellStyle name="PrePop Units (1) 3" xfId="3908"/>
    <cellStyle name="PrePop Units (1) 4" xfId="3909"/>
    <cellStyle name="PrePop Units (1) 5" xfId="3910"/>
    <cellStyle name="PrePop Units (1) 6" xfId="3911"/>
    <cellStyle name="PrePop Units (1) 7" xfId="3912"/>
    <cellStyle name="PrePop Units (1) 8" xfId="3913"/>
    <cellStyle name="PrePop Units (1) 9" xfId="3914"/>
    <cellStyle name="PrePop Units (2)" xfId="3915"/>
    <cellStyle name="PrePop Units (2) 10" xfId="3916"/>
    <cellStyle name="PrePop Units (2) 11" xfId="3917"/>
    <cellStyle name="PrePop Units (2) 12" xfId="3918"/>
    <cellStyle name="PrePop Units (2) 13" xfId="3919"/>
    <cellStyle name="PrePop Units (2) 14" xfId="3920"/>
    <cellStyle name="PrePop Units (2) 15" xfId="3921"/>
    <cellStyle name="PrePop Units (2) 16" xfId="3922"/>
    <cellStyle name="PrePop Units (2) 2" xfId="3923"/>
    <cellStyle name="PrePop Units (2) 3" xfId="3924"/>
    <cellStyle name="PrePop Units (2) 4" xfId="3925"/>
    <cellStyle name="PrePop Units (2) 5" xfId="3926"/>
    <cellStyle name="PrePop Units (2) 6" xfId="3927"/>
    <cellStyle name="PrePop Units (2) 7" xfId="3928"/>
    <cellStyle name="PrePop Units (2) 8" xfId="3929"/>
    <cellStyle name="PrePop Units (2) 9" xfId="3930"/>
    <cellStyle name="pricing" xfId="3931"/>
    <cellStyle name="pricing 2" xfId="3932"/>
    <cellStyle name="PSChar" xfId="3933"/>
    <cellStyle name="PSHeading" xfId="3934"/>
    <cellStyle name="Quantity" xfId="3935"/>
    <cellStyle name="regstoresfromspecstores" xfId="3936"/>
    <cellStyle name="regstoresfromspecstores 2" xfId="3937"/>
    <cellStyle name="RevList" xfId="3938"/>
    <cellStyle name="rlink_tiªn l­în_x005f_x001b_Hyperlink_TONG HOP KINH PHI" xfId="3939"/>
    <cellStyle name="rmal_ADAdot" xfId="3940"/>
    <cellStyle name="RowLevel_0" xfId="5702"/>
    <cellStyle name="S—_x0008_" xfId="3941"/>
    <cellStyle name="S—_x0008_ 2" xfId="3942"/>
    <cellStyle name="s]_x000a__x000a_spooler=yes_x000a__x000a_load=_x000a__x000a_Beep=yes_x000a__x000a_NullPort=None_x000a__x000a_BorderWidth=3_x000a__x000a_CursorBlinkRate=1200_x000a__x000a_DoubleClickSpeed=452_x000a__x000a_Programs=co" xfId="3943"/>
    <cellStyle name="s]_x000d__x000a_spooler=yes_x000d__x000a_load=_x000d__x000a_Beep=yes_x000d__x000a_NullPort=None_x000d__x000a_BorderWidth=3_x000d__x000a_CursorBlinkRate=1200_x000d__x000a_DoubleClickSpeed=452_x000d__x000a_Programs=co" xfId="3944"/>
    <cellStyle name="s]_x005f_x000d__x005f_x000a_spooler=yes_x005f_x000d__x005f_x000a_load=_x005f_x000d__x005f_x000a_Beep=yes_x005f_x000d__x005f_x000a_NullPort=None_x005f_x000d__x005f_x000a_BorderWidth=3_x005f_x000d__x005f_x000a_CursorBlinkRate=1200_x005f_x000d__x005f_x000a_DoubleClickSpeed=452_x005f_x000d__x005f_x000a_Programs=co" xfId="3945"/>
    <cellStyle name="S—_x0008__KH TPCP vung TNB (03-1-2012)" xfId="3946"/>
    <cellStyle name="S—_x005f_x0008_" xfId="3947"/>
    <cellStyle name="s1" xfId="5703"/>
    <cellStyle name="SAPBEXaggData" xfId="3948"/>
    <cellStyle name="SAPBEXaggData 2" xfId="3949"/>
    <cellStyle name="SAPBEXaggDataEmph" xfId="3950"/>
    <cellStyle name="SAPBEXaggDataEmph 2" xfId="3951"/>
    <cellStyle name="SAPBEXaggItem" xfId="3952"/>
    <cellStyle name="SAPBEXaggItem 2" xfId="3953"/>
    <cellStyle name="SAPBEXchaText" xfId="3954"/>
    <cellStyle name="SAPBEXchaText 2" xfId="3955"/>
    <cellStyle name="SAPBEXexcBad7" xfId="3956"/>
    <cellStyle name="SAPBEXexcBad7 2" xfId="3957"/>
    <cellStyle name="SAPBEXexcBad8" xfId="3958"/>
    <cellStyle name="SAPBEXexcBad8 2" xfId="3959"/>
    <cellStyle name="SAPBEXexcBad9" xfId="3960"/>
    <cellStyle name="SAPBEXexcBad9 2" xfId="3961"/>
    <cellStyle name="SAPBEXexcCritical4" xfId="3962"/>
    <cellStyle name="SAPBEXexcCritical4 2" xfId="3963"/>
    <cellStyle name="SAPBEXexcCritical5" xfId="3964"/>
    <cellStyle name="SAPBEXexcCritical5 2" xfId="3965"/>
    <cellStyle name="SAPBEXexcCritical6" xfId="3966"/>
    <cellStyle name="SAPBEXexcCritical6 2" xfId="3967"/>
    <cellStyle name="SAPBEXexcGood1" xfId="3968"/>
    <cellStyle name="SAPBEXexcGood1 2" xfId="3969"/>
    <cellStyle name="SAPBEXexcGood2" xfId="3970"/>
    <cellStyle name="SAPBEXexcGood2 2" xfId="3971"/>
    <cellStyle name="SAPBEXexcGood3" xfId="3972"/>
    <cellStyle name="SAPBEXexcGood3 2" xfId="3973"/>
    <cellStyle name="SAPBEXfilterDrill" xfId="3974"/>
    <cellStyle name="SAPBEXfilterDrill 2" xfId="3975"/>
    <cellStyle name="SAPBEXfilterItem" xfId="3976"/>
    <cellStyle name="SAPBEXfilterItem 2" xfId="3977"/>
    <cellStyle name="SAPBEXfilterText" xfId="3978"/>
    <cellStyle name="SAPBEXfilterText 2" xfId="3979"/>
    <cellStyle name="SAPBEXformats" xfId="3980"/>
    <cellStyle name="SAPBEXformats 2" xfId="3981"/>
    <cellStyle name="SAPBEXheaderItem" xfId="3982"/>
    <cellStyle name="SAPBEXheaderItem 2" xfId="3983"/>
    <cellStyle name="SAPBEXheaderText" xfId="3984"/>
    <cellStyle name="SAPBEXheaderText 2" xfId="3985"/>
    <cellStyle name="SAPBEXresData" xfId="3986"/>
    <cellStyle name="SAPBEXresData 2" xfId="3987"/>
    <cellStyle name="SAPBEXresDataEmph" xfId="3988"/>
    <cellStyle name="SAPBEXresDataEmph 2" xfId="3989"/>
    <cellStyle name="SAPBEXresItem" xfId="3990"/>
    <cellStyle name="SAPBEXresItem 2" xfId="3991"/>
    <cellStyle name="SAPBEXstdData" xfId="3992"/>
    <cellStyle name="SAPBEXstdData 2" xfId="3993"/>
    <cellStyle name="SAPBEXstdDataEmph" xfId="3994"/>
    <cellStyle name="SAPBEXstdDataEmph 2" xfId="3995"/>
    <cellStyle name="SAPBEXstdItem" xfId="3996"/>
    <cellStyle name="SAPBEXstdItem 2" xfId="3997"/>
    <cellStyle name="SAPBEXtitle" xfId="3998"/>
    <cellStyle name="SAPBEXtitle 2" xfId="3999"/>
    <cellStyle name="SAPBEXundefined" xfId="4000"/>
    <cellStyle name="SAPBEXundefined 2" xfId="4001"/>
    <cellStyle name="_x0001_sç?" xfId="5704"/>
    <cellStyle name="serJet 1200 Series PCL 6" xfId="4002"/>
    <cellStyle name="SHADEDSTORES" xfId="4003"/>
    <cellStyle name="SHADEDSTORES 2" xfId="4004"/>
    <cellStyle name="Siêu nối kết_Book1" xfId="5705"/>
    <cellStyle name="so" xfId="4005"/>
    <cellStyle name="SO%" xfId="4006"/>
    <cellStyle name="songuyen" xfId="4007"/>
    <cellStyle name="specstores" xfId="4008"/>
    <cellStyle name="Standard_AAbgleich" xfId="4009"/>
    <cellStyle name="STT" xfId="4010"/>
    <cellStyle name="STTDG" xfId="4011"/>
    <cellStyle name="Style 1" xfId="44"/>
    <cellStyle name="Style 1 2" xfId="4012"/>
    <cellStyle name="Style 1 3" xfId="4013"/>
    <cellStyle name="Style 1 4" xfId="4014"/>
    <cellStyle name="Style 10" xfId="4015"/>
    <cellStyle name="Style 10 2" xfId="4016"/>
    <cellStyle name="Style 100" xfId="4017"/>
    <cellStyle name="Style 101" xfId="4018"/>
    <cellStyle name="Style 102" xfId="4019"/>
    <cellStyle name="Style 103" xfId="4020"/>
    <cellStyle name="Style 104" xfId="4021"/>
    <cellStyle name="Style 105" xfId="4022"/>
    <cellStyle name="Style 106" xfId="4023"/>
    <cellStyle name="Style 107" xfId="4024"/>
    <cellStyle name="Style 108" xfId="4025"/>
    <cellStyle name="Style 109" xfId="4026"/>
    <cellStyle name="Style 11" xfId="4027"/>
    <cellStyle name="Style 11 2" xfId="4028"/>
    <cellStyle name="Style 110" xfId="4029"/>
    <cellStyle name="Style 111" xfId="4030"/>
    <cellStyle name="Style 112" xfId="4031"/>
    <cellStyle name="Style 113" xfId="4032"/>
    <cellStyle name="Style 114" xfId="4033"/>
    <cellStyle name="Style 115" xfId="4034"/>
    <cellStyle name="Style 116" xfId="4035"/>
    <cellStyle name="Style 117" xfId="4036"/>
    <cellStyle name="Style 118" xfId="4037"/>
    <cellStyle name="Style 119" xfId="4038"/>
    <cellStyle name="Style 12" xfId="4039"/>
    <cellStyle name="Style 12 2" xfId="4040"/>
    <cellStyle name="Style 120" xfId="4041"/>
    <cellStyle name="Style 121" xfId="4042"/>
    <cellStyle name="Style 122" xfId="4043"/>
    <cellStyle name="Style 123" xfId="4044"/>
    <cellStyle name="Style 124" xfId="4045"/>
    <cellStyle name="Style 125" xfId="4046"/>
    <cellStyle name="Style 126" xfId="4047"/>
    <cellStyle name="Style 127" xfId="4048"/>
    <cellStyle name="Style 128" xfId="4049"/>
    <cellStyle name="Style 129" xfId="4050"/>
    <cellStyle name="Style 13" xfId="4051"/>
    <cellStyle name="Style 13 2" xfId="4052"/>
    <cellStyle name="Style 130" xfId="4053"/>
    <cellStyle name="Style 131" xfId="4054"/>
    <cellStyle name="Style 132" xfId="4055"/>
    <cellStyle name="Style 133" xfId="4056"/>
    <cellStyle name="Style 134" xfId="4057"/>
    <cellStyle name="Style 135" xfId="4058"/>
    <cellStyle name="Style 136" xfId="4059"/>
    <cellStyle name="Style 137" xfId="4060"/>
    <cellStyle name="Style 138" xfId="4061"/>
    <cellStyle name="Style 139" xfId="4062"/>
    <cellStyle name="Style 14" xfId="4063"/>
    <cellStyle name="Style 14 2" xfId="4064"/>
    <cellStyle name="Style 140" xfId="4065"/>
    <cellStyle name="Style 141" xfId="4066"/>
    <cellStyle name="Style 142" xfId="4067"/>
    <cellStyle name="Style 143" xfId="4068"/>
    <cellStyle name="Style 144" xfId="4069"/>
    <cellStyle name="Style 145" xfId="4070"/>
    <cellStyle name="Style 146" xfId="4071"/>
    <cellStyle name="Style 147" xfId="4072"/>
    <cellStyle name="Style 148" xfId="4073"/>
    <cellStyle name="Style 149" xfId="4074"/>
    <cellStyle name="Style 15" xfId="4075"/>
    <cellStyle name="Style 15 2" xfId="4076"/>
    <cellStyle name="Style 150" xfId="4077"/>
    <cellStyle name="Style 151" xfId="4078"/>
    <cellStyle name="Style 152" xfId="4079"/>
    <cellStyle name="Style 153" xfId="4080"/>
    <cellStyle name="Style 154" xfId="4081"/>
    <cellStyle name="Style 155" xfId="4082"/>
    <cellStyle name="Style 16" xfId="4083"/>
    <cellStyle name="Style 16 2" xfId="4084"/>
    <cellStyle name="Style 17" xfId="4085"/>
    <cellStyle name="Style 17 2" xfId="4086"/>
    <cellStyle name="Style 18" xfId="4087"/>
    <cellStyle name="Style 18 2" xfId="4088"/>
    <cellStyle name="Style 19" xfId="4089"/>
    <cellStyle name="Style 19 2" xfId="4090"/>
    <cellStyle name="Style 2" xfId="4091"/>
    <cellStyle name="Style 2 2" xfId="4092"/>
    <cellStyle name="Style 20" xfId="4093"/>
    <cellStyle name="Style 20 2" xfId="4094"/>
    <cellStyle name="Style 21" xfId="4095"/>
    <cellStyle name="Style 21 2" xfId="4096"/>
    <cellStyle name="Style 22" xfId="4097"/>
    <cellStyle name="Style 22 2" xfId="4098"/>
    <cellStyle name="Style 23" xfId="4099"/>
    <cellStyle name="Style 23 2" xfId="4100"/>
    <cellStyle name="Style 24" xfId="4101"/>
    <cellStyle name="Style 24 2" xfId="4102"/>
    <cellStyle name="Style 25" xfId="4103"/>
    <cellStyle name="Style 25 2" xfId="4104"/>
    <cellStyle name="Style 26" xfId="4105"/>
    <cellStyle name="Style 26 2" xfId="4106"/>
    <cellStyle name="Style 27" xfId="4107"/>
    <cellStyle name="Style 27 2" xfId="4108"/>
    <cellStyle name="Style 28" xfId="4109"/>
    <cellStyle name="Style 28 2" xfId="4110"/>
    <cellStyle name="Style 29" xfId="4111"/>
    <cellStyle name="Style 29 2" xfId="4112"/>
    <cellStyle name="Style 3" xfId="4113"/>
    <cellStyle name="Style 3 2" xfId="4114"/>
    <cellStyle name="Style 30" xfId="4115"/>
    <cellStyle name="Style 30 2" xfId="4116"/>
    <cellStyle name="Style 31" xfId="4117"/>
    <cellStyle name="Style 31 2" xfId="4118"/>
    <cellStyle name="Style 32" xfId="4119"/>
    <cellStyle name="Style 32 2" xfId="4120"/>
    <cellStyle name="Style 33" xfId="4121"/>
    <cellStyle name="Style 33 2" xfId="4122"/>
    <cellStyle name="Style 34" xfId="4123"/>
    <cellStyle name="Style 34 2" xfId="4124"/>
    <cellStyle name="Style 35" xfId="4125"/>
    <cellStyle name="Style 35 2" xfId="4126"/>
    <cellStyle name="Style 36" xfId="4127"/>
    <cellStyle name="Style 37" xfId="4128"/>
    <cellStyle name="Style 37 2" xfId="4129"/>
    <cellStyle name="Style 38" xfId="4130"/>
    <cellStyle name="Style 38 2" xfId="4131"/>
    <cellStyle name="Style 39" xfId="4132"/>
    <cellStyle name="Style 39 2" xfId="4133"/>
    <cellStyle name="Style 4" xfId="4134"/>
    <cellStyle name="Style 4 2" xfId="4135"/>
    <cellStyle name="Style 40" xfId="4136"/>
    <cellStyle name="Style 40 2" xfId="4137"/>
    <cellStyle name="Style 41" xfId="4138"/>
    <cellStyle name="Style 41 2" xfId="4139"/>
    <cellStyle name="Style 42" xfId="4140"/>
    <cellStyle name="Style 42 2" xfId="4141"/>
    <cellStyle name="Style 43" xfId="4142"/>
    <cellStyle name="Style 43 2" xfId="4143"/>
    <cellStyle name="Style 44" xfId="4144"/>
    <cellStyle name="Style 44 2" xfId="4145"/>
    <cellStyle name="Style 45" xfId="4146"/>
    <cellStyle name="Style 45 2" xfId="4147"/>
    <cellStyle name="Style 46" xfId="4148"/>
    <cellStyle name="Style 46 2" xfId="4149"/>
    <cellStyle name="Style 47" xfId="4150"/>
    <cellStyle name="Style 47 2" xfId="4151"/>
    <cellStyle name="Style 48" xfId="4152"/>
    <cellStyle name="Style 48 2" xfId="4153"/>
    <cellStyle name="Style 49" xfId="4154"/>
    <cellStyle name="Style 49 2" xfId="4155"/>
    <cellStyle name="Style 5" xfId="4156"/>
    <cellStyle name="Style 5 2" xfId="5706"/>
    <cellStyle name="Style 50" xfId="4157"/>
    <cellStyle name="Style 50 2" xfId="4158"/>
    <cellStyle name="Style 51" xfId="4159"/>
    <cellStyle name="Style 51 2" xfId="4160"/>
    <cellStyle name="Style 52" xfId="4161"/>
    <cellStyle name="Style 52 2" xfId="4162"/>
    <cellStyle name="Style 53" xfId="4163"/>
    <cellStyle name="Style 53 2" xfId="4164"/>
    <cellStyle name="Style 54" xfId="4165"/>
    <cellStyle name="Style 54 2" xfId="4166"/>
    <cellStyle name="Style 55" xfId="4167"/>
    <cellStyle name="Style 55 2" xfId="4168"/>
    <cellStyle name="Style 56" xfId="4169"/>
    <cellStyle name="Style 57" xfId="4170"/>
    <cellStyle name="Style 58" xfId="4171"/>
    <cellStyle name="Style 59" xfId="4172"/>
    <cellStyle name="Style 6" xfId="4173"/>
    <cellStyle name="Style 6 2" xfId="4174"/>
    <cellStyle name="Style 60" xfId="4175"/>
    <cellStyle name="Style 61" xfId="4176"/>
    <cellStyle name="Style 62" xfId="4177"/>
    <cellStyle name="Style 63" xfId="4178"/>
    <cellStyle name="Style 64" xfId="4179"/>
    <cellStyle name="Style 65" xfId="4180"/>
    <cellStyle name="Style 66" xfId="4181"/>
    <cellStyle name="Style 67" xfId="4182"/>
    <cellStyle name="Style 68" xfId="4183"/>
    <cellStyle name="Style 69" xfId="4184"/>
    <cellStyle name="Style 7" xfId="4185"/>
    <cellStyle name="Style 7 2" xfId="4186"/>
    <cellStyle name="Style 70" xfId="4187"/>
    <cellStyle name="Style 71" xfId="4188"/>
    <cellStyle name="Style 72" xfId="4189"/>
    <cellStyle name="Style 73" xfId="4190"/>
    <cellStyle name="Style 74" xfId="4191"/>
    <cellStyle name="Style 75" xfId="4192"/>
    <cellStyle name="Style 76" xfId="4193"/>
    <cellStyle name="Style 77" xfId="4194"/>
    <cellStyle name="Style 78" xfId="4195"/>
    <cellStyle name="Style 79" xfId="4196"/>
    <cellStyle name="Style 8" xfId="4197"/>
    <cellStyle name="Style 8 2" xfId="4198"/>
    <cellStyle name="Style 80" xfId="4199"/>
    <cellStyle name="Style 81" xfId="4200"/>
    <cellStyle name="Style 82" xfId="4201"/>
    <cellStyle name="Style 83" xfId="4202"/>
    <cellStyle name="Style 84" xfId="4203"/>
    <cellStyle name="Style 85" xfId="4204"/>
    <cellStyle name="Style 86" xfId="4205"/>
    <cellStyle name="Style 87" xfId="4206"/>
    <cellStyle name="Style 88" xfId="4207"/>
    <cellStyle name="Style 89" xfId="4208"/>
    <cellStyle name="Style 9" xfId="4209"/>
    <cellStyle name="Style 9 2" xfId="4210"/>
    <cellStyle name="Style 90" xfId="4211"/>
    <cellStyle name="Style 91" xfId="4212"/>
    <cellStyle name="Style 92" xfId="4213"/>
    <cellStyle name="Style 93" xfId="4214"/>
    <cellStyle name="Style 94" xfId="4215"/>
    <cellStyle name="Style 95" xfId="4216"/>
    <cellStyle name="Style 96" xfId="4217"/>
    <cellStyle name="Style 97" xfId="4218"/>
    <cellStyle name="Style 98" xfId="4219"/>
    <cellStyle name="Style 99" xfId="4220"/>
    <cellStyle name="Style Date" xfId="4221"/>
    <cellStyle name="style_1" xfId="4222"/>
    <cellStyle name="subhead" xfId="4223"/>
    <cellStyle name="subhead 2" xfId="4224"/>
    <cellStyle name="Subtotal" xfId="4225"/>
    <cellStyle name="symbol" xfId="4226"/>
    <cellStyle name="T" xfId="4227"/>
    <cellStyle name="T 2" xfId="4228"/>
    <cellStyle name="T_05a" xfId="5707"/>
    <cellStyle name="T_1309_THungvonNSTW" xfId="4229"/>
    <cellStyle name="T_1309_THungvonNSTW_Tong hop KH 2014" xfId="4230"/>
    <cellStyle name="T_15_10_2013 BC nhu cau von doi ung ODA (2014-2016) ngay 15102013 Sua" xfId="4231"/>
    <cellStyle name="T_Bang don gia Du an Minh Cam - Dong Le (gois 1+2)" xfId="5708"/>
    <cellStyle name="T_BANG LUONG MOI KSDH va KSDC (co phu cap khu vuc)" xfId="4232"/>
    <cellStyle name="T_BANG LUONG MOI KSDH va KSDC (co phu cap khu vuc)_Tong hop KH 2014" xfId="4233"/>
    <cellStyle name="T_bao cao" xfId="4234"/>
    <cellStyle name="T_bao cao 2" xfId="4235"/>
    <cellStyle name="T_Bao cao kttb milk yomilkYAO-mien bac" xfId="5709"/>
    <cellStyle name="T_bao cao phan bo KHDT 2011(final)" xfId="4236"/>
    <cellStyle name="T_Bao cao so lieu kiem toan nam 2007 sua" xfId="4237"/>
    <cellStyle name="T_Bao cao so lieu kiem toan nam 2007 sua 2" xfId="4238"/>
    <cellStyle name="T_Bao cao so lieu kiem toan nam 2007 sua_!1 1 bao cao giao KH ve HTCMT vung TNB   12-12-2011" xfId="4239"/>
    <cellStyle name="T_Bao cao so lieu kiem toan nam 2007 sua_!1 1 bao cao giao KH ve HTCMT vung TNB   12-12-2011 2" xfId="4240"/>
    <cellStyle name="T_Bao cao so lieu kiem toan nam 2007 sua_KH TPCP vung TNB (03-1-2012)" xfId="4241"/>
    <cellStyle name="T_Bao cao so lieu kiem toan nam 2007 sua_KH TPCP vung TNB (03-1-2012) 2" xfId="4242"/>
    <cellStyle name="T_Bao cao so lieu kiem toan nam 2007 sua_Tong hop KH 2014" xfId="4243"/>
    <cellStyle name="T_bao cao_!1 1 bao cao giao KH ve HTCMT vung TNB   12-12-2011" xfId="4244"/>
    <cellStyle name="T_bao cao_!1 1 bao cao giao KH ve HTCMT vung TNB   12-12-2011 2" xfId="4245"/>
    <cellStyle name="T_bao cao_Bieu4HTMT" xfId="4246"/>
    <cellStyle name="T_bao cao_Bieu4HTMT 2" xfId="4247"/>
    <cellStyle name="T_bao cao_Bieu4HTMT_!1 1 bao cao giao KH ve HTCMT vung TNB   12-12-2011" xfId="4248"/>
    <cellStyle name="T_bao cao_Bieu4HTMT_!1 1 bao cao giao KH ve HTCMT vung TNB   12-12-2011 2" xfId="4249"/>
    <cellStyle name="T_bao cao_Bieu4HTMT_KH TPCP vung TNB (03-1-2012)" xfId="4250"/>
    <cellStyle name="T_bao cao_Bieu4HTMT_KH TPCP vung TNB (03-1-2012) 2" xfId="4251"/>
    <cellStyle name="T_bao cao_KH TPCP vung TNB (03-1-2012)" xfId="4252"/>
    <cellStyle name="T_bao cao_KH TPCP vung TNB (03-1-2012) 2" xfId="4253"/>
    <cellStyle name="T_BBTNG-06" xfId="4254"/>
    <cellStyle name="T_BBTNG-06 2" xfId="4255"/>
    <cellStyle name="T_BBTNG-06_!1 1 bao cao giao KH ve HTCMT vung TNB   12-12-2011" xfId="4256"/>
    <cellStyle name="T_BBTNG-06_!1 1 bao cao giao KH ve HTCMT vung TNB   12-12-2011 2" xfId="4257"/>
    <cellStyle name="T_BBTNG-06_Bieu4HTMT" xfId="4258"/>
    <cellStyle name="T_BBTNG-06_Bieu4HTMT 2" xfId="4259"/>
    <cellStyle name="T_BBTNG-06_Bieu4HTMT_!1 1 bao cao giao KH ve HTCMT vung TNB   12-12-2011" xfId="4260"/>
    <cellStyle name="T_BBTNG-06_Bieu4HTMT_!1 1 bao cao giao KH ve HTCMT vung TNB   12-12-2011 2" xfId="4261"/>
    <cellStyle name="T_BBTNG-06_Bieu4HTMT_KH TPCP vung TNB (03-1-2012)" xfId="4262"/>
    <cellStyle name="T_BBTNG-06_Bieu4HTMT_KH TPCP vung TNB (03-1-2012) 2" xfId="4263"/>
    <cellStyle name="T_BBTNG-06_KH TPCP vung TNB (03-1-2012)" xfId="4264"/>
    <cellStyle name="T_BBTNG-06_KH TPCP vung TNB (03-1-2012) 2" xfId="4265"/>
    <cellStyle name="T_BBTNG-06_Tong hop KH 2014" xfId="4266"/>
    <cellStyle name="T_BC  NAM 2007" xfId="4267"/>
    <cellStyle name="T_BC  NAM 2007 2" xfId="4268"/>
    <cellStyle name="T_BC CTMT-2008 Ttinh" xfId="4269"/>
    <cellStyle name="T_BC CTMT-2008 Ttinh 2" xfId="4270"/>
    <cellStyle name="T_BC CTMT-2008 Ttinh_!1 1 bao cao giao KH ve HTCMT vung TNB   12-12-2011" xfId="4271"/>
    <cellStyle name="T_BC CTMT-2008 Ttinh_!1 1 bao cao giao KH ve HTCMT vung TNB   12-12-2011 2" xfId="4272"/>
    <cellStyle name="T_BC CTMT-2008 Ttinh_bieu tong hop" xfId="4273"/>
    <cellStyle name="T_BC CTMT-2008 Ttinh_bieu tong hop_Tong hop KH 2014" xfId="4274"/>
    <cellStyle name="T_BC CTMT-2008 Ttinh_KH TPCP vung TNB (03-1-2012)" xfId="4275"/>
    <cellStyle name="T_BC CTMT-2008 Ttinh_KH TPCP vung TNB (03-1-2012) 2" xfId="4276"/>
    <cellStyle name="T_BC CTMT-2008 Ttinh_Tong hop ra soat von ung 2011 -Chau" xfId="4277"/>
    <cellStyle name="T_BC CTMT-2008 Ttinh_Tong hop ra soat von ung 2011 -Chau_Tong hop KH 2014" xfId="4278"/>
    <cellStyle name="T_BC CTMT-2008 Ttinh_tong hop TPCP" xfId="4279"/>
    <cellStyle name="T_BC CTMT-2008 Ttinh_tong hop TPCP_Tong hop KH 2014" xfId="4280"/>
    <cellStyle name="T_BC CTMT-2008 Ttinh_Tong hop -Yte-Giao thong-Thuy loi-24-6" xfId="4281"/>
    <cellStyle name="T_BC CTMT-2008 Ttinh_Tong hop -Yte-Giao thong-Thuy loi-24-6_Tong hop KH 2014" xfId="4282"/>
    <cellStyle name="T_BC nhu cau von doi ung ODA nganh NN (BKH)" xfId="4283"/>
    <cellStyle name="T_BC nhu cau von doi ung ODA nganh NN (BKH)_05-12  KH trung han 2016-2020 - Liem Thinh edited" xfId="4284"/>
    <cellStyle name="T_BC nhu cau von doi ung ODA nganh NN (BKH)_Copy of 05-12  KH trung han 2016-2020 - Liem Thinh edited (1)" xfId="4285"/>
    <cellStyle name="T_BC Tai co cau (bieu TH)" xfId="4286"/>
    <cellStyle name="T_BC Tai co cau (bieu TH)_05-12  KH trung han 2016-2020 - Liem Thinh edited" xfId="4287"/>
    <cellStyle name="T_BC Tai co cau (bieu TH)_Copy of 05-12  KH trung han 2016-2020 - Liem Thinh edited (1)" xfId="4288"/>
    <cellStyle name="T_bc_km_ngay" xfId="5710"/>
    <cellStyle name="T_Bien ban" xfId="5711"/>
    <cellStyle name="T_bieu 05Acuoi cung" xfId="5712"/>
    <cellStyle name="T_Bieu 4.2 A, B KHCTgiong 2011" xfId="4289"/>
    <cellStyle name="T_Bieu 4.2 A, B KHCTgiong 2011 10" xfId="4290"/>
    <cellStyle name="T_Bieu 4.2 A, B KHCTgiong 2011 11" xfId="4291"/>
    <cellStyle name="T_Bieu 4.2 A, B KHCTgiong 2011 12" xfId="4292"/>
    <cellStyle name="T_Bieu 4.2 A, B KHCTgiong 2011 13" xfId="4293"/>
    <cellStyle name="T_Bieu 4.2 A, B KHCTgiong 2011 14" xfId="4294"/>
    <cellStyle name="T_Bieu 4.2 A, B KHCTgiong 2011 15" xfId="4295"/>
    <cellStyle name="T_Bieu 4.2 A, B KHCTgiong 2011 2" xfId="4296"/>
    <cellStyle name="T_Bieu 4.2 A, B KHCTgiong 2011 3" xfId="4297"/>
    <cellStyle name="T_Bieu 4.2 A, B KHCTgiong 2011 4" xfId="4298"/>
    <cellStyle name="T_Bieu 4.2 A, B KHCTgiong 2011 5" xfId="4299"/>
    <cellStyle name="T_Bieu 4.2 A, B KHCTgiong 2011 6" xfId="4300"/>
    <cellStyle name="T_Bieu 4.2 A, B KHCTgiong 2011 7" xfId="4301"/>
    <cellStyle name="T_Bieu 4.2 A, B KHCTgiong 2011 8" xfId="4302"/>
    <cellStyle name="T_Bieu 4.2 A, B KHCTgiong 2011 9" xfId="4303"/>
    <cellStyle name="T_Bieu mau cong trinh khoi cong moi 3-4" xfId="4304"/>
    <cellStyle name="T_Bieu mau cong trinh khoi cong moi 3-4 2" xfId="4305"/>
    <cellStyle name="T_Bieu mau cong trinh khoi cong moi 3-4_!1 1 bao cao giao KH ve HTCMT vung TNB   12-12-2011" xfId="4306"/>
    <cellStyle name="T_Bieu mau cong trinh khoi cong moi 3-4_!1 1 bao cao giao KH ve HTCMT vung TNB   12-12-2011 2" xfId="4307"/>
    <cellStyle name="T_Bieu mau cong trinh khoi cong moi 3-4_KH TPCP vung TNB (03-1-2012)" xfId="4308"/>
    <cellStyle name="T_Bieu mau cong trinh khoi cong moi 3-4_KH TPCP vung TNB (03-1-2012) 2" xfId="4309"/>
    <cellStyle name="T_Bieu mau danh muc du an thuoc CTMTQG nam 2008" xfId="4310"/>
    <cellStyle name="T_Bieu mau danh muc du an thuoc CTMTQG nam 2008 2" xfId="4311"/>
    <cellStyle name="T_Bieu mau danh muc du an thuoc CTMTQG nam 2008_!1 1 bao cao giao KH ve HTCMT vung TNB   12-12-2011" xfId="4312"/>
    <cellStyle name="T_Bieu mau danh muc du an thuoc CTMTQG nam 2008_!1 1 bao cao giao KH ve HTCMT vung TNB   12-12-2011 2" xfId="4313"/>
    <cellStyle name="T_Bieu mau danh muc du an thuoc CTMTQG nam 2008_bieu tong hop" xfId="4314"/>
    <cellStyle name="T_Bieu mau danh muc du an thuoc CTMTQG nam 2008_KH TPCP vung TNB (03-1-2012)" xfId="4315"/>
    <cellStyle name="T_Bieu mau danh muc du an thuoc CTMTQG nam 2008_KH TPCP vung TNB (03-1-2012) 2" xfId="4316"/>
    <cellStyle name="T_Bieu mau danh muc du an thuoc CTMTQG nam 2008_Tong hop KH 2014" xfId="4317"/>
    <cellStyle name="T_Bieu mau danh muc du an thuoc CTMTQG nam 2008_Tong hop ra soat von ung 2011 -Chau" xfId="4318"/>
    <cellStyle name="T_Bieu mau danh muc du an thuoc CTMTQG nam 2008_tong hop TPCP" xfId="4319"/>
    <cellStyle name="T_Bieu mau danh muc du an thuoc CTMTQG nam 2008_Tong hop -Yte-Giao thong-Thuy loi-24-6" xfId="4320"/>
    <cellStyle name="T_Bieu tong hop nhu cau ung 2011 da chon loc -Mien nui" xfId="4321"/>
    <cellStyle name="T_Bieu tong hop nhu cau ung 2011 da chon loc -Mien nui 2" xfId="4322"/>
    <cellStyle name="T_Bieu tong hop nhu cau ung 2011 da chon loc -Mien nui_!1 1 bao cao giao KH ve HTCMT vung TNB   12-12-2011" xfId="4323"/>
    <cellStyle name="T_Bieu tong hop nhu cau ung 2011 da chon loc -Mien nui_!1 1 bao cao giao KH ve HTCMT vung TNB   12-12-2011 2" xfId="4324"/>
    <cellStyle name="T_Bieu tong hop nhu cau ung 2011 da chon loc -Mien nui_KH TPCP vung TNB (03-1-2012)" xfId="4325"/>
    <cellStyle name="T_Bieu tong hop nhu cau ung 2011 da chon loc -Mien nui_KH TPCP vung TNB (03-1-2012) 2" xfId="4326"/>
    <cellStyle name="T_Bieu tong hop nhu cau ung 2011 da chon loc -Mien nui_Tong hop KH 2014" xfId="4327"/>
    <cellStyle name="T_Bieu_tong_hop_du_an_giao_thong+thuy_loi_HT_2003-2010_(3_tinh)" xfId="4328"/>
    <cellStyle name="T_Bieu_tong_hop_du_an_giao_thong+thuy_loi_HT_2003-2010_(3_tinh)_Tong hop KH 2014" xfId="4329"/>
    <cellStyle name="T_Bieu3ODA" xfId="4330"/>
    <cellStyle name="T_Bieu3ODA 2" xfId="4331"/>
    <cellStyle name="T_Bieu3ODA_!1 1 bao cao giao KH ve HTCMT vung TNB   12-12-2011" xfId="4332"/>
    <cellStyle name="T_Bieu3ODA_!1 1 bao cao giao KH ve HTCMT vung TNB   12-12-2011 2" xfId="4333"/>
    <cellStyle name="T_Bieu3ODA_1" xfId="4334"/>
    <cellStyle name="T_Bieu3ODA_1 2" xfId="4335"/>
    <cellStyle name="T_Bieu3ODA_1_!1 1 bao cao giao KH ve HTCMT vung TNB   12-12-2011" xfId="4336"/>
    <cellStyle name="T_Bieu3ODA_1_!1 1 bao cao giao KH ve HTCMT vung TNB   12-12-2011 2" xfId="4337"/>
    <cellStyle name="T_Bieu3ODA_1_KH TPCP vung TNB (03-1-2012)" xfId="4338"/>
    <cellStyle name="T_Bieu3ODA_1_KH TPCP vung TNB (03-1-2012) 2" xfId="4339"/>
    <cellStyle name="T_Bieu3ODA_KH TPCP vung TNB (03-1-2012)" xfId="4340"/>
    <cellStyle name="T_Bieu3ODA_KH TPCP vung TNB (03-1-2012) 2" xfId="4341"/>
    <cellStyle name="T_Bieu4HTMT" xfId="4342"/>
    <cellStyle name="T_Bieu4HTMT 2" xfId="4343"/>
    <cellStyle name="T_Bieu4HTMT_!1 1 bao cao giao KH ve HTCMT vung TNB   12-12-2011" xfId="4344"/>
    <cellStyle name="T_Bieu4HTMT_!1 1 bao cao giao KH ve HTCMT vung TNB   12-12-2011 2" xfId="4345"/>
    <cellStyle name="T_Bieu4HTMT_KH TPCP vung TNB (03-1-2012)" xfId="4346"/>
    <cellStyle name="T_Bieu4HTMT_KH TPCP vung TNB (03-1-2012) 2" xfId="4347"/>
    <cellStyle name="T_BKH (TPCP) tháng 5.2010_Quang Nam" xfId="4348"/>
    <cellStyle name="T_bo sung von KCH nam 2010 va Du an tre kho khan" xfId="4349"/>
    <cellStyle name="T_bo sung von KCH nam 2010 va Du an tre kho khan 2" xfId="4350"/>
    <cellStyle name="T_bo sung von KCH nam 2010 va Du an tre kho khan_!1 1 bao cao giao KH ve HTCMT vung TNB   12-12-2011" xfId="4351"/>
    <cellStyle name="T_bo sung von KCH nam 2010 va Du an tre kho khan_!1 1 bao cao giao KH ve HTCMT vung TNB   12-12-2011 2" xfId="4352"/>
    <cellStyle name="T_bo sung von KCH nam 2010 va Du an tre kho khan_KH TPCP vung TNB (03-1-2012)" xfId="4353"/>
    <cellStyle name="T_bo sung von KCH nam 2010 va Du an tre kho khan_KH TPCP vung TNB (03-1-2012) 2" xfId="4354"/>
    <cellStyle name="T_Book1" xfId="4355"/>
    <cellStyle name="T_Book1 2" xfId="4356"/>
    <cellStyle name="T_Book1 3" xfId="4357"/>
    <cellStyle name="T_Book1_!1 1 bao cao giao KH ve HTCMT vung TNB   12-12-2011" xfId="4358"/>
    <cellStyle name="T_Book1_!1 1 bao cao giao KH ve HTCMT vung TNB   12-12-2011 2" xfId="4359"/>
    <cellStyle name="T_Book1_1" xfId="4360"/>
    <cellStyle name="T_Book1_1 2" xfId="4361"/>
    <cellStyle name="T_Book1_1_Bang Gia" xfId="5713"/>
    <cellStyle name="T_Book1_1_Bien ban" xfId="5714"/>
    <cellStyle name="T_Book1_1_Bieu mau ung 2011-Mien Trung-TPCP-11-6" xfId="4362"/>
    <cellStyle name="T_Book1_1_Bieu mau ung 2011-Mien Trung-TPCP-11-6_Tong hop KH 2014" xfId="4363"/>
    <cellStyle name="T_Book1_1_bieu tong hop" xfId="4364"/>
    <cellStyle name="T_Book1_1_Bieu tong hop nhu cau ung 2011 da chon loc -Mien nui" xfId="4365"/>
    <cellStyle name="T_Book1_1_Bieu tong hop nhu cau ung 2011 da chon loc -Mien nui 2" xfId="4366"/>
    <cellStyle name="T_Book1_1_Bieu tong hop nhu cau ung 2011 da chon loc -Mien nui_!1 1 bao cao giao KH ve HTCMT vung TNB   12-12-2011" xfId="4367"/>
    <cellStyle name="T_Book1_1_Bieu tong hop nhu cau ung 2011 da chon loc -Mien nui_!1 1 bao cao giao KH ve HTCMT vung TNB   12-12-2011 2" xfId="4368"/>
    <cellStyle name="T_Book1_1_Bieu tong hop nhu cau ung 2011 da chon loc -Mien nui_KH TPCP vung TNB (03-1-2012)" xfId="4369"/>
    <cellStyle name="T_Book1_1_Bieu tong hop nhu cau ung 2011 da chon loc -Mien nui_KH TPCP vung TNB (03-1-2012) 2" xfId="4370"/>
    <cellStyle name="T_Book1_1_Bieu tong hop nhu cau ung 2011 da chon loc -Mien nui_Tong hop KH 2014" xfId="4371"/>
    <cellStyle name="T_Book1_1_Bieu3ODA" xfId="4372"/>
    <cellStyle name="T_Book1_1_Bieu3ODA 2" xfId="4373"/>
    <cellStyle name="T_Book1_1_Bieu3ODA_!1 1 bao cao giao KH ve HTCMT vung TNB   12-12-2011" xfId="4374"/>
    <cellStyle name="T_Book1_1_Bieu3ODA_!1 1 bao cao giao KH ve HTCMT vung TNB   12-12-2011 2" xfId="4375"/>
    <cellStyle name="T_Book1_1_Bieu3ODA_KH TPCP vung TNB (03-1-2012)" xfId="4376"/>
    <cellStyle name="T_Book1_1_Bieu3ODA_KH TPCP vung TNB (03-1-2012) 2" xfId="4377"/>
    <cellStyle name="T_Book1_1_BKH (TPCP) tháng 5.2010_Quang Nam" xfId="4378"/>
    <cellStyle name="T_Book1_1_Book1" xfId="4379"/>
    <cellStyle name="T_Book1_1_Book1_1" xfId="5715"/>
    <cellStyle name="T_Book1_1_Book1_Tong hop KH 2014" xfId="4380"/>
    <cellStyle name="T_Book1_1_CPK" xfId="4381"/>
    <cellStyle name="T_Book1_1_CPK 2" xfId="4382"/>
    <cellStyle name="T_Book1_1_CPK_!1 1 bao cao giao KH ve HTCMT vung TNB   12-12-2011" xfId="4383"/>
    <cellStyle name="T_Book1_1_CPK_!1 1 bao cao giao KH ve HTCMT vung TNB   12-12-2011 2" xfId="4384"/>
    <cellStyle name="T_Book1_1_CPK_Bieu4HTMT" xfId="4385"/>
    <cellStyle name="T_Book1_1_CPK_Bieu4HTMT 2" xfId="4386"/>
    <cellStyle name="T_Book1_1_CPK_Bieu4HTMT_!1 1 bao cao giao KH ve HTCMT vung TNB   12-12-2011" xfId="4387"/>
    <cellStyle name="T_Book1_1_CPK_Bieu4HTMT_!1 1 bao cao giao KH ve HTCMT vung TNB   12-12-2011 2" xfId="4388"/>
    <cellStyle name="T_Book1_1_CPK_Bieu4HTMT_KH TPCP vung TNB (03-1-2012)" xfId="4389"/>
    <cellStyle name="T_Book1_1_CPK_Bieu4HTMT_KH TPCP vung TNB (03-1-2012) 2" xfId="4390"/>
    <cellStyle name="T_Book1_1_CPK_KH TPCP vung TNB (03-1-2012)" xfId="4391"/>
    <cellStyle name="T_Book1_1_CPK_KH TPCP vung TNB (03-1-2012) 2" xfId="4392"/>
    <cellStyle name="T_Book1_1_CPK_Tong hop KH 2014" xfId="4393"/>
    <cellStyle name="T_Book1_1_IPC No.01 ADB5 (IN)- QB04TL10" xfId="5716"/>
    <cellStyle name="T_Book1_1_KH TPCP vung TNB (03-1-2012)" xfId="4394"/>
    <cellStyle name="T_Book1_1_KH TPCP vung TNB (03-1-2012) 2" xfId="4395"/>
    <cellStyle name="T_Book1_1_Khoi luong cac hang muc chi tiet-702" xfId="4396"/>
    <cellStyle name="T_Book1_1_Khoi luong cac hang muc chi tiet-702_Tong hop KH 2014" xfId="4397"/>
    <cellStyle name="T_Book1_1_kien giang 2" xfId="4398"/>
    <cellStyle name="T_Book1_1_kien giang 2 2" xfId="4399"/>
    <cellStyle name="T_Book1_1_KL NT dap nen Dot 3" xfId="4400"/>
    <cellStyle name="T_Book1_1_KL NT dap nen Dot 3_Tong hop KH 2014" xfId="4401"/>
    <cellStyle name="T_Book1_1_KL NT Dot 3" xfId="4402"/>
    <cellStyle name="T_Book1_1_KL NT Dot 3_Tong hop KH 2014" xfId="4403"/>
    <cellStyle name="T_Book1_1_KLNMD" xfId="5717"/>
    <cellStyle name="T_Book1_1_Luy ke von ung nam 2011 -Thoa gui ngay 12-8-2012" xfId="4404"/>
    <cellStyle name="T_Book1_1_Luy ke von ung nam 2011 -Thoa gui ngay 12-8-2012 2" xfId="4405"/>
    <cellStyle name="T_Book1_1_Luy ke von ung nam 2011 -Thoa gui ngay 12-8-2012_!1 1 bao cao giao KH ve HTCMT vung TNB   12-12-2011" xfId="4406"/>
    <cellStyle name="T_Book1_1_Luy ke von ung nam 2011 -Thoa gui ngay 12-8-2012_!1 1 bao cao giao KH ve HTCMT vung TNB   12-12-2011 2" xfId="4407"/>
    <cellStyle name="T_Book1_1_Luy ke von ung nam 2011 -Thoa gui ngay 12-8-2012_KH TPCP vung TNB (03-1-2012)" xfId="4408"/>
    <cellStyle name="T_Book1_1_Luy ke von ung nam 2011 -Thoa gui ngay 12-8-2012_KH TPCP vung TNB (03-1-2012) 2" xfId="4409"/>
    <cellStyle name="T_Book1_1_mau KL vach son" xfId="4410"/>
    <cellStyle name="T_Book1_1_mau KL vach son_Tong hop KH 2014" xfId="4411"/>
    <cellStyle name="T_Book1_1_Nhu cau tam ung NSNN&amp;TPCP&amp;ODA theo tieu chi cua Bo (CV410_BKH-TH)_vung Tay Nguyen (11.6.2010)" xfId="4412"/>
    <cellStyle name="T_Book1_1_Nhu cau tam ung NSNN&amp;TPCP&amp;ODA theo tieu chi cua Bo (CV410_BKH-TH)_vung Tay Nguyen (11.6.2010)_Tong hop KH 2014" xfId="4413"/>
    <cellStyle name="T_Book1_1_Thiet bi" xfId="4414"/>
    <cellStyle name="T_Book1_1_Thiet bi 2" xfId="4415"/>
    <cellStyle name="T_Book1_1_Thiet bi_!1 1 bao cao giao KH ve HTCMT vung TNB   12-12-2011" xfId="4416"/>
    <cellStyle name="T_Book1_1_Thiet bi_!1 1 bao cao giao KH ve HTCMT vung TNB   12-12-2011 2" xfId="4417"/>
    <cellStyle name="T_Book1_1_Thiet bi_Bieu4HTMT" xfId="4418"/>
    <cellStyle name="T_Book1_1_Thiet bi_Bieu4HTMT 2" xfId="4419"/>
    <cellStyle name="T_Book1_1_Thiet bi_Bieu4HTMT_!1 1 bao cao giao KH ve HTCMT vung TNB   12-12-2011" xfId="4420"/>
    <cellStyle name="T_Book1_1_Thiet bi_Bieu4HTMT_!1 1 bao cao giao KH ve HTCMT vung TNB   12-12-2011 2" xfId="4421"/>
    <cellStyle name="T_Book1_1_Thiet bi_Bieu4HTMT_KH TPCP vung TNB (03-1-2012)" xfId="4422"/>
    <cellStyle name="T_Book1_1_Thiet bi_Bieu4HTMT_KH TPCP vung TNB (03-1-2012) 2" xfId="4423"/>
    <cellStyle name="T_Book1_1_Thiet bi_KH TPCP vung TNB (03-1-2012)" xfId="4424"/>
    <cellStyle name="T_Book1_1_Thiet bi_KH TPCP vung TNB (03-1-2012) 2" xfId="4425"/>
    <cellStyle name="T_Book1_1_Thiet bi_Tong hop KH 2014" xfId="4426"/>
    <cellStyle name="T_Book1_1_Thong ke cong" xfId="4427"/>
    <cellStyle name="T_Book1_1_Thong ke cong_Tong hop KH 2014" xfId="4428"/>
    <cellStyle name="T_Book1_1_Tong hop KH 2014" xfId="4429"/>
    <cellStyle name="T_Book1_1_Tong hop ra soat von ung 2011 -Chau" xfId="4430"/>
    <cellStyle name="T_Book1_1_tong hop TPCP" xfId="4431"/>
    <cellStyle name="T_Book1_1_Tong hop -Yte-Giao thong-Thuy loi-24-6" xfId="4432"/>
    <cellStyle name="T_Book1_15_10_2013 BC nhu cau von doi ung ODA (2014-2016) ngay 15102013 Sua" xfId="4433"/>
    <cellStyle name="T_Book1_2" xfId="4434"/>
    <cellStyle name="T_Book1_2_DTDuong dong tien -sua tham tra 2009 - luong 650" xfId="4435"/>
    <cellStyle name="T_Book1_2_DTDuong dong tien -sua tham tra 2009 - luong 650_Tong hop KH 2014" xfId="4436"/>
    <cellStyle name="T_Book1_2_Tong hop KH 2014" xfId="4437"/>
    <cellStyle name="T_Book1_Bang Gia" xfId="5718"/>
    <cellStyle name="T_Book1_Bang Gia_thanh toan cau tran (dot 7)-" xfId="5719"/>
    <cellStyle name="T_Book1_Bang Gia_thanh_toan_cau_tran_dot_12" xfId="5720"/>
    <cellStyle name="T_Book1_Bang Gia_thanh_toandot_14" xfId="5721"/>
    <cellStyle name="T_Book1_bao cao phan bo KHDT 2011(final)" xfId="4438"/>
    <cellStyle name="T_Book1_bao cao phan bo KHDT 2011(final)_BC nhu cau von doi ung ODA nganh NN (BKH)" xfId="4439"/>
    <cellStyle name="T_Book1_bao cao phan bo KHDT 2011(final)_BC Tai co cau (bieu TH)" xfId="4440"/>
    <cellStyle name="T_Book1_bao cao phan bo KHDT 2011(final)_DK 2014-2015 final" xfId="4441"/>
    <cellStyle name="T_Book1_bao cao phan bo KHDT 2011(final)_DK 2014-2015 new" xfId="4442"/>
    <cellStyle name="T_Book1_bao cao phan bo KHDT 2011(final)_DK KH CBDT 2014 11-11-2013" xfId="4443"/>
    <cellStyle name="T_Book1_bao cao phan bo KHDT 2011(final)_DK KH CBDT 2014 11-11-2013(1)" xfId="4444"/>
    <cellStyle name="T_Book1_bao cao phan bo KHDT 2011(final)_KH 2011-2015" xfId="4445"/>
    <cellStyle name="T_Book1_bao cao phan bo KHDT 2011(final)_tai co cau dau tu (tong hop)1" xfId="4446"/>
    <cellStyle name="T_Book1_BC nhu cau von doi ung ODA nganh NN (BKH)" xfId="4447"/>
    <cellStyle name="T_Book1_BC nhu cau von doi ung ODA nganh NN (BKH)_05-12  KH trung han 2016-2020 - Liem Thinh edited" xfId="4448"/>
    <cellStyle name="T_Book1_BC nhu cau von doi ung ODA nganh NN (BKH)_Copy of 05-12  KH trung han 2016-2020 - Liem Thinh edited (1)" xfId="4449"/>
    <cellStyle name="T_Book1_BC NQ11-CP - chinh sua lai" xfId="4450"/>
    <cellStyle name="T_Book1_BC NQ11-CP - chinh sua lai 2" xfId="4451"/>
    <cellStyle name="T_Book1_BC NQ11-CP-Quynh sau bieu so3" xfId="4452"/>
    <cellStyle name="T_Book1_BC NQ11-CP-Quynh sau bieu so3 2" xfId="4453"/>
    <cellStyle name="T_Book1_BC Tai co cau (bieu TH)" xfId="4454"/>
    <cellStyle name="T_Book1_BC Tai co cau (bieu TH)_05-12  KH trung han 2016-2020 - Liem Thinh edited" xfId="4455"/>
    <cellStyle name="T_Book1_BC Tai co cau (bieu TH)_Copy of 05-12  KH trung han 2016-2020 - Liem Thinh edited (1)" xfId="4456"/>
    <cellStyle name="T_Book1_BC_NQ11-CP_-_Thao_sua_lai" xfId="4457"/>
    <cellStyle name="T_Book1_BC_NQ11-CP_-_Thao_sua_lai 2" xfId="4458"/>
    <cellStyle name="T_Book1_Bien ban" xfId="5722"/>
    <cellStyle name="T_Book1_Bieu mau cong trinh khoi cong moi 3-4" xfId="4459"/>
    <cellStyle name="T_Book1_Bieu mau cong trinh khoi cong moi 3-4 2" xfId="4460"/>
    <cellStyle name="T_Book1_Bieu mau cong trinh khoi cong moi 3-4_!1 1 bao cao giao KH ve HTCMT vung TNB   12-12-2011" xfId="4461"/>
    <cellStyle name="T_Book1_Bieu mau cong trinh khoi cong moi 3-4_!1 1 bao cao giao KH ve HTCMT vung TNB   12-12-2011 2" xfId="4462"/>
    <cellStyle name="T_Book1_Bieu mau cong trinh khoi cong moi 3-4_KH TPCP vung TNB (03-1-2012)" xfId="4463"/>
    <cellStyle name="T_Book1_Bieu mau cong trinh khoi cong moi 3-4_KH TPCP vung TNB (03-1-2012) 2" xfId="4464"/>
    <cellStyle name="T_Book1_Bieu mau danh muc du an thuoc CTMTQG nam 2008" xfId="4465"/>
    <cellStyle name="T_Book1_Bieu mau danh muc du an thuoc CTMTQG nam 2008 2" xfId="4466"/>
    <cellStyle name="T_Book1_Bieu mau danh muc du an thuoc CTMTQG nam 2008_!1 1 bao cao giao KH ve HTCMT vung TNB   12-12-2011" xfId="4467"/>
    <cellStyle name="T_Book1_Bieu mau danh muc du an thuoc CTMTQG nam 2008_!1 1 bao cao giao KH ve HTCMT vung TNB   12-12-2011 2" xfId="4468"/>
    <cellStyle name="T_Book1_Bieu mau danh muc du an thuoc CTMTQG nam 2008_bieu tong hop" xfId="4469"/>
    <cellStyle name="T_Book1_Bieu mau danh muc du an thuoc CTMTQG nam 2008_bieu tong hop_Tong hop KH 2014" xfId="4470"/>
    <cellStyle name="T_Book1_Bieu mau danh muc du an thuoc CTMTQG nam 2008_KH TPCP vung TNB (03-1-2012)" xfId="4471"/>
    <cellStyle name="T_Book1_Bieu mau danh muc du an thuoc CTMTQG nam 2008_KH TPCP vung TNB (03-1-2012) 2" xfId="4472"/>
    <cellStyle name="T_Book1_Bieu mau danh muc du an thuoc CTMTQG nam 2008_Tong hop ra soat von ung 2011 -Chau" xfId="4473"/>
    <cellStyle name="T_Book1_Bieu mau danh muc du an thuoc CTMTQG nam 2008_Tong hop ra soat von ung 2011 -Chau_Tong hop KH 2014" xfId="4474"/>
    <cellStyle name="T_Book1_Bieu mau danh muc du an thuoc CTMTQG nam 2008_tong hop TPCP" xfId="4475"/>
    <cellStyle name="T_Book1_Bieu mau danh muc du an thuoc CTMTQG nam 2008_tong hop TPCP_Tong hop KH 2014" xfId="4476"/>
    <cellStyle name="T_Book1_Bieu mau danh muc du an thuoc CTMTQG nam 2008_Tong hop -Yte-Giao thong-Thuy loi-24-6" xfId="4477"/>
    <cellStyle name="T_Book1_Bieu mau danh muc du an thuoc CTMTQG nam 2008_Tong hop -Yte-Giao thong-Thuy loi-24-6_Tong hop KH 2014" xfId="4478"/>
    <cellStyle name="T_Book1_Bieu tong hop nhu cau ung 2011 da chon loc -Mien nui" xfId="4479"/>
    <cellStyle name="T_Book1_Bieu tong hop nhu cau ung 2011 da chon loc -Mien nui 2" xfId="4480"/>
    <cellStyle name="T_Book1_Bieu tong hop nhu cau ung 2011 da chon loc -Mien nui_!1 1 bao cao giao KH ve HTCMT vung TNB   12-12-2011" xfId="4481"/>
    <cellStyle name="T_Book1_Bieu tong hop nhu cau ung 2011 da chon loc -Mien nui_!1 1 bao cao giao KH ve HTCMT vung TNB   12-12-2011 2" xfId="4482"/>
    <cellStyle name="T_Book1_Bieu tong hop nhu cau ung 2011 da chon loc -Mien nui_KH TPCP vung TNB (03-1-2012)" xfId="4483"/>
    <cellStyle name="T_Book1_Bieu tong hop nhu cau ung 2011 da chon loc -Mien nui_KH TPCP vung TNB (03-1-2012) 2" xfId="4484"/>
    <cellStyle name="T_Book1_Bieu3ODA" xfId="4485"/>
    <cellStyle name="T_Book1_Bieu3ODA 2" xfId="4486"/>
    <cellStyle name="T_Book1_Bieu3ODA_!1 1 bao cao giao KH ve HTCMT vung TNB   12-12-2011" xfId="4487"/>
    <cellStyle name="T_Book1_Bieu3ODA_!1 1 bao cao giao KH ve HTCMT vung TNB   12-12-2011 2" xfId="4488"/>
    <cellStyle name="T_Book1_Bieu3ODA_1" xfId="4489"/>
    <cellStyle name="T_Book1_Bieu3ODA_1 2" xfId="4490"/>
    <cellStyle name="T_Book1_Bieu3ODA_1_!1 1 bao cao giao KH ve HTCMT vung TNB   12-12-2011" xfId="4491"/>
    <cellStyle name="T_Book1_Bieu3ODA_1_!1 1 bao cao giao KH ve HTCMT vung TNB   12-12-2011 2" xfId="4492"/>
    <cellStyle name="T_Book1_Bieu3ODA_1_KH TPCP vung TNB (03-1-2012)" xfId="4493"/>
    <cellStyle name="T_Book1_Bieu3ODA_1_KH TPCP vung TNB (03-1-2012) 2" xfId="4494"/>
    <cellStyle name="T_Book1_Bieu3ODA_KH TPCP vung TNB (03-1-2012)" xfId="4495"/>
    <cellStyle name="T_Book1_Bieu3ODA_KH TPCP vung TNB (03-1-2012) 2" xfId="4496"/>
    <cellStyle name="T_Book1_Bieu4HTMT" xfId="4497"/>
    <cellStyle name="T_Book1_Bieu4HTMT 2" xfId="4498"/>
    <cellStyle name="T_Book1_Bieu4HTMT_!1 1 bao cao giao KH ve HTCMT vung TNB   12-12-2011" xfId="4499"/>
    <cellStyle name="T_Book1_Bieu4HTMT_!1 1 bao cao giao KH ve HTCMT vung TNB   12-12-2011 2" xfId="4500"/>
    <cellStyle name="T_Book1_Bieu4HTMT_KH TPCP vung TNB (03-1-2012)" xfId="4501"/>
    <cellStyle name="T_Book1_Bieu4HTMT_KH TPCP vung TNB (03-1-2012) 2" xfId="4502"/>
    <cellStyle name="T_Book1_BKH (TPCP) tháng 5.2010_Quang Nam" xfId="4503"/>
    <cellStyle name="T_Book1_Book1" xfId="4504"/>
    <cellStyle name="T_Book1_Book1 2" xfId="4505"/>
    <cellStyle name="T_Book1_Book1_1" xfId="5723"/>
    <cellStyle name="T_Book1_Book1_2" xfId="5724"/>
    <cellStyle name="T_Book1_Book1_Book1" xfId="5725"/>
    <cellStyle name="T_Book1_Book1_Tong hop KH 2014" xfId="4506"/>
    <cellStyle name="T_Book1_Cong trinh co y kien LD_Dang_NN_2011-Tay nguyen-9-10" xfId="4507"/>
    <cellStyle name="T_Book1_Cong trinh co y kien LD_Dang_NN_2011-Tay nguyen-9-10 2" xfId="4508"/>
    <cellStyle name="T_Book1_Cong trinh co y kien LD_Dang_NN_2011-Tay nguyen-9-10_!1 1 bao cao giao KH ve HTCMT vung TNB   12-12-2011" xfId="4509"/>
    <cellStyle name="T_Book1_Cong trinh co y kien LD_Dang_NN_2011-Tay nguyen-9-10_!1 1 bao cao giao KH ve HTCMT vung TNB   12-12-2011 2" xfId="4510"/>
    <cellStyle name="T_Book1_Cong trinh co y kien LD_Dang_NN_2011-Tay nguyen-9-10_Bieu4HTMT" xfId="4511"/>
    <cellStyle name="T_Book1_Cong trinh co y kien LD_Dang_NN_2011-Tay nguyen-9-10_Bieu4HTMT 2" xfId="4512"/>
    <cellStyle name="T_Book1_Cong trinh co y kien LD_Dang_NN_2011-Tay nguyen-9-10_KH TPCP vung TNB (03-1-2012)" xfId="4513"/>
    <cellStyle name="T_Book1_Cong trinh co y kien LD_Dang_NN_2011-Tay nguyen-9-10_KH TPCP vung TNB (03-1-2012) 2" xfId="4514"/>
    <cellStyle name="T_Book1_CPK" xfId="4515"/>
    <cellStyle name="T_Book1_CPK 2" xfId="4516"/>
    <cellStyle name="T_Book1_danh muc chuan bi dau tu 2011 ngay 07-6-2011" xfId="4517"/>
    <cellStyle name="T_Book1_danh muc chuan bi dau tu 2011 ngay 07-6-2011 2" xfId="4518"/>
    <cellStyle name="T_Book1_dieu chinh KH 2011 ngay 26-5-2011111" xfId="4519"/>
    <cellStyle name="T_Book1_dieu chinh KH 2011 ngay 26-5-2011111 2" xfId="4520"/>
    <cellStyle name="T_Book1_DK 2014-2015 final" xfId="4521"/>
    <cellStyle name="T_Book1_DK 2014-2015 final_05-12  KH trung han 2016-2020 - Liem Thinh edited" xfId="4522"/>
    <cellStyle name="T_Book1_DK 2014-2015 final_Copy of 05-12  KH trung han 2016-2020 - Liem Thinh edited (1)" xfId="4523"/>
    <cellStyle name="T_Book1_DK 2014-2015 new" xfId="4524"/>
    <cellStyle name="T_Book1_DK 2014-2015 new_05-12  KH trung han 2016-2020 - Liem Thinh edited" xfId="4525"/>
    <cellStyle name="T_Book1_DK 2014-2015 new_Copy of 05-12  KH trung han 2016-2020 - Liem Thinh edited (1)" xfId="4526"/>
    <cellStyle name="T_Book1_DK KH CBDT 2014 11-11-2013" xfId="4527"/>
    <cellStyle name="T_Book1_DK KH CBDT 2014 11-11-2013(1)" xfId="4528"/>
    <cellStyle name="T_Book1_DK KH CBDT 2014 11-11-2013(1)_05-12  KH trung han 2016-2020 - Liem Thinh edited" xfId="4529"/>
    <cellStyle name="T_Book1_DK KH CBDT 2014 11-11-2013(1)_Copy of 05-12  KH trung han 2016-2020 - Liem Thinh edited (1)" xfId="4530"/>
    <cellStyle name="T_Book1_DK KH CBDT 2014 11-11-2013_05-12  KH trung han 2016-2020 - Liem Thinh edited" xfId="4531"/>
    <cellStyle name="T_Book1_DK KH CBDT 2014 11-11-2013_Copy of 05-12  KH trung han 2016-2020 - Liem Thinh edited (1)" xfId="4532"/>
    <cellStyle name="T_Book1_DT492" xfId="4533"/>
    <cellStyle name="T_Book1_DT492_Tong hop KH 2014" xfId="4534"/>
    <cellStyle name="T_Book1_DT972000" xfId="4535"/>
    <cellStyle name="T_Book1_DT972000_Tong hop KH 2014" xfId="4536"/>
    <cellStyle name="T_Book1_DTDuong dong tien -sua tham tra 2009 - luong 650" xfId="4537"/>
    <cellStyle name="T_Book1_DTDuong dong tien -sua tham tra 2009 - luong 650_Tong hop KH 2014" xfId="4538"/>
    <cellStyle name="T_Book1_Du an khoi cong moi nam 2010" xfId="4539"/>
    <cellStyle name="T_Book1_Du an khoi cong moi nam 2010 2" xfId="4540"/>
    <cellStyle name="T_Book1_Du an khoi cong moi nam 2010_!1 1 bao cao giao KH ve HTCMT vung TNB   12-12-2011" xfId="4541"/>
    <cellStyle name="T_Book1_Du an khoi cong moi nam 2010_!1 1 bao cao giao KH ve HTCMT vung TNB   12-12-2011 2" xfId="4542"/>
    <cellStyle name="T_Book1_Du an khoi cong moi nam 2010_bieu tong hop" xfId="4543"/>
    <cellStyle name="T_Book1_Du an khoi cong moi nam 2010_bieu tong hop_Tong hop KH 2014" xfId="4544"/>
    <cellStyle name="T_Book1_Du an khoi cong moi nam 2010_KH TPCP vung TNB (03-1-2012)" xfId="4545"/>
    <cellStyle name="T_Book1_Du an khoi cong moi nam 2010_KH TPCP vung TNB (03-1-2012) 2" xfId="4546"/>
    <cellStyle name="T_Book1_Du an khoi cong moi nam 2010_Tong hop ra soat von ung 2011 -Chau" xfId="4547"/>
    <cellStyle name="T_Book1_Du an khoi cong moi nam 2010_Tong hop ra soat von ung 2011 -Chau_Tong hop KH 2014" xfId="4548"/>
    <cellStyle name="T_Book1_Du an khoi cong moi nam 2010_tong hop TPCP" xfId="4549"/>
    <cellStyle name="T_Book1_Du an khoi cong moi nam 2010_tong hop TPCP_Tong hop KH 2014" xfId="4550"/>
    <cellStyle name="T_Book1_Du an khoi cong moi nam 2010_Tong hop -Yte-Giao thong-Thuy loi-24-6" xfId="4551"/>
    <cellStyle name="T_Book1_Du an khoi cong moi nam 2010_Tong hop -Yte-Giao thong-Thuy loi-24-6_Tong hop KH 2014" xfId="4552"/>
    <cellStyle name="T_Book1_Du toan khao sat (bo sung 2009)" xfId="4553"/>
    <cellStyle name="T_Book1_Du toan khao sat (bo sung 2009)_Tong hop KH 2014" xfId="4554"/>
    <cellStyle name="T_Book1_giao KH 2011 ngay 10-12-2010" xfId="4555"/>
    <cellStyle name="T_Book1_giao KH 2011 ngay 10-12-2010 2" xfId="4556"/>
    <cellStyle name="T_Book1_Hang Tom goi9 9-07(Cau 12 sua)" xfId="4557"/>
    <cellStyle name="T_Book1_Hang Tom goi9 9-07(Cau 12 sua) 2" xfId="4558"/>
    <cellStyle name="T_Book1_HECO-NR78-Gui a-Vinh(15-5-07)" xfId="4559"/>
    <cellStyle name="T_Book1_HECO-NR78-Gui a-Vinh(15-5-07)_Tong hop KH 2014" xfId="4560"/>
    <cellStyle name="T_Book1_IPC No.01 ADB5 (IN)- QB04TL10" xfId="5726"/>
    <cellStyle name="T_Book1_Ket qua phan bo von nam 2008" xfId="4561"/>
    <cellStyle name="T_Book1_Ket qua phan bo von nam 2008 2" xfId="4562"/>
    <cellStyle name="T_Book1_Ket qua phan bo von nam 2008_!1 1 bao cao giao KH ve HTCMT vung TNB   12-12-2011" xfId="4563"/>
    <cellStyle name="T_Book1_Ket qua phan bo von nam 2008_!1 1 bao cao giao KH ve HTCMT vung TNB   12-12-2011 2" xfId="4564"/>
    <cellStyle name="T_Book1_Ket qua phan bo von nam 2008_KH TPCP vung TNB (03-1-2012)" xfId="4565"/>
    <cellStyle name="T_Book1_Ket qua phan bo von nam 2008_KH TPCP vung TNB (03-1-2012) 2" xfId="4566"/>
    <cellStyle name="T_Book1_KH TPCP vung TNB (03-1-2012)" xfId="4567"/>
    <cellStyle name="T_Book1_KH TPCP vung TNB (03-1-2012) 2" xfId="4568"/>
    <cellStyle name="T_Book1_KH XDCB_2008 lan 2 sua ngay 10-11" xfId="4569"/>
    <cellStyle name="T_Book1_KH XDCB_2008 lan 2 sua ngay 10-11 2" xfId="4570"/>
    <cellStyle name="T_Book1_KH XDCB_2008 lan 2 sua ngay 10-11_!1 1 bao cao giao KH ve HTCMT vung TNB   12-12-2011" xfId="4571"/>
    <cellStyle name="T_Book1_KH XDCB_2008 lan 2 sua ngay 10-11_!1 1 bao cao giao KH ve HTCMT vung TNB   12-12-2011 2" xfId="4572"/>
    <cellStyle name="T_Book1_KH XDCB_2008 lan 2 sua ngay 10-11_KH TPCP vung TNB (03-1-2012)" xfId="4573"/>
    <cellStyle name="T_Book1_KH XDCB_2008 lan 2 sua ngay 10-11_KH TPCP vung TNB (03-1-2012) 2" xfId="4574"/>
    <cellStyle name="T_Book1_KH2011_Bieu 14-21_Vung Tay Nguyen" xfId="4575"/>
    <cellStyle name="T_Book1_Khoi luong cac hang muc chi tiet-702" xfId="4576"/>
    <cellStyle name="T_Book1_Khoi luong cac hang muc chi tiet-702_Tong hop KH 2014" xfId="4577"/>
    <cellStyle name="T_Book1_Khoi luong chinh Hang Tom" xfId="4578"/>
    <cellStyle name="T_Book1_Khoi luong chinh Hang Tom 2" xfId="4579"/>
    <cellStyle name="T_Book1_kien giang 2" xfId="4580"/>
    <cellStyle name="T_Book1_kien giang 2 2" xfId="4581"/>
    <cellStyle name="T_Book1_KL NT dap nen Dot 3" xfId="4582"/>
    <cellStyle name="T_Book1_KL NT dap nen Dot 3_Tong hop KH 2014" xfId="4583"/>
    <cellStyle name="T_Book1_KL NT Dot 3" xfId="4584"/>
    <cellStyle name="T_Book1_KL NT Dot 3_Tong hop KH 2014" xfId="4585"/>
    <cellStyle name="T_Book1_KLNMD" xfId="5727"/>
    <cellStyle name="T_Book1_Luy ke von ung nam 2011 -Thoa gui ngay 12-8-2012" xfId="4586"/>
    <cellStyle name="T_Book1_Luy ke von ung nam 2011 -Thoa gui ngay 12-8-2012 2" xfId="4587"/>
    <cellStyle name="T_Book1_Luy ke von ung nam 2011 -Thoa gui ngay 12-8-2012_!1 1 bao cao giao KH ve HTCMT vung TNB   12-12-2011" xfId="4588"/>
    <cellStyle name="T_Book1_Luy ke von ung nam 2011 -Thoa gui ngay 12-8-2012_!1 1 bao cao giao KH ve HTCMT vung TNB   12-12-2011 2" xfId="4589"/>
    <cellStyle name="T_Book1_Luy ke von ung nam 2011 -Thoa gui ngay 12-8-2012_KH TPCP vung TNB (03-1-2012)" xfId="4590"/>
    <cellStyle name="T_Book1_Luy ke von ung nam 2011 -Thoa gui ngay 12-8-2012_KH TPCP vung TNB (03-1-2012) 2" xfId="4591"/>
    <cellStyle name="T_Book1_mau bieu doan giam sat 2010 (version 2)" xfId="4592"/>
    <cellStyle name="T_Book1_mau KL vach son" xfId="4593"/>
    <cellStyle name="T_Book1_mau KL vach son_Tong hop KH 2014" xfId="4594"/>
    <cellStyle name="T_Book1_Nhu cau von ung truoc 2011 Tha h Hoa + Nge An gui TW" xfId="4595"/>
    <cellStyle name="T_Book1_Nhu cau von ung truoc 2011 Tha h Hoa + Nge An gui TW 2" xfId="4596"/>
    <cellStyle name="T_Book1_Nhu cau von ung truoc 2011 Tha h Hoa + Nge An gui TW_!1 1 bao cao giao KH ve HTCMT vung TNB   12-12-2011" xfId="4597"/>
    <cellStyle name="T_Book1_Nhu cau von ung truoc 2011 Tha h Hoa + Nge An gui TW_!1 1 bao cao giao KH ve HTCMT vung TNB   12-12-2011 2" xfId="4598"/>
    <cellStyle name="T_Book1_Nhu cau von ung truoc 2011 Tha h Hoa + Nge An gui TW_Bieu4HTMT" xfId="4599"/>
    <cellStyle name="T_Book1_Nhu cau von ung truoc 2011 Tha h Hoa + Nge An gui TW_Bieu4HTMT 2" xfId="4600"/>
    <cellStyle name="T_Book1_Nhu cau von ung truoc 2011 Tha h Hoa + Nge An gui TW_Bieu4HTMT_!1 1 bao cao giao KH ve HTCMT vung TNB   12-12-2011" xfId="4601"/>
    <cellStyle name="T_Book1_Nhu cau von ung truoc 2011 Tha h Hoa + Nge An gui TW_Bieu4HTMT_!1 1 bao cao giao KH ve HTCMT vung TNB   12-12-2011 2" xfId="4602"/>
    <cellStyle name="T_Book1_Nhu cau von ung truoc 2011 Tha h Hoa + Nge An gui TW_Bieu4HTMT_KH TPCP vung TNB (03-1-2012)" xfId="4603"/>
    <cellStyle name="T_Book1_Nhu cau von ung truoc 2011 Tha h Hoa + Nge An gui TW_Bieu4HTMT_KH TPCP vung TNB (03-1-2012) 2" xfId="4604"/>
    <cellStyle name="T_Book1_Nhu cau von ung truoc 2011 Tha h Hoa + Nge An gui TW_KH TPCP vung TNB (03-1-2012)" xfId="4605"/>
    <cellStyle name="T_Book1_Nhu cau von ung truoc 2011 Tha h Hoa + Nge An gui TW_KH TPCP vung TNB (03-1-2012) 2" xfId="4606"/>
    <cellStyle name="T_Book1_Nhu cau von ung truoc 2011 Tha h Hoa + Nge An gui TW_Tong hop KH 2014" xfId="4607"/>
    <cellStyle name="T_Book1_phu luc tong ket tinh hinh TH giai doan 03-10 (ngay 30)" xfId="4608"/>
    <cellStyle name="T_Book1_phu luc tong ket tinh hinh TH giai doan 03-10 (ngay 30) 2" xfId="4609"/>
    <cellStyle name="T_Book1_phu luc tong ket tinh hinh TH giai doan 03-10 (ngay 30)_!1 1 bao cao giao KH ve HTCMT vung TNB   12-12-2011" xfId="4610"/>
    <cellStyle name="T_Book1_phu luc tong ket tinh hinh TH giai doan 03-10 (ngay 30)_!1 1 bao cao giao KH ve HTCMT vung TNB   12-12-2011 2" xfId="4611"/>
    <cellStyle name="T_Book1_phu luc tong ket tinh hinh TH giai doan 03-10 (ngay 30)_KH TPCP vung TNB (03-1-2012)" xfId="4612"/>
    <cellStyle name="T_Book1_phu luc tong ket tinh hinh TH giai doan 03-10 (ngay 30)_KH TPCP vung TNB (03-1-2012) 2" xfId="4613"/>
    <cellStyle name="T_Book1_San sat hach moi" xfId="4614"/>
    <cellStyle name="T_Book1_San sat hach moi_Tong hop KH 2014" xfId="4615"/>
    <cellStyle name="T_Book1_TH ung tren 70%-Ra soat phap ly-8-6 (dung de chuyen vao vu TH)" xfId="4616"/>
    <cellStyle name="T_Book1_TH ung tren 70%-Ra soat phap ly-8-6 (dung de chuyen vao vu TH) 2" xfId="4617"/>
    <cellStyle name="T_Book1_TH ung tren 70%-Ra soat phap ly-8-6 (dung de chuyen vao vu TH)_!1 1 bao cao giao KH ve HTCMT vung TNB   12-12-2011" xfId="4618"/>
    <cellStyle name="T_Book1_TH ung tren 70%-Ra soat phap ly-8-6 (dung de chuyen vao vu TH)_!1 1 bao cao giao KH ve HTCMT vung TNB   12-12-2011 2" xfId="4619"/>
    <cellStyle name="T_Book1_TH ung tren 70%-Ra soat phap ly-8-6 (dung de chuyen vao vu TH)_Bieu4HTMT" xfId="4620"/>
    <cellStyle name="T_Book1_TH ung tren 70%-Ra soat phap ly-8-6 (dung de chuyen vao vu TH)_Bieu4HTMT 2" xfId="4621"/>
    <cellStyle name="T_Book1_TH ung tren 70%-Ra soat phap ly-8-6 (dung de chuyen vao vu TH)_KH TPCP vung TNB (03-1-2012)" xfId="4622"/>
    <cellStyle name="T_Book1_TH ung tren 70%-Ra soat phap ly-8-6 (dung de chuyen vao vu TH)_KH TPCP vung TNB (03-1-2012) 2" xfId="4623"/>
    <cellStyle name="T_Book1_TH y kien LD_KH 2010 Ca Nuoc 22-9-2011-Gui ca Vu" xfId="4624"/>
    <cellStyle name="T_Book1_TH y kien LD_KH 2010 Ca Nuoc 22-9-2011-Gui ca Vu 2" xfId="4625"/>
    <cellStyle name="T_Book1_TH y kien LD_KH 2010 Ca Nuoc 22-9-2011-Gui ca Vu_!1 1 bao cao giao KH ve HTCMT vung TNB   12-12-2011" xfId="4626"/>
    <cellStyle name="T_Book1_TH y kien LD_KH 2010 Ca Nuoc 22-9-2011-Gui ca Vu_!1 1 bao cao giao KH ve HTCMT vung TNB   12-12-2011 2" xfId="4627"/>
    <cellStyle name="T_Book1_TH y kien LD_KH 2010 Ca Nuoc 22-9-2011-Gui ca Vu_Bieu4HTMT" xfId="4628"/>
    <cellStyle name="T_Book1_TH y kien LD_KH 2010 Ca Nuoc 22-9-2011-Gui ca Vu_Bieu4HTMT 2" xfId="4629"/>
    <cellStyle name="T_Book1_TH y kien LD_KH 2010 Ca Nuoc 22-9-2011-Gui ca Vu_KH TPCP vung TNB (03-1-2012)" xfId="4630"/>
    <cellStyle name="T_Book1_TH y kien LD_KH 2010 Ca Nuoc 22-9-2011-Gui ca Vu_KH TPCP vung TNB (03-1-2012) 2" xfId="4631"/>
    <cellStyle name="T_Book1_thanh toan cau tran (dot 7)-" xfId="5728"/>
    <cellStyle name="T_Book1_thanh toan dot 5" xfId="5729"/>
    <cellStyle name="T_Book1_thanh_toan_cau_tran_dot_12" xfId="5730"/>
    <cellStyle name="T_Book1_thanh_toandot_14" xfId="5731"/>
    <cellStyle name="T_Book1_Thiet bi" xfId="4632"/>
    <cellStyle name="T_Book1_Thiet bi 2" xfId="4633"/>
    <cellStyle name="T_Book1_Thong ke cong" xfId="4634"/>
    <cellStyle name="T_Book1_Thong ke cong_Tong hop KH 2014" xfId="4635"/>
    <cellStyle name="T_Book1_TN - Ho tro khac 2011" xfId="4636"/>
    <cellStyle name="T_Book1_TN - Ho tro khac 2011 2" xfId="4637"/>
    <cellStyle name="T_Book1_TN - Ho tro khac 2011_!1 1 bao cao giao KH ve HTCMT vung TNB   12-12-2011" xfId="4638"/>
    <cellStyle name="T_Book1_TN - Ho tro khac 2011_!1 1 bao cao giao KH ve HTCMT vung TNB   12-12-2011 2" xfId="4639"/>
    <cellStyle name="T_Book1_TN - Ho tro khac 2011_Bieu4HTMT" xfId="4640"/>
    <cellStyle name="T_Book1_TN - Ho tro khac 2011_Bieu4HTMT 2" xfId="4641"/>
    <cellStyle name="T_Book1_TN - Ho tro khac 2011_KH TPCP vung TNB (03-1-2012)" xfId="4642"/>
    <cellStyle name="T_Book1_TN - Ho tro khac 2011_KH TPCP vung TNB (03-1-2012) 2" xfId="4643"/>
    <cellStyle name="T_Book1_Tong hop 3 tinh (11_5)-TTH-QN-QT" xfId="4644"/>
    <cellStyle name="T_Book1_Tong hop 3 tinh (11_5)-TTH-QN-QT_Tong hop KH 2014" xfId="4645"/>
    <cellStyle name="T_Book1_Tong hop KH 2014" xfId="4646"/>
    <cellStyle name="T_Book1_tong hop TPCP" xfId="4647"/>
    <cellStyle name="T_Book1_ung 2011 - 11-6-Thanh hoa-Nghe an" xfId="4648"/>
    <cellStyle name="T_Book1_ung 2011 - 11-6-Thanh hoa-Nghe an_Tong hop KH 2014" xfId="4649"/>
    <cellStyle name="T_Book1_ung truoc 2011 NSTW Thanh Hoa + Nge An gui Thu 12-5" xfId="4650"/>
    <cellStyle name="T_Book1_ung truoc 2011 NSTW Thanh Hoa + Nge An gui Thu 12-5 2" xfId="4651"/>
    <cellStyle name="T_Book1_ung truoc 2011 NSTW Thanh Hoa + Nge An gui Thu 12-5_!1 1 bao cao giao KH ve HTCMT vung TNB   12-12-2011" xfId="4652"/>
    <cellStyle name="T_Book1_ung truoc 2011 NSTW Thanh Hoa + Nge An gui Thu 12-5_!1 1 bao cao giao KH ve HTCMT vung TNB   12-12-2011 2" xfId="4653"/>
    <cellStyle name="T_Book1_ung truoc 2011 NSTW Thanh Hoa + Nge An gui Thu 12-5_Bieu4HTMT" xfId="4654"/>
    <cellStyle name="T_Book1_ung truoc 2011 NSTW Thanh Hoa + Nge An gui Thu 12-5_Bieu4HTMT 2" xfId="4655"/>
    <cellStyle name="T_Book1_ung truoc 2011 NSTW Thanh Hoa + Nge An gui Thu 12-5_Bieu4HTMT_!1 1 bao cao giao KH ve HTCMT vung TNB   12-12-2011" xfId="4656"/>
    <cellStyle name="T_Book1_ung truoc 2011 NSTW Thanh Hoa + Nge An gui Thu 12-5_Bieu4HTMT_!1 1 bao cao giao KH ve HTCMT vung TNB   12-12-2011 2" xfId="4657"/>
    <cellStyle name="T_Book1_ung truoc 2011 NSTW Thanh Hoa + Nge An gui Thu 12-5_Bieu4HTMT_KH TPCP vung TNB (03-1-2012)" xfId="4658"/>
    <cellStyle name="T_Book1_ung truoc 2011 NSTW Thanh Hoa + Nge An gui Thu 12-5_Bieu4HTMT_KH TPCP vung TNB (03-1-2012) 2" xfId="4659"/>
    <cellStyle name="T_Book1_ung truoc 2011 NSTW Thanh Hoa + Nge An gui Thu 12-5_KH TPCP vung TNB (03-1-2012)" xfId="4660"/>
    <cellStyle name="T_Book1_ung truoc 2011 NSTW Thanh Hoa + Nge An gui Thu 12-5_KH TPCP vung TNB (03-1-2012) 2" xfId="4661"/>
    <cellStyle name="T_Book1_ung truoc 2011 NSTW Thanh Hoa + Nge An gui Thu 12-5_Tong hop KH 2014" xfId="4662"/>
    <cellStyle name="T_Book1_ÿÿÿÿÿ" xfId="4663"/>
    <cellStyle name="T_Book1_ÿÿÿÿÿ 2" xfId="4664"/>
    <cellStyle name="T_Cac bao cao TB  Milk-Yomilk-co Ke- CK 1-Vinh Thang" xfId="5732"/>
    <cellStyle name="T_CDKT" xfId="4665"/>
    <cellStyle name="T_CDKT_Bang Gia" xfId="5733"/>
    <cellStyle name="T_CDKT_Bang Gia_thanh toan cau tran (dot 7)-" xfId="5734"/>
    <cellStyle name="T_CDKT_Bang Gia_thanh_toan_cau_tran_dot_12" xfId="5735"/>
    <cellStyle name="T_CDKT_Bang Gia_thanh_toandot_14" xfId="5736"/>
    <cellStyle name="T_CDKT_Book1" xfId="5737"/>
    <cellStyle name="T_CDKT_KLNMD" xfId="5738"/>
    <cellStyle name="T_CDKT_thanh toan cau tran (dot 7)-" xfId="5739"/>
    <cellStyle name="T_CDKT_thanh_toan_cau_tran_dot_12" xfId="5740"/>
    <cellStyle name="T_CDKT_thanh_toandot_14" xfId="5741"/>
    <cellStyle name="T_CDKT_Tong hop KH 2014" xfId="4666"/>
    <cellStyle name="T_cham diem Milk chu ky2-ANH MINH" xfId="5742"/>
    <cellStyle name="T_cham trung bay ck 1 m.Bac milk co ke 2" xfId="5743"/>
    <cellStyle name="T_cham trung bay yao smart milk ck 2 mien Bac" xfId="5744"/>
    <cellStyle name="T_Chuan bi dau tu nam 2008" xfId="4667"/>
    <cellStyle name="T_Chuan bi dau tu nam 2008 2" xfId="4668"/>
    <cellStyle name="T_Chuan bi dau tu nam 2008_!1 1 bao cao giao KH ve HTCMT vung TNB   12-12-2011" xfId="4669"/>
    <cellStyle name="T_Chuan bi dau tu nam 2008_!1 1 bao cao giao KH ve HTCMT vung TNB   12-12-2011 2" xfId="4670"/>
    <cellStyle name="T_Chuan bi dau tu nam 2008_bieu tong hop" xfId="4671"/>
    <cellStyle name="T_Chuan bi dau tu nam 2008_KH TPCP vung TNB (03-1-2012)" xfId="4672"/>
    <cellStyle name="T_Chuan bi dau tu nam 2008_KH TPCP vung TNB (03-1-2012) 2" xfId="4673"/>
    <cellStyle name="T_Chuan bi dau tu nam 2008_Tong hop KH 2014" xfId="4674"/>
    <cellStyle name="T_Chuan bi dau tu nam 2008_Tong hop ra soat von ung 2011 -Chau" xfId="4675"/>
    <cellStyle name="T_Chuan bi dau tu nam 2008_tong hop TPCP" xfId="4676"/>
    <cellStyle name="T_Chuan bi dau tu nam 2008_Tong hop -Yte-Giao thong-Thuy loi-24-6" xfId="4677"/>
    <cellStyle name="T_Copy of Bao cao  XDCB 7 thang nam 2008_So KH&amp;DT SUA" xfId="4678"/>
    <cellStyle name="T_Copy of Bao cao  XDCB 7 thang nam 2008_So KH&amp;DT SUA 2" xfId="4679"/>
    <cellStyle name="T_Copy of Bao cao  XDCB 7 thang nam 2008_So KH&amp;DT SUA_!1 1 bao cao giao KH ve HTCMT vung TNB   12-12-2011" xfId="4680"/>
    <cellStyle name="T_Copy of Bao cao  XDCB 7 thang nam 2008_So KH&amp;DT SUA_!1 1 bao cao giao KH ve HTCMT vung TNB   12-12-2011 2" xfId="4681"/>
    <cellStyle name="T_Copy of Bao cao  XDCB 7 thang nam 2008_So KH&amp;DT SUA_bieu tong hop" xfId="4682"/>
    <cellStyle name="T_Copy of Bao cao  XDCB 7 thang nam 2008_So KH&amp;DT SUA_KH TPCP vung TNB (03-1-2012)" xfId="4683"/>
    <cellStyle name="T_Copy of Bao cao  XDCB 7 thang nam 2008_So KH&amp;DT SUA_KH TPCP vung TNB (03-1-2012) 2" xfId="4684"/>
    <cellStyle name="T_Copy of Bao cao  XDCB 7 thang nam 2008_So KH&amp;DT SUA_Tong hop KH 2014" xfId="4685"/>
    <cellStyle name="T_Copy of Bao cao  XDCB 7 thang nam 2008_So KH&amp;DT SUA_Tong hop ra soat von ung 2011 -Chau" xfId="4686"/>
    <cellStyle name="T_Copy of Bao cao  XDCB 7 thang nam 2008_So KH&amp;DT SUA_tong hop TPCP" xfId="4687"/>
    <cellStyle name="T_Copy of Bao cao  XDCB 7 thang nam 2008_So KH&amp;DT SUA_Tong hop -Yte-Giao thong-Thuy loi-24-6" xfId="4688"/>
    <cellStyle name="T_Copy of KS Du an dau tu" xfId="4689"/>
    <cellStyle name="T_Copy of KS Du an dau tu_Tong hop KH 2014" xfId="4690"/>
    <cellStyle name="T_Cost for DD (summary)" xfId="4691"/>
    <cellStyle name="T_Cost for DD (summary)_Tong hop KH 2014" xfId="4692"/>
    <cellStyle name="T_CPK" xfId="4693"/>
    <cellStyle name="T_CPK 2" xfId="4694"/>
    <cellStyle name="T_CPK_!1 1 bao cao giao KH ve HTCMT vung TNB   12-12-2011" xfId="4695"/>
    <cellStyle name="T_CPK_!1 1 bao cao giao KH ve HTCMT vung TNB   12-12-2011 2" xfId="4696"/>
    <cellStyle name="T_CPK_Bieu4HTMT" xfId="4697"/>
    <cellStyle name="T_CPK_Bieu4HTMT 2" xfId="4698"/>
    <cellStyle name="T_CPK_Bieu4HTMT_!1 1 bao cao giao KH ve HTCMT vung TNB   12-12-2011" xfId="4699"/>
    <cellStyle name="T_CPK_Bieu4HTMT_!1 1 bao cao giao KH ve HTCMT vung TNB   12-12-2011 2" xfId="4700"/>
    <cellStyle name="T_CPK_Bieu4HTMT_KH TPCP vung TNB (03-1-2012)" xfId="4701"/>
    <cellStyle name="T_CPK_Bieu4HTMT_KH TPCP vung TNB (03-1-2012) 2" xfId="4702"/>
    <cellStyle name="T_CPK_KH TPCP vung TNB (03-1-2012)" xfId="4703"/>
    <cellStyle name="T_CPK_KH TPCP vung TNB (03-1-2012) 2" xfId="4704"/>
    <cellStyle name="T_CPK_Tong hop KH 2014" xfId="4705"/>
    <cellStyle name="T_CTMTQG 2008" xfId="4706"/>
    <cellStyle name="T_CTMTQG 2008 2" xfId="4707"/>
    <cellStyle name="T_CTMTQG 2008_!1 1 bao cao giao KH ve HTCMT vung TNB   12-12-2011" xfId="4708"/>
    <cellStyle name="T_CTMTQG 2008_!1 1 bao cao giao KH ve HTCMT vung TNB   12-12-2011 2" xfId="4709"/>
    <cellStyle name="T_CTMTQG 2008_Bieu mau danh muc du an thuoc CTMTQG nam 2008" xfId="4710"/>
    <cellStyle name="T_CTMTQG 2008_Bieu mau danh muc du an thuoc CTMTQG nam 2008 2" xfId="4711"/>
    <cellStyle name="T_CTMTQG 2008_Bieu mau danh muc du an thuoc CTMTQG nam 2008_!1 1 bao cao giao KH ve HTCMT vung TNB   12-12-2011" xfId="4712"/>
    <cellStyle name="T_CTMTQG 2008_Bieu mau danh muc du an thuoc CTMTQG nam 2008_!1 1 bao cao giao KH ve HTCMT vung TNB   12-12-2011 2" xfId="4713"/>
    <cellStyle name="T_CTMTQG 2008_Bieu mau danh muc du an thuoc CTMTQG nam 2008_KH TPCP vung TNB (03-1-2012)" xfId="4714"/>
    <cellStyle name="T_CTMTQG 2008_Bieu mau danh muc du an thuoc CTMTQG nam 2008_KH TPCP vung TNB (03-1-2012) 2" xfId="4715"/>
    <cellStyle name="T_CTMTQG 2008_Bieu mau danh muc du an thuoc CTMTQG nam 2008_Tong hop KH 2014" xfId="4716"/>
    <cellStyle name="T_CTMTQG 2008_Hi-Tong hop KQ phan bo KH nam 08- LD fong giao 15-11-08" xfId="4717"/>
    <cellStyle name="T_CTMTQG 2008_Hi-Tong hop KQ phan bo KH nam 08- LD fong giao 15-11-08 2" xfId="4718"/>
    <cellStyle name="T_CTMTQG 2008_Hi-Tong hop KQ phan bo KH nam 08- LD fong giao 15-11-08_!1 1 bao cao giao KH ve HTCMT vung TNB   12-12-2011" xfId="4719"/>
    <cellStyle name="T_CTMTQG 2008_Hi-Tong hop KQ phan bo KH nam 08- LD fong giao 15-11-08_!1 1 bao cao giao KH ve HTCMT vung TNB   12-12-2011 2" xfId="4720"/>
    <cellStyle name="T_CTMTQG 2008_Hi-Tong hop KQ phan bo KH nam 08- LD fong giao 15-11-08_KH TPCP vung TNB (03-1-2012)" xfId="4721"/>
    <cellStyle name="T_CTMTQG 2008_Hi-Tong hop KQ phan bo KH nam 08- LD fong giao 15-11-08_KH TPCP vung TNB (03-1-2012) 2" xfId="4722"/>
    <cellStyle name="T_CTMTQG 2008_Hi-Tong hop KQ phan bo KH nam 08- LD fong giao 15-11-08_Tong hop KH 2014" xfId="4723"/>
    <cellStyle name="T_CTMTQG 2008_Ket qua thuc hien nam 2008" xfId="4724"/>
    <cellStyle name="T_CTMTQG 2008_Ket qua thuc hien nam 2008 2" xfId="4725"/>
    <cellStyle name="T_CTMTQG 2008_Ket qua thuc hien nam 2008_!1 1 bao cao giao KH ve HTCMT vung TNB   12-12-2011" xfId="4726"/>
    <cellStyle name="T_CTMTQG 2008_Ket qua thuc hien nam 2008_!1 1 bao cao giao KH ve HTCMT vung TNB   12-12-2011 2" xfId="4727"/>
    <cellStyle name="T_CTMTQG 2008_Ket qua thuc hien nam 2008_KH TPCP vung TNB (03-1-2012)" xfId="4728"/>
    <cellStyle name="T_CTMTQG 2008_Ket qua thuc hien nam 2008_KH TPCP vung TNB (03-1-2012) 2" xfId="4729"/>
    <cellStyle name="T_CTMTQG 2008_Ket qua thuc hien nam 2008_Tong hop KH 2014" xfId="4730"/>
    <cellStyle name="T_CTMTQG 2008_KH TPCP vung TNB (03-1-2012)" xfId="4731"/>
    <cellStyle name="T_CTMTQG 2008_KH TPCP vung TNB (03-1-2012) 2" xfId="4732"/>
    <cellStyle name="T_CTMTQG 2008_KH XDCB_2008 lan 1" xfId="4733"/>
    <cellStyle name="T_CTMTQG 2008_KH XDCB_2008 lan 1 2" xfId="4734"/>
    <cellStyle name="T_CTMTQG 2008_KH XDCB_2008 lan 1 sua ngay 27-10" xfId="4735"/>
    <cellStyle name="T_CTMTQG 2008_KH XDCB_2008 lan 1 sua ngay 27-10 2" xfId="4736"/>
    <cellStyle name="T_CTMTQG 2008_KH XDCB_2008 lan 1 sua ngay 27-10_!1 1 bao cao giao KH ve HTCMT vung TNB   12-12-2011" xfId="4737"/>
    <cellStyle name="T_CTMTQG 2008_KH XDCB_2008 lan 1 sua ngay 27-10_!1 1 bao cao giao KH ve HTCMT vung TNB   12-12-2011 2" xfId="4738"/>
    <cellStyle name="T_CTMTQG 2008_KH XDCB_2008 lan 1 sua ngay 27-10_KH TPCP vung TNB (03-1-2012)" xfId="4739"/>
    <cellStyle name="T_CTMTQG 2008_KH XDCB_2008 lan 1 sua ngay 27-10_KH TPCP vung TNB (03-1-2012) 2" xfId="4740"/>
    <cellStyle name="T_CTMTQG 2008_KH XDCB_2008 lan 1 sua ngay 27-10_Tong hop KH 2014" xfId="4741"/>
    <cellStyle name="T_CTMTQG 2008_KH XDCB_2008 lan 1_!1 1 bao cao giao KH ve HTCMT vung TNB   12-12-2011" xfId="4742"/>
    <cellStyle name="T_CTMTQG 2008_KH XDCB_2008 lan 1_!1 1 bao cao giao KH ve HTCMT vung TNB   12-12-2011 2" xfId="4743"/>
    <cellStyle name="T_CTMTQG 2008_KH XDCB_2008 lan 1_KH TPCP vung TNB (03-1-2012)" xfId="4744"/>
    <cellStyle name="T_CTMTQG 2008_KH XDCB_2008 lan 1_KH TPCP vung TNB (03-1-2012) 2" xfId="4745"/>
    <cellStyle name="T_CTMTQG 2008_KH XDCB_2008 lan 1_Tong hop KH 2014" xfId="4746"/>
    <cellStyle name="T_CTMTQG 2008_KH XDCB_2008 lan 2 sua ngay 10-11" xfId="4747"/>
    <cellStyle name="T_CTMTQG 2008_KH XDCB_2008 lan 2 sua ngay 10-11 2" xfId="4748"/>
    <cellStyle name="T_CTMTQG 2008_KH XDCB_2008 lan 2 sua ngay 10-11_!1 1 bao cao giao KH ve HTCMT vung TNB   12-12-2011" xfId="4749"/>
    <cellStyle name="T_CTMTQG 2008_KH XDCB_2008 lan 2 sua ngay 10-11_!1 1 bao cao giao KH ve HTCMT vung TNB   12-12-2011 2" xfId="4750"/>
    <cellStyle name="T_CTMTQG 2008_KH XDCB_2008 lan 2 sua ngay 10-11_KH TPCP vung TNB (03-1-2012)" xfId="4751"/>
    <cellStyle name="T_CTMTQG 2008_KH XDCB_2008 lan 2 sua ngay 10-11_KH TPCP vung TNB (03-1-2012) 2" xfId="4752"/>
    <cellStyle name="T_CTMTQG 2008_KH XDCB_2008 lan 2 sua ngay 10-11_Tong hop KH 2014" xfId="4753"/>
    <cellStyle name="T_CTMTQG 2008_Tong hop KH 2014" xfId="4754"/>
    <cellStyle name="T_CVDS km 663+273 duyet" xfId="5745"/>
    <cellStyle name="T_CVDSvaDB km 652+852" xfId="5746"/>
    <cellStyle name="T_danh muc chuan bi dau tu 2011 ngay 07-6-2011" xfId="4755"/>
    <cellStyle name="T_danh muc chuan bi dau tu 2011 ngay 07-6-2011 2" xfId="4756"/>
    <cellStyle name="T_danh muc chuan bi dau tu 2011 ngay 07-6-2011_!1 1 bao cao giao KH ve HTCMT vung TNB   12-12-2011" xfId="4757"/>
    <cellStyle name="T_danh muc chuan bi dau tu 2011 ngay 07-6-2011_!1 1 bao cao giao KH ve HTCMT vung TNB   12-12-2011 2" xfId="4758"/>
    <cellStyle name="T_danh muc chuan bi dau tu 2011 ngay 07-6-2011_KH TPCP vung TNB (03-1-2012)" xfId="4759"/>
    <cellStyle name="T_danh muc chuan bi dau tu 2011 ngay 07-6-2011_KH TPCP vung TNB (03-1-2012) 2" xfId="4760"/>
    <cellStyle name="T_Danh muc pbo nguon von XSKT, XDCB nam 2009 chuyen qua nam 2010" xfId="4761"/>
    <cellStyle name="T_Danh muc pbo nguon von XSKT, XDCB nam 2009 chuyen qua nam 2010 2" xfId="4762"/>
    <cellStyle name="T_Danh muc pbo nguon von XSKT, XDCB nam 2009 chuyen qua nam 2010_!1 1 bao cao giao KH ve HTCMT vung TNB   12-12-2011" xfId="4763"/>
    <cellStyle name="T_Danh muc pbo nguon von XSKT, XDCB nam 2009 chuyen qua nam 2010_!1 1 bao cao giao KH ve HTCMT vung TNB   12-12-2011 2" xfId="4764"/>
    <cellStyle name="T_Danh muc pbo nguon von XSKT, XDCB nam 2009 chuyen qua nam 2010_KH TPCP vung TNB (03-1-2012)" xfId="4765"/>
    <cellStyle name="T_Danh muc pbo nguon von XSKT, XDCB nam 2009 chuyen qua nam 2010_KH TPCP vung TNB (03-1-2012) 2" xfId="4766"/>
    <cellStyle name="T_danh sach chua nop bcao trung bay sua chua  tinh den 1-3-06" xfId="5747"/>
    <cellStyle name="T_Danh sach KH TB MilkYomilk Yao  Smart chu ky 2-Vinh Thang" xfId="5748"/>
    <cellStyle name="T_Danh sach KH trung bay MilkYomilk co ke chu ky 2-Vinh Thang" xfId="5749"/>
    <cellStyle name="T_denbu" xfId="5750"/>
    <cellStyle name="T_dieu chinh KH 2011 ngay 26-5-2011111" xfId="4767"/>
    <cellStyle name="T_dieu chinh KH 2011 ngay 26-5-2011111 2" xfId="4768"/>
    <cellStyle name="T_dieu chinh KH 2011 ngay 26-5-2011111_!1 1 bao cao giao KH ve HTCMT vung TNB   12-12-2011" xfId="4769"/>
    <cellStyle name="T_dieu chinh KH 2011 ngay 26-5-2011111_!1 1 bao cao giao KH ve HTCMT vung TNB   12-12-2011 2" xfId="4770"/>
    <cellStyle name="T_dieu chinh KH 2011 ngay 26-5-2011111_KH TPCP vung TNB (03-1-2012)" xfId="4771"/>
    <cellStyle name="T_dieu chinh KH 2011 ngay 26-5-2011111_KH TPCP vung TNB (03-1-2012) 2" xfId="4772"/>
    <cellStyle name="T_DK 2014-2015 final" xfId="4773"/>
    <cellStyle name="T_DK 2014-2015 final_05-12  KH trung han 2016-2020 - Liem Thinh edited" xfId="4774"/>
    <cellStyle name="T_DK 2014-2015 final_Copy of 05-12  KH trung han 2016-2020 - Liem Thinh edited (1)" xfId="4775"/>
    <cellStyle name="T_DK 2014-2015 new" xfId="4776"/>
    <cellStyle name="T_DK 2014-2015 new_05-12  KH trung han 2016-2020 - Liem Thinh edited" xfId="4777"/>
    <cellStyle name="T_DK 2014-2015 new_Copy of 05-12  KH trung han 2016-2020 - Liem Thinh edited (1)" xfId="4778"/>
    <cellStyle name="T_DK KH CBDT 2014 11-11-2013" xfId="4779"/>
    <cellStyle name="T_DK KH CBDT 2014 11-11-2013(1)" xfId="4780"/>
    <cellStyle name="T_DK KH CBDT 2014 11-11-2013(1)_05-12  KH trung han 2016-2020 - Liem Thinh edited" xfId="4781"/>
    <cellStyle name="T_DK KH CBDT 2014 11-11-2013(1)_Copy of 05-12  KH trung han 2016-2020 - Liem Thinh edited (1)" xfId="4782"/>
    <cellStyle name="T_DK KH CBDT 2014 11-11-2013_05-12  KH trung han 2016-2020 - Liem Thinh edited" xfId="4783"/>
    <cellStyle name="T_DK KH CBDT 2014 11-11-2013_Copy of 05-12  KH trung han 2016-2020 - Liem Thinh edited (1)" xfId="4784"/>
    <cellStyle name="T_DS KCH PHAN BO VON NSDP NAM 2010" xfId="4785"/>
    <cellStyle name="T_DS KCH PHAN BO VON NSDP NAM 2010 2" xfId="4786"/>
    <cellStyle name="T_DS KCH PHAN BO VON NSDP NAM 2010_!1 1 bao cao giao KH ve HTCMT vung TNB   12-12-2011" xfId="4787"/>
    <cellStyle name="T_DS KCH PHAN BO VON NSDP NAM 2010_!1 1 bao cao giao KH ve HTCMT vung TNB   12-12-2011 2" xfId="4788"/>
    <cellStyle name="T_DS KCH PHAN BO VON NSDP NAM 2010_KH TPCP vung TNB (03-1-2012)" xfId="4789"/>
    <cellStyle name="T_DS KCH PHAN BO VON NSDP NAM 2010_KH TPCP vung TNB (03-1-2012) 2" xfId="4790"/>
    <cellStyle name="T_DSACH MILK YO MILK CK 2 M.BAC" xfId="5751"/>
    <cellStyle name="T_DSKH Tbay Milk , Yomilk CK 2 Vu Thi Hanh" xfId="5752"/>
    <cellStyle name="T_DT533C" xfId="5753"/>
    <cellStyle name="T_DT972000" xfId="4791"/>
    <cellStyle name="T_DTDuong dong tien -sua tham tra 2009 - luong 650" xfId="4792"/>
    <cellStyle name="T_DTDuong dong tien -sua tham tra 2009 - luong 650_Tong hop KH 2014" xfId="4793"/>
    <cellStyle name="T_dtTL598G1." xfId="4794"/>
    <cellStyle name="T_dtTL598G1._Tong hop KH 2014" xfId="4795"/>
    <cellStyle name="T_Du an khoi cong moi nam 2010" xfId="4796"/>
    <cellStyle name="T_Du an khoi cong moi nam 2010 2" xfId="4797"/>
    <cellStyle name="T_Du an khoi cong moi nam 2010_!1 1 bao cao giao KH ve HTCMT vung TNB   12-12-2011" xfId="4798"/>
    <cellStyle name="T_Du an khoi cong moi nam 2010_!1 1 bao cao giao KH ve HTCMT vung TNB   12-12-2011 2" xfId="4799"/>
    <cellStyle name="T_Du an khoi cong moi nam 2010_bieu tong hop" xfId="4800"/>
    <cellStyle name="T_Du an khoi cong moi nam 2010_bieu tong hop_Tong hop KH 2014" xfId="4801"/>
    <cellStyle name="T_Du an khoi cong moi nam 2010_KH TPCP vung TNB (03-1-2012)" xfId="4802"/>
    <cellStyle name="T_Du an khoi cong moi nam 2010_KH TPCP vung TNB (03-1-2012) 2" xfId="4803"/>
    <cellStyle name="T_Du an khoi cong moi nam 2010_Tong hop ra soat von ung 2011 -Chau" xfId="4804"/>
    <cellStyle name="T_Du an khoi cong moi nam 2010_Tong hop ra soat von ung 2011 -Chau_Tong hop KH 2014" xfId="4805"/>
    <cellStyle name="T_Du an khoi cong moi nam 2010_tong hop TPCP" xfId="4806"/>
    <cellStyle name="T_Du an khoi cong moi nam 2010_tong hop TPCP_Tong hop KH 2014" xfId="4807"/>
    <cellStyle name="T_Du an khoi cong moi nam 2010_Tong hop -Yte-Giao thong-Thuy loi-24-6" xfId="4808"/>
    <cellStyle name="T_Du an khoi cong moi nam 2010_Tong hop -Yte-Giao thong-Thuy loi-24-6_Tong hop KH 2014" xfId="4809"/>
    <cellStyle name="T_DU AN TKQH VA CHUAN BI DAU TU NAM 2007 sua ngay 9-11" xfId="4810"/>
    <cellStyle name="T_DU AN TKQH VA CHUAN BI DAU TU NAM 2007 sua ngay 9-11 2" xfId="4811"/>
    <cellStyle name="T_DU AN TKQH VA CHUAN BI DAU TU NAM 2007 sua ngay 9-11_!1 1 bao cao giao KH ve HTCMT vung TNB   12-12-2011" xfId="4812"/>
    <cellStyle name="T_DU AN TKQH VA CHUAN BI DAU TU NAM 2007 sua ngay 9-11_!1 1 bao cao giao KH ve HTCMT vung TNB   12-12-2011 2" xfId="4813"/>
    <cellStyle name="T_DU AN TKQH VA CHUAN BI DAU TU NAM 2007 sua ngay 9-11_Bieu mau danh muc du an thuoc CTMTQG nam 2008" xfId="4814"/>
    <cellStyle name="T_DU AN TKQH VA CHUAN BI DAU TU NAM 2007 sua ngay 9-11_Bieu mau danh muc du an thuoc CTMTQG nam 2008 2" xfId="4815"/>
    <cellStyle name="T_DU AN TKQH VA CHUAN BI DAU TU NAM 2007 sua ngay 9-11_Bieu mau danh muc du an thuoc CTMTQG nam 2008_!1 1 bao cao giao KH ve HTCMT vung TNB   12-12-2011" xfId="4816"/>
    <cellStyle name="T_DU AN TKQH VA CHUAN BI DAU TU NAM 2007 sua ngay 9-11_Bieu mau danh muc du an thuoc CTMTQG nam 2008_!1 1 bao cao giao KH ve HTCMT vung TNB   12-12-2011 2" xfId="4817"/>
    <cellStyle name="T_DU AN TKQH VA CHUAN BI DAU TU NAM 2007 sua ngay 9-11_Bieu mau danh muc du an thuoc CTMTQG nam 2008_bieu tong hop" xfId="4818"/>
    <cellStyle name="T_DU AN TKQH VA CHUAN BI DAU TU NAM 2007 sua ngay 9-11_Bieu mau danh muc du an thuoc CTMTQG nam 2008_bieu tong hop_Tong hop KH 2014" xfId="4819"/>
    <cellStyle name="T_DU AN TKQH VA CHUAN BI DAU TU NAM 2007 sua ngay 9-11_Bieu mau danh muc du an thuoc CTMTQG nam 2008_KH TPCP vung TNB (03-1-2012)" xfId="4820"/>
    <cellStyle name="T_DU AN TKQH VA CHUAN BI DAU TU NAM 2007 sua ngay 9-11_Bieu mau danh muc du an thuoc CTMTQG nam 2008_KH TPCP vung TNB (03-1-2012) 2" xfId="4821"/>
    <cellStyle name="T_DU AN TKQH VA CHUAN BI DAU TU NAM 2007 sua ngay 9-11_Bieu mau danh muc du an thuoc CTMTQG nam 2008_Tong hop ra soat von ung 2011 -Chau" xfId="4822"/>
    <cellStyle name="T_DU AN TKQH VA CHUAN BI DAU TU NAM 2007 sua ngay 9-11_Bieu mau danh muc du an thuoc CTMTQG nam 2008_Tong hop ra soat von ung 2011 -Chau_Tong hop KH 2014" xfId="4823"/>
    <cellStyle name="T_DU AN TKQH VA CHUAN BI DAU TU NAM 2007 sua ngay 9-11_Bieu mau danh muc du an thuoc CTMTQG nam 2008_tong hop TPCP" xfId="4824"/>
    <cellStyle name="T_DU AN TKQH VA CHUAN BI DAU TU NAM 2007 sua ngay 9-11_Bieu mau danh muc du an thuoc CTMTQG nam 2008_tong hop TPCP_Tong hop KH 2014" xfId="4825"/>
    <cellStyle name="T_DU AN TKQH VA CHUAN BI DAU TU NAM 2007 sua ngay 9-11_Bieu mau danh muc du an thuoc CTMTQG nam 2008_Tong hop -Yte-Giao thong-Thuy loi-24-6" xfId="4826"/>
    <cellStyle name="T_DU AN TKQH VA CHUAN BI DAU TU NAM 2007 sua ngay 9-11_Bieu mau danh muc du an thuoc CTMTQG nam 2008_Tong hop -Yte-Giao thong-Thuy loi-24-6_Tong hop KH 2014" xfId="4827"/>
    <cellStyle name="T_DU AN TKQH VA CHUAN BI DAU TU NAM 2007 sua ngay 9-11_Du an khoi cong moi nam 2010" xfId="4828"/>
    <cellStyle name="T_DU AN TKQH VA CHUAN BI DAU TU NAM 2007 sua ngay 9-11_Du an khoi cong moi nam 2010 2" xfId="4829"/>
    <cellStyle name="T_DU AN TKQH VA CHUAN BI DAU TU NAM 2007 sua ngay 9-11_Du an khoi cong moi nam 2010_!1 1 bao cao giao KH ve HTCMT vung TNB   12-12-2011" xfId="4830"/>
    <cellStyle name="T_DU AN TKQH VA CHUAN BI DAU TU NAM 2007 sua ngay 9-11_Du an khoi cong moi nam 2010_!1 1 bao cao giao KH ve HTCMT vung TNB   12-12-2011 2" xfId="4831"/>
    <cellStyle name="T_DU AN TKQH VA CHUAN BI DAU TU NAM 2007 sua ngay 9-11_Du an khoi cong moi nam 2010_bieu tong hop" xfId="4832"/>
    <cellStyle name="T_DU AN TKQH VA CHUAN BI DAU TU NAM 2007 sua ngay 9-11_Du an khoi cong moi nam 2010_bieu tong hop_Tong hop KH 2014" xfId="4833"/>
    <cellStyle name="T_DU AN TKQH VA CHUAN BI DAU TU NAM 2007 sua ngay 9-11_Du an khoi cong moi nam 2010_KH TPCP vung TNB (03-1-2012)" xfId="4834"/>
    <cellStyle name="T_DU AN TKQH VA CHUAN BI DAU TU NAM 2007 sua ngay 9-11_Du an khoi cong moi nam 2010_KH TPCP vung TNB (03-1-2012) 2" xfId="4835"/>
    <cellStyle name="T_DU AN TKQH VA CHUAN BI DAU TU NAM 2007 sua ngay 9-11_Du an khoi cong moi nam 2010_Tong hop ra soat von ung 2011 -Chau" xfId="4836"/>
    <cellStyle name="T_DU AN TKQH VA CHUAN BI DAU TU NAM 2007 sua ngay 9-11_Du an khoi cong moi nam 2010_Tong hop ra soat von ung 2011 -Chau_Tong hop KH 2014" xfId="4837"/>
    <cellStyle name="T_DU AN TKQH VA CHUAN BI DAU TU NAM 2007 sua ngay 9-11_Du an khoi cong moi nam 2010_tong hop TPCP" xfId="4838"/>
    <cellStyle name="T_DU AN TKQH VA CHUAN BI DAU TU NAM 2007 sua ngay 9-11_Du an khoi cong moi nam 2010_tong hop TPCP_Tong hop KH 2014" xfId="4839"/>
    <cellStyle name="T_DU AN TKQH VA CHUAN BI DAU TU NAM 2007 sua ngay 9-11_Du an khoi cong moi nam 2010_Tong hop -Yte-Giao thong-Thuy loi-24-6" xfId="4840"/>
    <cellStyle name="T_DU AN TKQH VA CHUAN BI DAU TU NAM 2007 sua ngay 9-11_Du an khoi cong moi nam 2010_Tong hop -Yte-Giao thong-Thuy loi-24-6_Tong hop KH 2014" xfId="4841"/>
    <cellStyle name="T_DU AN TKQH VA CHUAN BI DAU TU NAM 2007 sua ngay 9-11_Ket qua phan bo von nam 2008" xfId="4842"/>
    <cellStyle name="T_DU AN TKQH VA CHUAN BI DAU TU NAM 2007 sua ngay 9-11_Ket qua phan bo von nam 2008 2" xfId="4843"/>
    <cellStyle name="T_DU AN TKQH VA CHUAN BI DAU TU NAM 2007 sua ngay 9-11_Ket qua phan bo von nam 2008_!1 1 bao cao giao KH ve HTCMT vung TNB   12-12-2011" xfId="4844"/>
    <cellStyle name="T_DU AN TKQH VA CHUAN BI DAU TU NAM 2007 sua ngay 9-11_Ket qua phan bo von nam 2008_!1 1 bao cao giao KH ve HTCMT vung TNB   12-12-2011 2" xfId="4845"/>
    <cellStyle name="T_DU AN TKQH VA CHUAN BI DAU TU NAM 2007 sua ngay 9-11_Ket qua phan bo von nam 2008_KH TPCP vung TNB (03-1-2012)" xfId="4846"/>
    <cellStyle name="T_DU AN TKQH VA CHUAN BI DAU TU NAM 2007 sua ngay 9-11_Ket qua phan bo von nam 2008_KH TPCP vung TNB (03-1-2012) 2" xfId="4847"/>
    <cellStyle name="T_DU AN TKQH VA CHUAN BI DAU TU NAM 2007 sua ngay 9-11_KH TPCP vung TNB (03-1-2012)" xfId="4848"/>
    <cellStyle name="T_DU AN TKQH VA CHUAN BI DAU TU NAM 2007 sua ngay 9-11_KH TPCP vung TNB (03-1-2012) 2" xfId="4849"/>
    <cellStyle name="T_DU AN TKQH VA CHUAN BI DAU TU NAM 2007 sua ngay 9-11_KH XDCB_2008 lan 2 sua ngay 10-11" xfId="4850"/>
    <cellStyle name="T_DU AN TKQH VA CHUAN BI DAU TU NAM 2007 sua ngay 9-11_KH XDCB_2008 lan 2 sua ngay 10-11 2" xfId="4851"/>
    <cellStyle name="T_DU AN TKQH VA CHUAN BI DAU TU NAM 2007 sua ngay 9-11_KH XDCB_2008 lan 2 sua ngay 10-11_!1 1 bao cao giao KH ve HTCMT vung TNB   12-12-2011" xfId="4852"/>
    <cellStyle name="T_DU AN TKQH VA CHUAN BI DAU TU NAM 2007 sua ngay 9-11_KH XDCB_2008 lan 2 sua ngay 10-11_!1 1 bao cao giao KH ve HTCMT vung TNB   12-12-2011 2" xfId="4853"/>
    <cellStyle name="T_DU AN TKQH VA CHUAN BI DAU TU NAM 2007 sua ngay 9-11_KH XDCB_2008 lan 2 sua ngay 10-11_KH TPCP vung TNB (03-1-2012)" xfId="4854"/>
    <cellStyle name="T_DU AN TKQH VA CHUAN BI DAU TU NAM 2007 sua ngay 9-11_KH XDCB_2008 lan 2 sua ngay 10-11_KH TPCP vung TNB (03-1-2012) 2" xfId="4855"/>
    <cellStyle name="T_Du lieu 1" xfId="5754"/>
    <cellStyle name="T_du toan dieu chinh  20-8-2006" xfId="4856"/>
    <cellStyle name="T_du toan dieu chinh  20-8-2006 2" xfId="4857"/>
    <cellStyle name="T_du toan dieu chinh  20-8-2006_!1 1 bao cao giao KH ve HTCMT vung TNB   12-12-2011" xfId="4858"/>
    <cellStyle name="T_du toan dieu chinh  20-8-2006_!1 1 bao cao giao KH ve HTCMT vung TNB   12-12-2011 2" xfId="4859"/>
    <cellStyle name="T_du toan dieu chinh  20-8-2006_Bieu4HTMT" xfId="4860"/>
    <cellStyle name="T_du toan dieu chinh  20-8-2006_Bieu4HTMT 2" xfId="4861"/>
    <cellStyle name="T_du toan dieu chinh  20-8-2006_Bieu4HTMT_!1 1 bao cao giao KH ve HTCMT vung TNB   12-12-2011" xfId="4862"/>
    <cellStyle name="T_du toan dieu chinh  20-8-2006_Bieu4HTMT_!1 1 bao cao giao KH ve HTCMT vung TNB   12-12-2011 2" xfId="4863"/>
    <cellStyle name="T_du toan dieu chinh  20-8-2006_Bieu4HTMT_KH TPCP vung TNB (03-1-2012)" xfId="4864"/>
    <cellStyle name="T_du toan dieu chinh  20-8-2006_Bieu4HTMT_KH TPCP vung TNB (03-1-2012) 2" xfId="4865"/>
    <cellStyle name="T_du toan dieu chinh  20-8-2006_KH TPCP vung TNB (03-1-2012)" xfId="4866"/>
    <cellStyle name="T_du toan dieu chinh  20-8-2006_KH TPCP vung TNB (03-1-2012) 2" xfId="4867"/>
    <cellStyle name="T_du toan dieu chinh  20-8-2006_Tong hop KH 2014" xfId="4868"/>
    <cellStyle name="T_Du toan khao sat (bo sung 2009)" xfId="4869"/>
    <cellStyle name="T_Du toan khao sat (bo sung 2009)_Tong hop KH 2014" xfId="4870"/>
    <cellStyle name="T_form ton kho CK 2 tuan 8" xfId="5755"/>
    <cellStyle name="T_giao KH 2011 ngay 10-12-2010" xfId="4871"/>
    <cellStyle name="T_giao KH 2011 ngay 10-12-2010 2" xfId="4872"/>
    <cellStyle name="T_giao KH 2011 ngay 10-12-2010_!1 1 bao cao giao KH ve HTCMT vung TNB   12-12-2011" xfId="4873"/>
    <cellStyle name="T_giao KH 2011 ngay 10-12-2010_!1 1 bao cao giao KH ve HTCMT vung TNB   12-12-2011 2" xfId="4874"/>
    <cellStyle name="T_giao KH 2011 ngay 10-12-2010_KH TPCP vung TNB (03-1-2012)" xfId="4875"/>
    <cellStyle name="T_giao KH 2011 ngay 10-12-2010_KH TPCP vung TNB (03-1-2012) 2" xfId="4876"/>
    <cellStyle name="T_Ht-PTq1-03" xfId="4877"/>
    <cellStyle name="T_Ht-PTq1-03 2" xfId="4878"/>
    <cellStyle name="T_Ht-PTq1-03_!1 1 bao cao giao KH ve HTCMT vung TNB   12-12-2011" xfId="4879"/>
    <cellStyle name="T_Ht-PTq1-03_!1 1 bao cao giao KH ve HTCMT vung TNB   12-12-2011 2" xfId="4880"/>
    <cellStyle name="T_Ht-PTq1-03_kien giang 2" xfId="4881"/>
    <cellStyle name="T_Ht-PTq1-03_kien giang 2 2" xfId="4882"/>
    <cellStyle name="T_IPC No.01 ADB5 (IN)- QB04TL10" xfId="5756"/>
    <cellStyle name="T_Ke hoach KTXH  nam 2009_PKT thang 11 nam 2008" xfId="4883"/>
    <cellStyle name="T_Ke hoach KTXH  nam 2009_PKT thang 11 nam 2008 2" xfId="4884"/>
    <cellStyle name="T_Ke hoach KTXH  nam 2009_PKT thang 11 nam 2008_!1 1 bao cao giao KH ve HTCMT vung TNB   12-12-2011" xfId="4885"/>
    <cellStyle name="T_Ke hoach KTXH  nam 2009_PKT thang 11 nam 2008_!1 1 bao cao giao KH ve HTCMT vung TNB   12-12-2011 2" xfId="4886"/>
    <cellStyle name="T_Ke hoach KTXH  nam 2009_PKT thang 11 nam 2008_bieu tong hop" xfId="4887"/>
    <cellStyle name="T_Ke hoach KTXH  nam 2009_PKT thang 11 nam 2008_KH TPCP vung TNB (03-1-2012)" xfId="4888"/>
    <cellStyle name="T_Ke hoach KTXH  nam 2009_PKT thang 11 nam 2008_KH TPCP vung TNB (03-1-2012) 2" xfId="4889"/>
    <cellStyle name="T_Ke hoach KTXH  nam 2009_PKT thang 11 nam 2008_Tong hop KH 2014" xfId="4890"/>
    <cellStyle name="T_Ke hoach KTXH  nam 2009_PKT thang 11 nam 2008_Tong hop ra soat von ung 2011 -Chau" xfId="4891"/>
    <cellStyle name="T_Ke hoach KTXH  nam 2009_PKT thang 11 nam 2008_tong hop TPCP" xfId="4892"/>
    <cellStyle name="T_Ke hoach KTXH  nam 2009_PKT thang 11 nam 2008_Tong hop -Yte-Giao thong-Thuy loi-24-6" xfId="4893"/>
    <cellStyle name="T_Ket qua dau thau" xfId="4894"/>
    <cellStyle name="T_Ket qua dau thau 2" xfId="4895"/>
    <cellStyle name="T_Ket qua dau thau_!1 1 bao cao giao KH ve HTCMT vung TNB   12-12-2011" xfId="4896"/>
    <cellStyle name="T_Ket qua dau thau_!1 1 bao cao giao KH ve HTCMT vung TNB   12-12-2011 2" xfId="4897"/>
    <cellStyle name="T_Ket qua dau thau_bieu tong hop" xfId="4898"/>
    <cellStyle name="T_Ket qua dau thau_KH TPCP vung TNB (03-1-2012)" xfId="4899"/>
    <cellStyle name="T_Ket qua dau thau_KH TPCP vung TNB (03-1-2012) 2" xfId="4900"/>
    <cellStyle name="T_Ket qua dau thau_Tong hop KH 2014" xfId="4901"/>
    <cellStyle name="T_Ket qua dau thau_Tong hop ra soat von ung 2011 -Chau" xfId="4902"/>
    <cellStyle name="T_Ket qua dau thau_tong hop TPCP" xfId="4903"/>
    <cellStyle name="T_Ket qua dau thau_Tong hop -Yte-Giao thong-Thuy loi-24-6" xfId="4904"/>
    <cellStyle name="T_Ket qua phan bo von nam 2008" xfId="4905"/>
    <cellStyle name="T_Ket qua phan bo von nam 2008 2" xfId="4906"/>
    <cellStyle name="T_Ket qua phan bo von nam 2008_!1 1 bao cao giao KH ve HTCMT vung TNB   12-12-2011" xfId="4907"/>
    <cellStyle name="T_Ket qua phan bo von nam 2008_!1 1 bao cao giao KH ve HTCMT vung TNB   12-12-2011 2" xfId="4908"/>
    <cellStyle name="T_Ket qua phan bo von nam 2008_KH TPCP vung TNB (03-1-2012)" xfId="4909"/>
    <cellStyle name="T_Ket qua phan bo von nam 2008_KH TPCP vung TNB (03-1-2012) 2" xfId="4910"/>
    <cellStyle name="T_Ket qua phan bo von nam 2008_Tong hop KH 2014" xfId="4911"/>
    <cellStyle name="T_KH 2011-2015" xfId="4912"/>
    <cellStyle name="T_KH TPCP vung TNB (03-1-2012)" xfId="4913"/>
    <cellStyle name="T_KH TPCP vung TNB (03-1-2012) 2" xfId="4914"/>
    <cellStyle name="T_KH XDCB_2008 lan 2 sua ngay 10-11" xfId="4915"/>
    <cellStyle name="T_KH XDCB_2008 lan 2 sua ngay 10-11 2" xfId="4916"/>
    <cellStyle name="T_KH XDCB_2008 lan 2 sua ngay 10-11_!1 1 bao cao giao KH ve HTCMT vung TNB   12-12-2011" xfId="4917"/>
    <cellStyle name="T_KH XDCB_2008 lan 2 sua ngay 10-11_!1 1 bao cao giao KH ve HTCMT vung TNB   12-12-2011 2" xfId="4918"/>
    <cellStyle name="T_KH XDCB_2008 lan 2 sua ngay 10-11_KH TPCP vung TNB (03-1-2012)" xfId="4919"/>
    <cellStyle name="T_KH XDCB_2008 lan 2 sua ngay 10-11_KH TPCP vung TNB (03-1-2012) 2" xfId="4920"/>
    <cellStyle name="T_KH XDCB_2008 lan 2 sua ngay 10-11_Tong hop KH 2014" xfId="4921"/>
    <cellStyle name="T_Khao satD1" xfId="4922"/>
    <cellStyle name="T_Khao satD1_Book1" xfId="5757"/>
    <cellStyle name="T_Khoi luong cac hang muc chi tiet-702" xfId="4923"/>
    <cellStyle name="T_Khoi luong cac hang muc chi tiet-702_Tong hop KH 2014" xfId="4924"/>
    <cellStyle name="T_Kiem ke thuc hien den 30-9-2007" xfId="5758"/>
    <cellStyle name="T_Kiem ke thuc hien den 30-9-2007 (SX lan can)" xfId="5759"/>
    <cellStyle name="T_kien giang 2" xfId="4925"/>
    <cellStyle name="T_kien giang 2 2" xfId="4926"/>
    <cellStyle name="T_KL NT dap nen Dot 3" xfId="4927"/>
    <cellStyle name="T_KL NT Dot 3" xfId="4928"/>
    <cellStyle name="T_Kl VL ranh" xfId="4929"/>
    <cellStyle name="T_Kl VL ranh_Tong hop KH 2014" xfId="4930"/>
    <cellStyle name="T_KLC5,4MC0" xfId="5760"/>
    <cellStyle name="T_KLNMD" xfId="5761"/>
    <cellStyle name="T_KLNMD1" xfId="4931"/>
    <cellStyle name="T_KLNMD1_Tong hop KH 2014" xfId="4932"/>
    <cellStyle name="T_LuuNgay25-06-2006ANH CUONG T 5" xfId="5762"/>
    <cellStyle name="T_mau bieu doan giam sat 2010 (version 2)" xfId="4933"/>
    <cellStyle name="T_mau bieu doan giam sat 2010 (version 2)_Tong hop KH 2014" xfId="4934"/>
    <cellStyle name="T_mau KL vach son" xfId="4935"/>
    <cellStyle name="T_mau KL vach son_Tong hop KH 2014" xfId="4936"/>
    <cellStyle name="T_Me_Tri_6_07" xfId="4937"/>
    <cellStyle name="T_Me_Tri_6_07 2" xfId="4938"/>
    <cellStyle name="T_Me_Tri_6_07_!1 1 bao cao giao KH ve HTCMT vung TNB   12-12-2011" xfId="4939"/>
    <cellStyle name="T_Me_Tri_6_07_!1 1 bao cao giao KH ve HTCMT vung TNB   12-12-2011 2" xfId="4940"/>
    <cellStyle name="T_Me_Tri_6_07_Bieu4HTMT" xfId="4941"/>
    <cellStyle name="T_Me_Tri_6_07_Bieu4HTMT 2" xfId="4942"/>
    <cellStyle name="T_Me_Tri_6_07_Bieu4HTMT_!1 1 bao cao giao KH ve HTCMT vung TNB   12-12-2011" xfId="4943"/>
    <cellStyle name="T_Me_Tri_6_07_Bieu4HTMT_!1 1 bao cao giao KH ve HTCMT vung TNB   12-12-2011 2" xfId="4944"/>
    <cellStyle name="T_Me_Tri_6_07_Bieu4HTMT_KH TPCP vung TNB (03-1-2012)" xfId="4945"/>
    <cellStyle name="T_Me_Tri_6_07_Bieu4HTMT_KH TPCP vung TNB (03-1-2012) 2" xfId="4946"/>
    <cellStyle name="T_Me_Tri_6_07_KH TPCP vung TNB (03-1-2012)" xfId="4947"/>
    <cellStyle name="T_Me_Tri_6_07_KH TPCP vung TNB (03-1-2012) 2" xfId="4948"/>
    <cellStyle name="T_Me_Tri_6_07_Tong hop KH 2014" xfId="4949"/>
    <cellStyle name="T_N2 thay dat (N1-1)" xfId="4950"/>
    <cellStyle name="T_N2 thay dat (N1-1) 2" xfId="4951"/>
    <cellStyle name="T_N2 thay dat (N1-1)_!1 1 bao cao giao KH ve HTCMT vung TNB   12-12-2011" xfId="4952"/>
    <cellStyle name="T_N2 thay dat (N1-1)_!1 1 bao cao giao KH ve HTCMT vung TNB   12-12-2011 2" xfId="4953"/>
    <cellStyle name="T_N2 thay dat (N1-1)_Bieu4HTMT" xfId="4954"/>
    <cellStyle name="T_N2 thay dat (N1-1)_Bieu4HTMT 2" xfId="4955"/>
    <cellStyle name="T_N2 thay dat (N1-1)_Bieu4HTMT_!1 1 bao cao giao KH ve HTCMT vung TNB   12-12-2011" xfId="4956"/>
    <cellStyle name="T_N2 thay dat (N1-1)_Bieu4HTMT_!1 1 bao cao giao KH ve HTCMT vung TNB   12-12-2011 2" xfId="4957"/>
    <cellStyle name="T_N2 thay dat (N1-1)_Bieu4HTMT_KH TPCP vung TNB (03-1-2012)" xfId="4958"/>
    <cellStyle name="T_N2 thay dat (N1-1)_Bieu4HTMT_KH TPCP vung TNB (03-1-2012) 2" xfId="4959"/>
    <cellStyle name="T_N2 thay dat (N1-1)_KH TPCP vung TNB (03-1-2012)" xfId="4960"/>
    <cellStyle name="T_N2 thay dat (N1-1)_KH TPCP vung TNB (03-1-2012) 2" xfId="4961"/>
    <cellStyle name="T_N2 thay dat (N1-1)_Tong hop KH 2014" xfId="4962"/>
    <cellStyle name="T_NGHIEM THU DOT 1" xfId="5763"/>
    <cellStyle name="T_NPP Khanh Vinh Thai Nguyen - BC KTTB_CTrinh_TB__20_loc__Milk_Yomilk_CK1" xfId="5764"/>
    <cellStyle name="T_NS Xa(Phuong) TT Hue (05f)" xfId="5765"/>
    <cellStyle name="T_Phu bieu 04 04a 04b" xfId="5766"/>
    <cellStyle name="T_Phu bieu KHKT_ STC" xfId="5767"/>
    <cellStyle name="T_Phuong an can doi nam 2008" xfId="4963"/>
    <cellStyle name="T_Phuong an can doi nam 2008 2" xfId="4964"/>
    <cellStyle name="T_Phuong an can doi nam 2008_!1 1 bao cao giao KH ve HTCMT vung TNB   12-12-2011" xfId="4965"/>
    <cellStyle name="T_Phuong an can doi nam 2008_!1 1 bao cao giao KH ve HTCMT vung TNB   12-12-2011 2" xfId="4966"/>
    <cellStyle name="T_Phuong an can doi nam 2008_bieu tong hop" xfId="4967"/>
    <cellStyle name="T_Phuong an can doi nam 2008_KH TPCP vung TNB (03-1-2012)" xfId="4968"/>
    <cellStyle name="T_Phuong an can doi nam 2008_KH TPCP vung TNB (03-1-2012) 2" xfId="4969"/>
    <cellStyle name="T_Phuong an can doi nam 2008_Tong hop KH 2014" xfId="4970"/>
    <cellStyle name="T_Phuong an can doi nam 2008_Tong hop ra soat von ung 2011 -Chau" xfId="4971"/>
    <cellStyle name="T_Phuong an can doi nam 2008_tong hop TPCP" xfId="4972"/>
    <cellStyle name="T_Phuong an can doi nam 2008_Tong hop -Yte-Giao thong-Thuy loi-24-6" xfId="4973"/>
    <cellStyle name="T_San sat hach moi" xfId="4974"/>
    <cellStyle name="T_San sat hach moi_Tong hop KH 2014" xfId="4975"/>
    <cellStyle name="T_Seagame(BTL)" xfId="4976"/>
    <cellStyle name="T_Seagame(BTL) 2" xfId="4977"/>
    <cellStyle name="T_Sheet1" xfId="5768"/>
    <cellStyle name="T_Sheet1_Book1" xfId="5769"/>
    <cellStyle name="T_So GTVT" xfId="4978"/>
    <cellStyle name="T_So GTVT 2" xfId="4979"/>
    <cellStyle name="T_So GTVT_!1 1 bao cao giao KH ve HTCMT vung TNB   12-12-2011" xfId="4980"/>
    <cellStyle name="T_So GTVT_!1 1 bao cao giao KH ve HTCMT vung TNB   12-12-2011 2" xfId="4981"/>
    <cellStyle name="T_So GTVT_bieu tong hop" xfId="4982"/>
    <cellStyle name="T_So GTVT_bieu tong hop_Tong hop KH 2014" xfId="4983"/>
    <cellStyle name="T_So GTVT_KH TPCP vung TNB (03-1-2012)" xfId="4984"/>
    <cellStyle name="T_So GTVT_KH TPCP vung TNB (03-1-2012) 2" xfId="4985"/>
    <cellStyle name="T_So GTVT_Tong hop ra soat von ung 2011 -Chau" xfId="4986"/>
    <cellStyle name="T_So GTVT_Tong hop ra soat von ung 2011 -Chau_Tong hop KH 2014" xfId="4987"/>
    <cellStyle name="T_So GTVT_tong hop TPCP" xfId="4988"/>
    <cellStyle name="T_So GTVT_tong hop TPCP_Tong hop KH 2014" xfId="4989"/>
    <cellStyle name="T_So GTVT_Tong hop -Yte-Giao thong-Thuy loi-24-6" xfId="4990"/>
    <cellStyle name="T_So GTVT_Tong hop -Yte-Giao thong-Thuy loi-24-6_Tong hop KH 2014" xfId="4991"/>
    <cellStyle name="T_SS BVTC cau va cong tuyen Le Chan" xfId="4992"/>
    <cellStyle name="T_SS BVTC cau va cong tuyen Le Chan_Tong hop KH 2014" xfId="4993"/>
    <cellStyle name="T_sua chua cham trung bay  mien Bac" xfId="5770"/>
    <cellStyle name="T_tai co cau dau tu (tong hop)1" xfId="4994"/>
    <cellStyle name="T_TDT + duong(8-5-07)" xfId="4995"/>
    <cellStyle name="T_TDT + duong(8-5-07) 2" xfId="4996"/>
    <cellStyle name="T_TDT + duong(8-5-07)_!1 1 bao cao giao KH ve HTCMT vung TNB   12-12-2011" xfId="4997"/>
    <cellStyle name="T_TDT + duong(8-5-07)_!1 1 bao cao giao KH ve HTCMT vung TNB   12-12-2011 2" xfId="4998"/>
    <cellStyle name="T_TDT + duong(8-5-07)_Bieu4HTMT" xfId="4999"/>
    <cellStyle name="T_TDT + duong(8-5-07)_Bieu4HTMT 2" xfId="5000"/>
    <cellStyle name="T_TDT + duong(8-5-07)_Bieu4HTMT_!1 1 bao cao giao KH ve HTCMT vung TNB   12-12-2011" xfId="5001"/>
    <cellStyle name="T_TDT + duong(8-5-07)_Bieu4HTMT_!1 1 bao cao giao KH ve HTCMT vung TNB   12-12-2011 2" xfId="5002"/>
    <cellStyle name="T_TDT + duong(8-5-07)_Bieu4HTMT_KH TPCP vung TNB (03-1-2012)" xfId="5003"/>
    <cellStyle name="T_TDT + duong(8-5-07)_Bieu4HTMT_KH TPCP vung TNB (03-1-2012) 2" xfId="5004"/>
    <cellStyle name="T_TDT + duong(8-5-07)_KH TPCP vung TNB (03-1-2012)" xfId="5005"/>
    <cellStyle name="T_TDT + duong(8-5-07)_KH TPCP vung TNB (03-1-2012) 2" xfId="5006"/>
    <cellStyle name="T_tham_tra_du_toan" xfId="5007"/>
    <cellStyle name="T_tham_tra_du_toan 2" xfId="5008"/>
    <cellStyle name="T_tham_tra_du_toan_!1 1 bao cao giao KH ve HTCMT vung TNB   12-12-2011" xfId="5009"/>
    <cellStyle name="T_tham_tra_du_toan_!1 1 bao cao giao KH ve HTCMT vung TNB   12-12-2011 2" xfId="5010"/>
    <cellStyle name="T_tham_tra_du_toan_Bieu4HTMT" xfId="5011"/>
    <cellStyle name="T_tham_tra_du_toan_Bieu4HTMT 2" xfId="5012"/>
    <cellStyle name="T_tham_tra_du_toan_Bieu4HTMT_!1 1 bao cao giao KH ve HTCMT vung TNB   12-12-2011" xfId="5013"/>
    <cellStyle name="T_tham_tra_du_toan_Bieu4HTMT_!1 1 bao cao giao KH ve HTCMT vung TNB   12-12-2011 2" xfId="5014"/>
    <cellStyle name="T_tham_tra_du_toan_Bieu4HTMT_KH TPCP vung TNB (03-1-2012)" xfId="5015"/>
    <cellStyle name="T_tham_tra_du_toan_Bieu4HTMT_KH TPCP vung TNB (03-1-2012) 2" xfId="5016"/>
    <cellStyle name="T_tham_tra_du_toan_KH TPCP vung TNB (03-1-2012)" xfId="5017"/>
    <cellStyle name="T_tham_tra_du_toan_KH TPCP vung TNB (03-1-2012) 2" xfId="5018"/>
    <cellStyle name="T_tham_tra_du_toan_Tong hop KH 2014" xfId="5019"/>
    <cellStyle name="T_thanh toan cau KC (dot6)" xfId="5771"/>
    <cellStyle name="T_thanh toan cau tran (dot 5)-" xfId="5772"/>
    <cellStyle name="T_thanh toan cau tran (dot 5)-_thanh toan cau tran (dot 7)-" xfId="5773"/>
    <cellStyle name="T_thanh toan cau tran (dot 5)-_thanh_toan_cau_tran_dot_12" xfId="5774"/>
    <cellStyle name="T_thanh toan cau tran (dot 5)-_thanh_toandot_14" xfId="5775"/>
    <cellStyle name="T_thanh toan cau tran (dot 7)-" xfId="5776"/>
    <cellStyle name="T_thanh_toan_cau_tran_dot_12" xfId="5777"/>
    <cellStyle name="T_thanh_toandot_14" xfId="5778"/>
    <cellStyle name="T_Thiet bi" xfId="5020"/>
    <cellStyle name="T_Thiet bi 2" xfId="5021"/>
    <cellStyle name="T_Thiet bi_!1 1 bao cao giao KH ve HTCMT vung TNB   12-12-2011" xfId="5022"/>
    <cellStyle name="T_Thiet bi_!1 1 bao cao giao KH ve HTCMT vung TNB   12-12-2011 2" xfId="5023"/>
    <cellStyle name="T_Thiet bi_Bieu4HTMT" xfId="5024"/>
    <cellStyle name="T_Thiet bi_Bieu4HTMT 2" xfId="5025"/>
    <cellStyle name="T_Thiet bi_Bieu4HTMT_!1 1 bao cao giao KH ve HTCMT vung TNB   12-12-2011" xfId="5026"/>
    <cellStyle name="T_Thiet bi_Bieu4HTMT_!1 1 bao cao giao KH ve HTCMT vung TNB   12-12-2011 2" xfId="5027"/>
    <cellStyle name="T_Thiet bi_Bieu4HTMT_KH TPCP vung TNB (03-1-2012)" xfId="5028"/>
    <cellStyle name="T_Thiet bi_Bieu4HTMT_KH TPCP vung TNB (03-1-2012) 2" xfId="5029"/>
    <cellStyle name="T_Thiet bi_KH TPCP vung TNB (03-1-2012)" xfId="5030"/>
    <cellStyle name="T_Thiet bi_KH TPCP vung TNB (03-1-2012) 2" xfId="5031"/>
    <cellStyle name="T_Thiet bi_Tong hop KH 2014" xfId="5032"/>
    <cellStyle name="T_THKL 1303" xfId="5033"/>
    <cellStyle name="T_THKL 1303_Tong hop KH 2014" xfId="5034"/>
    <cellStyle name="T_Thong ke" xfId="5035"/>
    <cellStyle name="T_Thong ke cong" xfId="5036"/>
    <cellStyle name="T_Thong ke cong_Tong hop KH 2014" xfId="5037"/>
    <cellStyle name="T_thong ke giao dan sinh" xfId="5038"/>
    <cellStyle name="T_thong ke giao dan sinh_Tong hop KH 2014" xfId="5039"/>
    <cellStyle name="T_Thong ke_Bang Gia" xfId="5779"/>
    <cellStyle name="T_Thong ke_Book1" xfId="5780"/>
    <cellStyle name="T_Thong ke_KLNMD" xfId="5781"/>
    <cellStyle name="T_Thong ke_Tong hop KH 2014" xfId="5040"/>
    <cellStyle name="T_tien2004" xfId="5041"/>
    <cellStyle name="T_tien2004_Bang Gia" xfId="5782"/>
    <cellStyle name="T_tien2004_Book1" xfId="5783"/>
    <cellStyle name="T_tien2004_KLNMD" xfId="5784"/>
    <cellStyle name="T_tien2004_Tong hop KH 2014" xfId="5042"/>
    <cellStyle name="T_TK_HT" xfId="5043"/>
    <cellStyle name="T_TK_HT 2" xfId="5044"/>
    <cellStyle name="T_TKE-ChoDon-sua" xfId="5045"/>
    <cellStyle name="T_TKE-ChoDon-sua_Tong hop KH 2014" xfId="5046"/>
    <cellStyle name="T_Tong hop 3 tinh (11_5)-TTH-QN-QT" xfId="5047"/>
    <cellStyle name="T_Tong hop 3 tinh (11_5)-TTH-QN-QT_Tong hop KH 2014" xfId="5048"/>
    <cellStyle name="T_Tong hop KH 2011" xfId="5049"/>
    <cellStyle name="T_Tong hop khoi luong Dot 3" xfId="5050"/>
    <cellStyle name="T_Tong hop khoi luong Dot 3_Tong hop KH 2014" xfId="5051"/>
    <cellStyle name="T_tong hop TPCP" xfId="5052"/>
    <cellStyle name="T_tong hop TPCP_Tong hop KH 2014" xfId="5053"/>
    <cellStyle name="T_Van Ban 2007" xfId="5054"/>
    <cellStyle name="T_Van Ban 2007_15_10_2013 BC nhu cau von doi ung ODA (2014-2016) ngay 15102013 Sua" xfId="5055"/>
    <cellStyle name="T_Van Ban 2007_bao cao phan bo KHDT 2011(final)" xfId="5056"/>
    <cellStyle name="T_Van Ban 2007_bao cao phan bo KHDT 2011(final)_BC nhu cau von doi ung ODA nganh NN (BKH)" xfId="5057"/>
    <cellStyle name="T_Van Ban 2007_bao cao phan bo KHDT 2011(final)_BC Tai co cau (bieu TH)" xfId="5058"/>
    <cellStyle name="T_Van Ban 2007_bao cao phan bo KHDT 2011(final)_DK 2014-2015 final" xfId="5059"/>
    <cellStyle name="T_Van Ban 2007_bao cao phan bo KHDT 2011(final)_DK 2014-2015 new" xfId="5060"/>
    <cellStyle name="T_Van Ban 2007_bao cao phan bo KHDT 2011(final)_DK KH CBDT 2014 11-11-2013" xfId="5061"/>
    <cellStyle name="T_Van Ban 2007_bao cao phan bo KHDT 2011(final)_DK KH CBDT 2014 11-11-2013(1)" xfId="5062"/>
    <cellStyle name="T_Van Ban 2007_bao cao phan bo KHDT 2011(final)_KH 2011-2015" xfId="5063"/>
    <cellStyle name="T_Van Ban 2007_bao cao phan bo KHDT 2011(final)_tai co cau dau tu (tong hop)1" xfId="5064"/>
    <cellStyle name="T_Van Ban 2007_BC nhu cau von doi ung ODA nganh NN (BKH)" xfId="5065"/>
    <cellStyle name="T_Van Ban 2007_BC nhu cau von doi ung ODA nganh NN (BKH)_05-12  KH trung han 2016-2020 - Liem Thinh edited" xfId="5066"/>
    <cellStyle name="T_Van Ban 2007_BC nhu cau von doi ung ODA nganh NN (BKH)_Copy of 05-12  KH trung han 2016-2020 - Liem Thinh edited (1)" xfId="5067"/>
    <cellStyle name="T_Van Ban 2007_BC Tai co cau (bieu TH)" xfId="5068"/>
    <cellStyle name="T_Van Ban 2007_BC Tai co cau (bieu TH)_05-12  KH trung han 2016-2020 - Liem Thinh edited" xfId="5069"/>
    <cellStyle name="T_Van Ban 2007_BC Tai co cau (bieu TH)_Copy of 05-12  KH trung han 2016-2020 - Liem Thinh edited (1)" xfId="5070"/>
    <cellStyle name="T_Van Ban 2007_DK 2014-2015 final" xfId="5071"/>
    <cellStyle name="T_Van Ban 2007_DK 2014-2015 final_05-12  KH trung han 2016-2020 - Liem Thinh edited" xfId="5072"/>
    <cellStyle name="T_Van Ban 2007_DK 2014-2015 final_Copy of 05-12  KH trung han 2016-2020 - Liem Thinh edited (1)" xfId="5073"/>
    <cellStyle name="T_Van Ban 2007_DK 2014-2015 new" xfId="5074"/>
    <cellStyle name="T_Van Ban 2007_DK 2014-2015 new_05-12  KH trung han 2016-2020 - Liem Thinh edited" xfId="5075"/>
    <cellStyle name="T_Van Ban 2007_DK 2014-2015 new_Copy of 05-12  KH trung han 2016-2020 - Liem Thinh edited (1)" xfId="5076"/>
    <cellStyle name="T_Van Ban 2007_DK KH CBDT 2014 11-11-2013" xfId="5077"/>
    <cellStyle name="T_Van Ban 2007_DK KH CBDT 2014 11-11-2013(1)" xfId="5078"/>
    <cellStyle name="T_Van Ban 2007_DK KH CBDT 2014 11-11-2013(1)_05-12  KH trung han 2016-2020 - Liem Thinh edited" xfId="5079"/>
    <cellStyle name="T_Van Ban 2007_DK KH CBDT 2014 11-11-2013(1)_Copy of 05-12  KH trung han 2016-2020 - Liem Thinh edited (1)" xfId="5080"/>
    <cellStyle name="T_Van Ban 2007_DK KH CBDT 2014 11-11-2013_05-12  KH trung han 2016-2020 - Liem Thinh edited" xfId="5081"/>
    <cellStyle name="T_Van Ban 2007_DK KH CBDT 2014 11-11-2013_Copy of 05-12  KH trung han 2016-2020 - Liem Thinh edited (1)" xfId="5082"/>
    <cellStyle name="T_Van Ban 2008" xfId="5083"/>
    <cellStyle name="T_Van Ban 2008_15_10_2013 BC nhu cau von doi ung ODA (2014-2016) ngay 15102013 Sua" xfId="5084"/>
    <cellStyle name="T_Van Ban 2008_bao cao phan bo KHDT 2011(final)" xfId="5085"/>
    <cellStyle name="T_Van Ban 2008_bao cao phan bo KHDT 2011(final)_BC nhu cau von doi ung ODA nganh NN (BKH)" xfId="5086"/>
    <cellStyle name="T_Van Ban 2008_bao cao phan bo KHDT 2011(final)_BC Tai co cau (bieu TH)" xfId="5087"/>
    <cellStyle name="T_Van Ban 2008_bao cao phan bo KHDT 2011(final)_DK 2014-2015 final" xfId="5088"/>
    <cellStyle name="T_Van Ban 2008_bao cao phan bo KHDT 2011(final)_DK 2014-2015 new" xfId="5089"/>
    <cellStyle name="T_Van Ban 2008_bao cao phan bo KHDT 2011(final)_DK KH CBDT 2014 11-11-2013" xfId="5090"/>
    <cellStyle name="T_Van Ban 2008_bao cao phan bo KHDT 2011(final)_DK KH CBDT 2014 11-11-2013(1)" xfId="5091"/>
    <cellStyle name="T_Van Ban 2008_bao cao phan bo KHDT 2011(final)_KH 2011-2015" xfId="5092"/>
    <cellStyle name="T_Van Ban 2008_bao cao phan bo KHDT 2011(final)_tai co cau dau tu (tong hop)1" xfId="5093"/>
    <cellStyle name="T_Van Ban 2008_BC nhu cau von doi ung ODA nganh NN (BKH)" xfId="5094"/>
    <cellStyle name="T_Van Ban 2008_BC nhu cau von doi ung ODA nganh NN (BKH)_05-12  KH trung han 2016-2020 - Liem Thinh edited" xfId="5095"/>
    <cellStyle name="T_Van Ban 2008_BC nhu cau von doi ung ODA nganh NN (BKH)_Copy of 05-12  KH trung han 2016-2020 - Liem Thinh edited (1)" xfId="5096"/>
    <cellStyle name="T_Van Ban 2008_BC Tai co cau (bieu TH)" xfId="5097"/>
    <cellStyle name="T_Van Ban 2008_BC Tai co cau (bieu TH)_05-12  KH trung han 2016-2020 - Liem Thinh edited" xfId="5098"/>
    <cellStyle name="T_Van Ban 2008_BC Tai co cau (bieu TH)_Copy of 05-12  KH trung han 2016-2020 - Liem Thinh edited (1)" xfId="5099"/>
    <cellStyle name="T_Van Ban 2008_DK 2014-2015 final" xfId="5100"/>
    <cellStyle name="T_Van Ban 2008_DK 2014-2015 final_05-12  KH trung han 2016-2020 - Liem Thinh edited" xfId="5101"/>
    <cellStyle name="T_Van Ban 2008_DK 2014-2015 final_Copy of 05-12  KH trung han 2016-2020 - Liem Thinh edited (1)" xfId="5102"/>
    <cellStyle name="T_Van Ban 2008_DK 2014-2015 new" xfId="5103"/>
    <cellStyle name="T_Van Ban 2008_DK 2014-2015 new_05-12  KH trung han 2016-2020 - Liem Thinh edited" xfId="5104"/>
    <cellStyle name="T_Van Ban 2008_DK 2014-2015 new_Copy of 05-12  KH trung han 2016-2020 - Liem Thinh edited (1)" xfId="5105"/>
    <cellStyle name="T_Van Ban 2008_DK KH CBDT 2014 11-11-2013" xfId="5106"/>
    <cellStyle name="T_Van Ban 2008_DK KH CBDT 2014 11-11-2013(1)" xfId="5107"/>
    <cellStyle name="T_Van Ban 2008_DK KH CBDT 2014 11-11-2013(1)_05-12  KH trung han 2016-2020 - Liem Thinh edited" xfId="5108"/>
    <cellStyle name="T_Van Ban 2008_DK KH CBDT 2014 11-11-2013(1)_Copy of 05-12  KH trung han 2016-2020 - Liem Thinh edited (1)" xfId="5109"/>
    <cellStyle name="T_Van Ban 2008_DK KH CBDT 2014 11-11-2013_05-12  KH trung han 2016-2020 - Liem Thinh edited" xfId="5110"/>
    <cellStyle name="T_Van Ban 2008_DK KH CBDT 2014 11-11-2013_Copy of 05-12  KH trung han 2016-2020 - Liem Thinh edited (1)" xfId="5111"/>
    <cellStyle name="T_Vay vốn" xfId="5112"/>
    <cellStyle name="T_Worksheet in D: ... Hoan thien 5goi theo KL cu 28-06 4.Cong 5goi Coc 33-Km1+490.13 Cong coc 33-km1+490.13" xfId="5113"/>
    <cellStyle name="T_Worksheet in D: ... Hoan thien 5goi theo KL cu 28-06 4.Cong 5goi Coc 33-Km1+490.13 Cong coc 33-km1+490.13_Tong hop KH 2014" xfId="5114"/>
    <cellStyle name="T_XDCB thang 12.2010" xfId="5115"/>
    <cellStyle name="T_XDCB thang 12.2010 2" xfId="5116"/>
    <cellStyle name="T_XDCB thang 12.2010_!1 1 bao cao giao KH ve HTCMT vung TNB   12-12-2011" xfId="5117"/>
    <cellStyle name="T_XDCB thang 12.2010_!1 1 bao cao giao KH ve HTCMT vung TNB   12-12-2011 2" xfId="5118"/>
    <cellStyle name="T_XDCB thang 12.2010_KH TPCP vung TNB (03-1-2012)" xfId="5119"/>
    <cellStyle name="T_XDCB thang 12.2010_KH TPCP vung TNB (03-1-2012) 2" xfId="5120"/>
    <cellStyle name="T_ÿÿÿÿÿ" xfId="5121"/>
    <cellStyle name="T_ÿÿÿÿÿ 2" xfId="5122"/>
    <cellStyle name="T_ÿÿÿÿÿ_!1 1 bao cao giao KH ve HTCMT vung TNB   12-12-2011" xfId="5123"/>
    <cellStyle name="T_ÿÿÿÿÿ_!1 1 bao cao giao KH ve HTCMT vung TNB   12-12-2011 2" xfId="5124"/>
    <cellStyle name="T_ÿÿÿÿÿ_Bieu mau cong trinh khoi cong moi 3-4" xfId="5125"/>
    <cellStyle name="T_ÿÿÿÿÿ_Bieu mau cong trinh khoi cong moi 3-4 2" xfId="5126"/>
    <cellStyle name="T_ÿÿÿÿÿ_Bieu mau cong trinh khoi cong moi 3-4_!1 1 bao cao giao KH ve HTCMT vung TNB   12-12-2011" xfId="5127"/>
    <cellStyle name="T_ÿÿÿÿÿ_Bieu mau cong trinh khoi cong moi 3-4_!1 1 bao cao giao KH ve HTCMT vung TNB   12-12-2011 2" xfId="5128"/>
    <cellStyle name="T_ÿÿÿÿÿ_Bieu mau cong trinh khoi cong moi 3-4_KH TPCP vung TNB (03-1-2012)" xfId="5129"/>
    <cellStyle name="T_ÿÿÿÿÿ_Bieu mau cong trinh khoi cong moi 3-4_KH TPCP vung TNB (03-1-2012) 2" xfId="5130"/>
    <cellStyle name="T_ÿÿÿÿÿ_Bieu3ODA" xfId="5131"/>
    <cellStyle name="T_ÿÿÿÿÿ_Bieu3ODA 2" xfId="5132"/>
    <cellStyle name="T_ÿÿÿÿÿ_Bieu3ODA_!1 1 bao cao giao KH ve HTCMT vung TNB   12-12-2011" xfId="5133"/>
    <cellStyle name="T_ÿÿÿÿÿ_Bieu3ODA_!1 1 bao cao giao KH ve HTCMT vung TNB   12-12-2011 2" xfId="5134"/>
    <cellStyle name="T_ÿÿÿÿÿ_Bieu3ODA_KH TPCP vung TNB (03-1-2012)" xfId="5135"/>
    <cellStyle name="T_ÿÿÿÿÿ_Bieu3ODA_KH TPCP vung TNB (03-1-2012) 2" xfId="5136"/>
    <cellStyle name="T_ÿÿÿÿÿ_Bieu4HTMT" xfId="5137"/>
    <cellStyle name="T_ÿÿÿÿÿ_Bieu4HTMT 2" xfId="5138"/>
    <cellStyle name="T_ÿÿÿÿÿ_Bieu4HTMT_!1 1 bao cao giao KH ve HTCMT vung TNB   12-12-2011" xfId="5139"/>
    <cellStyle name="T_ÿÿÿÿÿ_Bieu4HTMT_!1 1 bao cao giao KH ve HTCMT vung TNB   12-12-2011 2" xfId="5140"/>
    <cellStyle name="T_ÿÿÿÿÿ_Bieu4HTMT_KH TPCP vung TNB (03-1-2012)" xfId="5141"/>
    <cellStyle name="T_ÿÿÿÿÿ_Bieu4HTMT_KH TPCP vung TNB (03-1-2012) 2" xfId="5142"/>
    <cellStyle name="T_ÿÿÿÿÿ_KH TPCP vung TNB (03-1-2012)" xfId="5143"/>
    <cellStyle name="T_ÿÿÿÿÿ_KH TPCP vung TNB (03-1-2012) 2" xfId="5144"/>
    <cellStyle name="T_ÿÿÿÿÿ_kien giang 2" xfId="5145"/>
    <cellStyle name="T_ÿÿÿÿÿ_kien giang 2 2" xfId="5146"/>
    <cellStyle name="Text Indent A" xfId="5147"/>
    <cellStyle name="Text Indent B" xfId="5148"/>
    <cellStyle name="Text Indent B 10" xfId="5149"/>
    <cellStyle name="Text Indent B 11" xfId="5150"/>
    <cellStyle name="Text Indent B 12" xfId="5151"/>
    <cellStyle name="Text Indent B 13" xfId="5152"/>
    <cellStyle name="Text Indent B 14" xfId="5153"/>
    <cellStyle name="Text Indent B 15" xfId="5154"/>
    <cellStyle name="Text Indent B 16" xfId="5155"/>
    <cellStyle name="Text Indent B 2" xfId="5156"/>
    <cellStyle name="Text Indent B 3" xfId="5157"/>
    <cellStyle name="Text Indent B 4" xfId="5158"/>
    <cellStyle name="Text Indent B 5" xfId="5159"/>
    <cellStyle name="Text Indent B 6" xfId="5160"/>
    <cellStyle name="Text Indent B 7" xfId="5161"/>
    <cellStyle name="Text Indent B 8" xfId="5162"/>
    <cellStyle name="Text Indent B 9" xfId="5163"/>
    <cellStyle name="Text Indent B_Bien ban" xfId="5785"/>
    <cellStyle name="Text Indent C" xfId="5164"/>
    <cellStyle name="Text Indent C 10" xfId="5165"/>
    <cellStyle name="Text Indent C 11" xfId="5166"/>
    <cellStyle name="Text Indent C 12" xfId="5167"/>
    <cellStyle name="Text Indent C 13" xfId="5168"/>
    <cellStyle name="Text Indent C 14" xfId="5169"/>
    <cellStyle name="Text Indent C 15" xfId="5170"/>
    <cellStyle name="Text Indent C 16" xfId="5171"/>
    <cellStyle name="Text Indent C 2" xfId="5172"/>
    <cellStyle name="Text Indent C 3" xfId="5173"/>
    <cellStyle name="Text Indent C 4" xfId="5174"/>
    <cellStyle name="Text Indent C 5" xfId="5175"/>
    <cellStyle name="Text Indent C 6" xfId="5176"/>
    <cellStyle name="Text Indent C 7" xfId="5177"/>
    <cellStyle name="Text Indent C 8" xfId="5178"/>
    <cellStyle name="Text Indent C 9" xfId="5179"/>
    <cellStyle name="th" xfId="5180"/>
    <cellStyle name="th 2" xfId="5181"/>
    <cellStyle name="þ_x005f_x001d_ð¤_x005f_x000c_¯þ_x005f_x0014__x005f_x000d_¨þU_x005f_x0001_À_x005f_x0004_ _x005f_x0015__x005f_x000f__x005f_x0001__x005f_x0001_" xfId="5182"/>
    <cellStyle name="þ_x005f_x001d_ð·_x005f_x000c_æþ'_x005f_x000d_ßþU_x005f_x0001_Ø_x005f_x0005_ü_x005f_x0014__x005f_x0007__x005f_x0001__x005f_x0001_" xfId="5183"/>
    <cellStyle name="þ_x005f_x001d_ðÇ%Uý—&amp;Hý9_x005f_x0008_Ÿ s_x005f_x000a__x005f_x0007__x005f_x0001__x005f_x0001_" xfId="5184"/>
    <cellStyle name="þ_x005f_x001d_ðK_x005f_x000c_Fý_x005f_x001b__x005f_x000d_9ýU_x005f_x0001_Ð_x005f_x0008_¦)_x005f_x0007__x005f_x0001__x005f_x0001_" xfId="5185"/>
    <cellStyle name="þ_x005f_x005f_x005f_x001d_ð¤_x005f_x005f_x005f_x000c_¯þ_x005f_x005f_x005f_x0014__x005f_x005f_x005f_x000d_¨þU_x005f_x005f_x005f_x0001_À_x005f_x005f_x005f_x0004_ _x005f_x005f_x005f_x0015__x005f_x005f_x005f_x000f__x005f_x005f_x005f_x0001__x005f_x005f_x005f_x0001_" xfId="5186"/>
    <cellStyle name="þ_x005f_x005f_x005f_x001d_ð·_x005f_x005f_x005f_x000c_æþ'_x005f_x005f_x005f_x000d_ßþU_x005f_x005f_x005f_x0001_Ø_x005f_x005f_x005f_x0005_ü_x005f_x005f_x005f_x0014__x005f_x005f_x005f_x0007__x005f_x005f_x005f_x0001__x005f_x005f_x005f_x0001_" xfId="5187"/>
    <cellStyle name="þ_x005f_x005f_x005f_x001d_ðÇ%Uý—&amp;Hý9_x005f_x005f_x005f_x0008_Ÿ s_x005f_x005f_x005f_x000a__x005f_x005f_x005f_x0007__x005f_x005f_x005f_x0001__x005f_x005f_x005f_x0001_" xfId="5188"/>
    <cellStyle name="þ_x005f_x005f_x005f_x001d_ðK_x005f_x005f_x005f_x000c_Fý_x005f_x005f_x005f_x001b__x005f_x005f_x005f_x000d_9ýU_x005f_x005f_x005f_x0001_Ð_x005f_x005f_x005f_x0008_¦)_x005f_x005f_x005f_x0007__x005f_x005f_x005f_x0001__x005f_x005f_x005f_x0001_" xfId="5189"/>
    <cellStyle name="than" xfId="5190"/>
    <cellStyle name="Thanh" xfId="5191"/>
    <cellStyle name="þ_x001d_ð¤_x000c_¯þ_x0014__x000a_¨þU_x0001_À_x0004_ _x0015__x000f__x0001__x0001_" xfId="5192"/>
    <cellStyle name="þ_x001d_ð¤_x000c_¯þ_x0014__x000d_¨þU_x0001_À_x0004_ _x0015__x000f__x0001__x0001_" xfId="5193"/>
    <cellStyle name="þ_x001d_ð·_x000c_æþ'_x000a_ßþU_x0001_Ø_x0005_ü_x0014__x0007__x0001__x0001_" xfId="5194"/>
    <cellStyle name="þ_x001d_ð·_x000c_æþ'_x000d_ßþU_x0001_Ø_x0005_ü_x0014__x0007__x0001__x0001_" xfId="5195"/>
    <cellStyle name="þ_x001d_ðÇ%Uý—&amp;Hý9_x0008_Ÿ s_x000a__x0007__x0001__x0001_" xfId="5196"/>
    <cellStyle name="þ_x001d_ðK_x000c_Fý_x001b__x000a_9ýU_x0001_Ð_x0008_¦)_x0007__x0001__x0001_" xfId="5197"/>
    <cellStyle name="þ_x001d_ðK_x000c_Fý_x001b__x000d_9ýU_x0001_Ð_x0008_¦)_x0007__x0001__x0001_" xfId="5198"/>
    <cellStyle name="thuong-10" xfId="5199"/>
    <cellStyle name="thuong-10 2" xfId="5200"/>
    <cellStyle name="thuong-10 3" xfId="5201"/>
    <cellStyle name="thuong-11" xfId="5202"/>
    <cellStyle name="thuong-11 2" xfId="5203"/>
    <cellStyle name="Thuyet minh" xfId="5204"/>
    <cellStyle name="Tickmark" xfId="5205"/>
    <cellStyle name="Tien1" xfId="5206"/>
    <cellStyle name="Tien1 2" xfId="5207"/>
    <cellStyle name="Tien1 3" xfId="5208"/>
    <cellStyle name="Tiêu đề" xfId="5209"/>
    <cellStyle name="Tieu_de_2" xfId="5210"/>
    <cellStyle name="Times New Roman" xfId="5211"/>
    <cellStyle name="Tính toán" xfId="5212"/>
    <cellStyle name="tit1" xfId="5213"/>
    <cellStyle name="tit2" xfId="5214"/>
    <cellStyle name="tit2 2" xfId="5215"/>
    <cellStyle name="tit3" xfId="5216"/>
    <cellStyle name="tit4" xfId="5217"/>
    <cellStyle name="Title 2" xfId="5218"/>
    <cellStyle name="Tổng" xfId="5219"/>
    <cellStyle name="Tong so" xfId="5220"/>
    <cellStyle name="tong so 1" xfId="5221"/>
    <cellStyle name="tong so 1 2" xfId="5222"/>
    <cellStyle name="tong so 1 3" xfId="5223"/>
    <cellStyle name="Tong so_Bieu KHPTLN 2016-2020" xfId="5224"/>
    <cellStyle name="Tongcong" xfId="5225"/>
    <cellStyle name="Tốt" xfId="5226"/>
    <cellStyle name="Total 2" xfId="5227"/>
    <cellStyle name="Total 3" xfId="5786"/>
    <cellStyle name="trang" xfId="5228"/>
    <cellStyle name="Trung tính" xfId="5229"/>
    <cellStyle name="tt1" xfId="5230"/>
    <cellStyle name="tuan" xfId="5787"/>
    <cellStyle name="tuan1" xfId="5788"/>
    <cellStyle name="tuan2" xfId="5789"/>
    <cellStyle name="tuan3" xfId="5790"/>
    <cellStyle name="tuan4" xfId="5791"/>
    <cellStyle name="Tusental (0)_pldt" xfId="5231"/>
    <cellStyle name="Tusental_pldt" xfId="5232"/>
    <cellStyle name="u" xfId="5233"/>
    <cellStyle name="ux_3_¼­¿ï-¾È»ê" xfId="5234"/>
    <cellStyle name="Valuta (0)_CALPREZZ" xfId="5235"/>
    <cellStyle name="Valuta_ PESO ELETTR." xfId="5236"/>
    <cellStyle name="Văn bản Cảnh báo" xfId="5237"/>
    <cellStyle name="Văn bản Giải thích" xfId="5238"/>
    <cellStyle name="VANG1" xfId="5239"/>
    <cellStyle name="VANG1 2" xfId="5240"/>
    <cellStyle name="viet" xfId="5241"/>
    <cellStyle name="viet2" xfId="5242"/>
    <cellStyle name="viet2 2" xfId="5243"/>
    <cellStyle name="VN new romanNormal" xfId="5244"/>
    <cellStyle name="VN new romanNormal 2" xfId="5245"/>
    <cellStyle name="VN new romanNormal 2 2" xfId="5246"/>
    <cellStyle name="VN new romanNormal 3" xfId="5247"/>
    <cellStyle name="VN new romanNormal_05-12  KH trung han 2016-2020 - Liem Thinh edited" xfId="5248"/>
    <cellStyle name="vn time 10" xfId="5249"/>
    <cellStyle name="Vn Time 13" xfId="5250"/>
    <cellStyle name="Vn Time 14" xfId="5251"/>
    <cellStyle name="Vn Time 14 2" xfId="5252"/>
    <cellStyle name="Vn Time 14 3" xfId="5253"/>
    <cellStyle name="VN time new roman" xfId="5254"/>
    <cellStyle name="VN time new roman 2" xfId="5255"/>
    <cellStyle name="VN time new roman 2 2" xfId="5256"/>
    <cellStyle name="VN time new roman 3" xfId="5257"/>
    <cellStyle name="VN time new roman_05-12  KH trung han 2016-2020 - Liem Thinh edited" xfId="5258"/>
    <cellStyle name="vn_time" xfId="5259"/>
    <cellStyle name="vnbo" xfId="5260"/>
    <cellStyle name="vnbo 2" xfId="5261"/>
    <cellStyle name="vnbo 3" xfId="5262"/>
    <cellStyle name="vnhead1" xfId="5263"/>
    <cellStyle name="vnhead1 2" xfId="5264"/>
    <cellStyle name="vnhead2" xfId="5265"/>
    <cellStyle name="vnhead2 2" xfId="5266"/>
    <cellStyle name="vnhead2 3" xfId="5267"/>
    <cellStyle name="vnhead3" xfId="5268"/>
    <cellStyle name="vnhead3 2" xfId="5269"/>
    <cellStyle name="vnhead3 3" xfId="5270"/>
    <cellStyle name="vnhead4" xfId="5271"/>
    <cellStyle name="vntxt1" xfId="5272"/>
    <cellStyle name="vntxt1 10" xfId="5273"/>
    <cellStyle name="vntxt1 11" xfId="5274"/>
    <cellStyle name="vntxt1 12" xfId="5275"/>
    <cellStyle name="vntxt1 13" xfId="5276"/>
    <cellStyle name="vntxt1 14" xfId="5277"/>
    <cellStyle name="vntxt1 15" xfId="5278"/>
    <cellStyle name="vntxt1 16" xfId="5279"/>
    <cellStyle name="vntxt1 2" xfId="5280"/>
    <cellStyle name="vntxt1 3" xfId="5281"/>
    <cellStyle name="vntxt1 4" xfId="5282"/>
    <cellStyle name="vntxt1 5" xfId="5283"/>
    <cellStyle name="vntxt1 6" xfId="5284"/>
    <cellStyle name="vntxt1 7" xfId="5285"/>
    <cellStyle name="vntxt1 8" xfId="5286"/>
    <cellStyle name="vntxt1 9" xfId="5287"/>
    <cellStyle name="vntxt1_05-12  KH trung han 2016-2020 - Liem Thinh edited" xfId="5288"/>
    <cellStyle name="vntxt2" xfId="5289"/>
    <cellStyle name="W?hrung [0]_35ERI8T2gbIEMixb4v26icuOo" xfId="5290"/>
    <cellStyle name="W?hrung_35ERI8T2gbIEMixb4v26icuOo" xfId="5291"/>
    <cellStyle name="Währung [0]_68574_Materialbedarfsliste" xfId="5292"/>
    <cellStyle name="Währung_68574_Materialbedarfsliste" xfId="5293"/>
    <cellStyle name="Walutowy [0]_Invoices2001Slovakia" xfId="5294"/>
    <cellStyle name="Walutowy_Invoices2001Slovakia" xfId="5295"/>
    <cellStyle name="Warning Text 2" xfId="5296"/>
    <cellStyle name="wrap" xfId="5297"/>
    <cellStyle name="Wไhrung [0]_35ERI8T2gbIEMixb4v26icuOo" xfId="5298"/>
    <cellStyle name="Wไhrung_35ERI8T2gbIEMixb4v26icuOo" xfId="5299"/>
    <cellStyle name="xan1" xfId="5300"/>
    <cellStyle name="Xấu" xfId="5301"/>
    <cellStyle name="xuan" xfId="5302"/>
    <cellStyle name="y" xfId="5303"/>
    <cellStyle name="y 2" xfId="5304"/>
    <cellStyle name="Ý kh¸c_B¶ng 1 (2)" xfId="5305"/>
    <cellStyle name="เครื่องหมายสกุลเงิน [0]_FTC_OFFER" xfId="5306"/>
    <cellStyle name="เครื่องหมายสกุลเงิน_FTC_OFFER" xfId="5307"/>
    <cellStyle name="ปกติ_FTC_OFFER" xfId="5308"/>
    <cellStyle name=" [0.00]_ Att. 1- Cover" xfId="45"/>
    <cellStyle name="_ Att. 1- Cover" xfId="46"/>
    <cellStyle name="?_ Att. 1- Cover" xfId="47"/>
    <cellStyle name="똿뗦먛귟 [0.00]_PRODUCT DETAIL Q1" xfId="48"/>
    <cellStyle name="똿뗦먛귟_PRODUCT DETAIL Q1" xfId="49"/>
    <cellStyle name="믅됞 [0.00]_PRODUCT DETAIL Q1" xfId="50"/>
    <cellStyle name="믅됞_PRODUCT DETAIL Q1" xfId="51"/>
    <cellStyle name="백분율_††††† " xfId="5309"/>
    <cellStyle name="뷭?_BOOKSHIP" xfId="52"/>
    <cellStyle name="안건회계법인" xfId="5310"/>
    <cellStyle name="콤맀_Sheet1_총괄표 (수출입) (2)" xfId="5311"/>
    <cellStyle name="콤마 [ - 유형1" xfId="5312"/>
    <cellStyle name="콤마 [ - 유형2" xfId="5313"/>
    <cellStyle name="콤마 [ - 유형3" xfId="5314"/>
    <cellStyle name="콤마 [ - 유형4" xfId="5315"/>
    <cellStyle name="콤마 [ - 유형5" xfId="5316"/>
    <cellStyle name="콤마 [ - 유형6" xfId="5317"/>
    <cellStyle name="콤마 [ - 유형7" xfId="5318"/>
    <cellStyle name="콤마 [ - 유형8" xfId="5319"/>
    <cellStyle name="콤마 [0]_ 비목별 월별기술 " xfId="5320"/>
    <cellStyle name="콤마_ 비목별 월별기술 " xfId="5321"/>
    <cellStyle name="통화 [0]_††††† " xfId="5322"/>
    <cellStyle name="통화_††††† " xfId="5323"/>
    <cellStyle name="표섀_변경(최종)" xfId="5324"/>
    <cellStyle name="표준_ 97년 경영분석(안)" xfId="5325"/>
    <cellStyle name="표줠_Sheet1_1_총괄표 (수출입) (2)" xfId="5326"/>
    <cellStyle name="一般_00Q3902REV.1" xfId="53"/>
    <cellStyle name="千分位[0]_00Q3902REV.1" xfId="54"/>
    <cellStyle name="千分位_00Q3902REV.1" xfId="55"/>
    <cellStyle name="桁区切り [0.00]_BE-BQ" xfId="5327"/>
    <cellStyle name="桁区切り_BE-BQ" xfId="5328"/>
    <cellStyle name="標準_(A1)BOQ " xfId="5329"/>
    <cellStyle name="貨幣 [0]_00Q3902REV.1" xfId="56"/>
    <cellStyle name="貨幣[0]_BRE" xfId="57"/>
    <cellStyle name="貨幣_00Q3902REV.1" xfId="58"/>
    <cellStyle name="通貨 [0.00]_BE-BQ" xfId="5330"/>
    <cellStyle name="通貨_BE-BQ" xfId="533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othihoaithuong\Downloads\QT%202017-QLN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othihoaithuong\Downloads\Tinh%20hinh%20thanh%20toan%20KHV%20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NGA_NS\Quyet%20toan\QT%202017\QT%202017_Gui%20BTC\Tong%20hop%20QT%202017_Bao%20cao%20BTC_dieu%20chinh.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Master\Quan%20tri%20hoc\Bai%20luan%20CEO\Tong%20hop%20QT%202017_Bao%20cao%20BT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hay CT QLNS (sua)"/>
      <sheetName val="So GD&amp;DT"/>
      <sheetName val="So GTVT"/>
      <sheetName val="So VHTTDL"/>
      <sheetName val="BQL DTXD tinh"/>
      <sheetName val="TT Di tich"/>
      <sheetName val="So NN&amp;PTNT"/>
      <sheetName val="BQL KKTMCL"/>
      <sheetName val="BCHBDBP"/>
      <sheetName val="So LDTB&amp;XH"/>
      <sheetName val="Cty CPCTN"/>
      <sheetName val="So Y te"/>
      <sheetName val="Cty MTDT"/>
      <sheetName val="So cong thuong"/>
      <sheetName val="Truong CDYT"/>
      <sheetName val="BCH QS tinh"/>
      <sheetName val="Cong an tinh"/>
      <sheetName val="BQL Rung+ Giam ngheo"/>
      <sheetName val="So TT&amp;TT"/>
      <sheetName val="BV MNPB"/>
      <sheetName val="So KH&amp;DT"/>
      <sheetName val="Truong DH QN"/>
      <sheetName val="Tinh doan"/>
      <sheetName val="CC Kiem Lam"/>
      <sheetName val="LD+CB+CaoT+TS+TY+TNXH+CTygo"/>
      <sheetName val="HPN+HND+Mtuy+BDT+DVVlam"/>
      <sheetName val="So KH&amp;CN"/>
      <sheetName val="TTNCC"/>
      <sheetName val="Truong chinh tri"/>
      <sheetName val="BVDK+Dai+VPTU+SoNV+CDN+MTTQ+HCC"/>
      <sheetName val="BQL Giao thong"/>
      <sheetName val="BQL Nong nghiep"/>
      <sheetName val="Cty KTTL"/>
      <sheetName val="So TNM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30">
          <cell r="B30" t="str">
            <v>Cải tạo, sửa chữa nhà làm việc Ban Dân tộc tỉnh Quảng Nam</v>
          </cell>
          <cell r="C30" t="str">
            <v>Ban Dân tộc</v>
          </cell>
        </row>
      </sheetData>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M ngan sach tinh chuyen 2018"/>
      <sheetName val="DM chuyen nguon NSTW nam 2017"/>
      <sheetName val="DM chuyen nguon NSTW het han gn"/>
      <sheetName val="SO DU KHV"/>
      <sheetName val="TH 2017"/>
      <sheetName val="TAM UNG VON DT 2004-2016"/>
      <sheetName val="KHV 2016 KEO DAI"/>
      <sheetName val="Nguon XDCB TT"/>
      <sheetName val="Nguon XSKT"/>
      <sheetName val="Nguon Tang thu"/>
      <sheetName val="Nguon TWBS"/>
      <sheetName val="Nguon khac+SN"/>
      <sheetName val="Nguon SDĐ"/>
      <sheetName val="Nguon vuot thu"/>
      <sheetName val="Nguon von nuoc ngoai_NS c.phat"/>
      <sheetName val="Nguon von nuoc ngoai tinh vay"/>
      <sheetName val="GTGC Von trong nuoc"/>
      <sheetName val="Nguon CTMTQG"/>
      <sheetName val="Cap lenh chi tien"/>
      <sheetName val="Nguon SN"/>
      <sheetName val="NGUON SN (OK)"/>
      <sheetName val="Sheet2"/>
    </sheetNames>
    <sheetDataSet>
      <sheetData sheetId="0"/>
      <sheetData sheetId="1"/>
      <sheetData sheetId="2"/>
      <sheetData sheetId="3"/>
      <sheetData sheetId="4">
        <row r="134">
          <cell r="B134" t="str">
            <v>Sửa chữa, cải tạo trụ sở làm việc Hội Người cao tuổi tỉnh Quảng Nam</v>
          </cell>
        </row>
        <row r="424">
          <cell r="N424">
            <v>905.69881999999996</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4Chi MLNS (2)"/>
      <sheetName val="so lieu thuyet minh"/>
      <sheetName val="can doi nguon"/>
      <sheetName val="60"/>
      <sheetName val="61"/>
      <sheetName val="62"/>
      <sheetName val="63_Thu MLNS"/>
      <sheetName val="64Chi MLNS"/>
      <sheetName val="Bieu 65_Chi MT_MLNS "/>
      <sheetName val="66_QLHC"/>
      <sheetName val="67_Thien tai"/>
      <sheetName val="68_DP, TT"/>
      <sheetName val="69_KTTT"/>
      <sheetName val="70_Chi CN"/>
      <sheetName val="Sheet1"/>
    </sheetNames>
    <sheetDataSet>
      <sheetData sheetId="0"/>
      <sheetData sheetId="1"/>
      <sheetData sheetId="2"/>
      <sheetData sheetId="3">
        <row r="8">
          <cell r="C8" t="str">
            <v>Thu NS cấp tỉnh</v>
          </cell>
        </row>
        <row r="9">
          <cell r="D9">
            <v>4</v>
          </cell>
          <cell r="E9">
            <v>5</v>
          </cell>
          <cell r="H9">
            <v>8</v>
          </cell>
          <cell r="I9">
            <v>9</v>
          </cell>
          <cell r="J9">
            <v>10</v>
          </cell>
        </row>
        <row r="10">
          <cell r="C10">
            <v>20331958.075887002</v>
          </cell>
          <cell r="D10">
            <v>14699553.943511</v>
          </cell>
          <cell r="E10">
            <v>3168448.0716879996</v>
          </cell>
          <cell r="I10">
            <v>13785388.948030001</v>
          </cell>
          <cell r="J10">
            <v>2986313.520093</v>
          </cell>
        </row>
        <row r="11">
          <cell r="C11">
            <v>20331856.661487002</v>
          </cell>
          <cell r="D11">
            <v>14699553.943511</v>
          </cell>
          <cell r="E11">
            <v>3168448.0716879996</v>
          </cell>
        </row>
        <row r="12">
          <cell r="I12">
            <v>2895979.4866749998</v>
          </cell>
          <cell r="J12">
            <v>790145.49995299999</v>
          </cell>
        </row>
        <row r="13">
          <cell r="D13">
            <v>1895428.9754570001</v>
          </cell>
          <cell r="E13">
            <v>66342.073954999971</v>
          </cell>
        </row>
        <row r="15">
          <cell r="C15">
            <v>11868.467336</v>
          </cell>
        </row>
        <row r="20">
          <cell r="D20">
            <v>4889089.2516949996</v>
          </cell>
          <cell r="E20">
            <v>1640138.4313769999</v>
          </cell>
        </row>
      </sheetData>
      <sheetData sheetId="4"/>
      <sheetData sheetId="5"/>
      <sheetData sheetId="6"/>
      <sheetData sheetId="7"/>
      <sheetData sheetId="8">
        <row r="30">
          <cell r="C30">
            <v>555182.28925999999</v>
          </cell>
        </row>
      </sheetData>
      <sheetData sheetId="9"/>
      <sheetData sheetId="10"/>
      <sheetData sheetId="11"/>
      <sheetData sheetId="12"/>
      <sheetData sheetId="13"/>
      <sheetData sheetId="1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4Chi MLNS (2)"/>
      <sheetName val="so lieu thuyet minh"/>
      <sheetName val="can doi nguon"/>
      <sheetName val="60"/>
      <sheetName val="61"/>
      <sheetName val="62"/>
      <sheetName val="63_Thu MLNS"/>
      <sheetName val="64Chi MLNS"/>
      <sheetName val="Bieu 65_Chi MT_MLNS "/>
      <sheetName val="66_QLHC"/>
      <sheetName val="67_Thien tai"/>
      <sheetName val="68_DP, TT"/>
      <sheetName val="69_KTTT"/>
      <sheetName val="70_Chi CN"/>
      <sheetName val="Sheet1"/>
    </sheetNames>
    <sheetDataSet>
      <sheetData sheetId="0" refreshError="1"/>
      <sheetData sheetId="1" refreshError="1"/>
      <sheetData sheetId="2" refreshError="1"/>
      <sheetData sheetId="3" refreshError="1">
        <row r="10">
          <cell r="B10">
            <v>26972124.481359005</v>
          </cell>
        </row>
        <row r="12">
          <cell r="H12">
            <v>2711744.378759</v>
          </cell>
        </row>
        <row r="14">
          <cell r="H14">
            <v>2713620.6496049995</v>
          </cell>
        </row>
        <row r="15">
          <cell r="C15">
            <v>11868.467336</v>
          </cell>
          <cell r="H15">
            <v>1450</v>
          </cell>
        </row>
        <row r="16">
          <cell r="C16">
            <v>7514766.1278689997</v>
          </cell>
          <cell r="D16">
            <v>2081043.2723970001</v>
          </cell>
          <cell r="E16">
            <v>211013.14703299999</v>
          </cell>
        </row>
        <row r="18">
          <cell r="H18">
            <v>218774.32181200001</v>
          </cell>
          <cell r="I18">
            <v>675018.55930399999</v>
          </cell>
          <cell r="J18">
            <v>17947.394543999999</v>
          </cell>
        </row>
        <row r="20">
          <cell r="C20">
            <v>3261466.2171990001</v>
          </cell>
          <cell r="D20">
            <v>4889089.2516949996</v>
          </cell>
          <cell r="E20">
            <v>1640138.4313769999</v>
          </cell>
        </row>
        <row r="21">
          <cell r="C21">
            <v>675018.55930399999</v>
          </cell>
          <cell r="D21">
            <v>17947.394543999999</v>
          </cell>
        </row>
        <row r="23">
          <cell r="C23">
            <v>95830.579195003957</v>
          </cell>
        </row>
      </sheetData>
      <sheetData sheetId="4" refreshError="1"/>
      <sheetData sheetId="5" refreshError="1">
        <row r="12">
          <cell r="E12">
            <v>6392469.3653870001</v>
          </cell>
        </row>
        <row r="30">
          <cell r="F30">
            <v>2713620.6496049995</v>
          </cell>
        </row>
        <row r="31">
          <cell r="F31">
            <v>50486.335692000001</v>
          </cell>
        </row>
        <row r="32">
          <cell r="F32">
            <v>20896</v>
          </cell>
        </row>
        <row r="33">
          <cell r="F33">
            <v>629961.20938999997</v>
          </cell>
        </row>
        <row r="34">
          <cell r="F34">
            <v>24818.831183999999</v>
          </cell>
        </row>
        <row r="35">
          <cell r="F35">
            <v>867656.958079</v>
          </cell>
        </row>
        <row r="36">
          <cell r="F36">
            <v>67618.623550999997</v>
          </cell>
        </row>
        <row r="37">
          <cell r="F37">
            <v>17014.239000000001</v>
          </cell>
        </row>
        <row r="38">
          <cell r="F38">
            <v>24976.649300000001</v>
          </cell>
        </row>
        <row r="39">
          <cell r="F39">
            <v>50083.430649000002</v>
          </cell>
        </row>
        <row r="46">
          <cell r="F46">
            <v>6775672.8448209995</v>
          </cell>
        </row>
        <row r="50">
          <cell r="D50">
            <v>2775849</v>
          </cell>
          <cell r="G50">
            <v>1015691.600995</v>
          </cell>
        </row>
        <row r="51">
          <cell r="D51">
            <v>1897377</v>
          </cell>
          <cell r="G51">
            <v>1640138.4313769999</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18"/>
  <sheetViews>
    <sheetView workbookViewId="0">
      <pane xSplit="1" ySplit="9" topLeftCell="B13" activePane="bottomRight" state="frozen"/>
      <selection pane="topRight" activeCell="B1" sqref="B1"/>
      <selection pane="bottomLeft" activeCell="A7" sqref="A7"/>
      <selection pane="bottomRight" activeCell="H7" sqref="H7"/>
    </sheetView>
  </sheetViews>
  <sheetFormatPr defaultRowHeight="16.5"/>
  <cols>
    <col min="1" max="1" width="5.5703125" style="45" customWidth="1"/>
    <col min="2" max="2" width="28.140625" style="45" customWidth="1"/>
    <col min="3" max="3" width="16" style="45" customWidth="1"/>
    <col min="4" max="4" width="18.42578125" style="45" customWidth="1"/>
    <col min="5" max="5" width="15.28515625" style="45" customWidth="1"/>
    <col min="6" max="6" width="9.140625" style="45"/>
    <col min="7" max="7" width="11.28515625" style="45" bestFit="1" customWidth="1"/>
    <col min="8" max="16384" width="9.140625" style="45"/>
  </cols>
  <sheetData>
    <row r="1" spans="1:7">
      <c r="C1" s="459" t="s">
        <v>109</v>
      </c>
      <c r="D1" s="459"/>
      <c r="E1" s="459"/>
    </row>
    <row r="2" spans="1:7" ht="16.5" customHeight="1">
      <c r="C2" s="460" t="s">
        <v>116</v>
      </c>
      <c r="D2" s="460"/>
      <c r="E2" s="460"/>
    </row>
    <row r="3" spans="1:7">
      <c r="C3" s="460"/>
      <c r="D3" s="460"/>
      <c r="E3" s="460"/>
    </row>
    <row r="4" spans="1:7" s="46" customFormat="1" ht="52.5" customHeight="1">
      <c r="B4" s="457" t="s">
        <v>1520</v>
      </c>
      <c r="C4" s="457"/>
      <c r="D4" s="457"/>
      <c r="E4" s="457"/>
    </row>
    <row r="5" spans="1:7" s="46" customFormat="1" ht="10.5" customHeight="1">
      <c r="A5" s="459"/>
      <c r="B5" s="459"/>
      <c r="C5" s="459"/>
      <c r="D5" s="459"/>
      <c r="E5" s="459"/>
    </row>
    <row r="6" spans="1:7">
      <c r="D6" s="458" t="s">
        <v>1196</v>
      </c>
      <c r="E6" s="458"/>
    </row>
    <row r="7" spans="1:7" ht="33">
      <c r="A7" s="47" t="s">
        <v>1</v>
      </c>
      <c r="B7" s="47" t="s">
        <v>2</v>
      </c>
      <c r="C7" s="47" t="s">
        <v>1123</v>
      </c>
      <c r="D7" s="47" t="s">
        <v>1124</v>
      </c>
      <c r="E7" s="47" t="s">
        <v>52</v>
      </c>
    </row>
    <row r="8" spans="1:7" s="48" customFormat="1">
      <c r="A8" s="278" t="s">
        <v>3</v>
      </c>
      <c r="B8" s="278" t="s">
        <v>4</v>
      </c>
      <c r="C8" s="278">
        <v>1</v>
      </c>
      <c r="D8" s="278">
        <v>2</v>
      </c>
      <c r="E8" s="278" t="s">
        <v>61</v>
      </c>
    </row>
    <row r="9" spans="1:7" ht="19.5" customHeight="1">
      <c r="A9" s="249"/>
      <c r="B9" s="249" t="s">
        <v>72</v>
      </c>
      <c r="C9" s="250">
        <f>+SUM(C10:C18)</f>
        <v>1110687</v>
      </c>
      <c r="D9" s="250">
        <f>+SUM(D10:D18)</f>
        <v>1365918.786692</v>
      </c>
      <c r="E9" s="251">
        <f>+D9/C9*100</f>
        <v>122.9796321278632</v>
      </c>
    </row>
    <row r="10" spans="1:7" s="48" customFormat="1" ht="33">
      <c r="A10" s="245">
        <v>1</v>
      </c>
      <c r="B10" s="246" t="s">
        <v>110</v>
      </c>
      <c r="C10" s="247">
        <v>108132</v>
      </c>
      <c r="D10" s="247">
        <v>130039.82475100001</v>
      </c>
      <c r="E10" s="248">
        <f>+D10/C10*100</f>
        <v>120.26026037713167</v>
      </c>
    </row>
    <row r="11" spans="1:7" s="48" customFormat="1" ht="33">
      <c r="A11" s="49">
        <v>2</v>
      </c>
      <c r="B11" s="50" t="s">
        <v>111</v>
      </c>
      <c r="C11" s="51">
        <v>1670</v>
      </c>
      <c r="D11" s="51">
        <v>2564.86</v>
      </c>
      <c r="E11" s="52">
        <f>+D11/C11*100</f>
        <v>153.58443113772455</v>
      </c>
    </row>
    <row r="12" spans="1:7" s="48" customFormat="1">
      <c r="A12" s="49">
        <v>3</v>
      </c>
      <c r="B12" s="50" t="s">
        <v>112</v>
      </c>
      <c r="C12" s="53">
        <v>842212</v>
      </c>
      <c r="D12" s="53">
        <v>968183.7</v>
      </c>
      <c r="E12" s="52">
        <f>+D12/C12*100</f>
        <v>114.95724354438074</v>
      </c>
      <c r="G12" s="54"/>
    </row>
    <row r="13" spans="1:7" s="48" customFormat="1" ht="33">
      <c r="A13" s="49">
        <v>5</v>
      </c>
      <c r="B13" s="50" t="s">
        <v>113</v>
      </c>
      <c r="C13" s="51">
        <v>16000</v>
      </c>
      <c r="D13" s="51">
        <v>20121</v>
      </c>
      <c r="E13" s="52">
        <f t="shared" ref="E13:E18" si="0">+D13/C13*100</f>
        <v>125.75624999999999</v>
      </c>
    </row>
    <row r="14" spans="1:7" s="48" customFormat="1">
      <c r="A14" s="49">
        <v>6</v>
      </c>
      <c r="B14" s="50" t="s">
        <v>114</v>
      </c>
      <c r="C14" s="55">
        <v>500</v>
      </c>
      <c r="D14" s="55">
        <v>512</v>
      </c>
      <c r="E14" s="52">
        <f t="shared" si="0"/>
        <v>102.4</v>
      </c>
    </row>
    <row r="15" spans="1:7" s="48" customFormat="1">
      <c r="A15" s="49">
        <v>7</v>
      </c>
      <c r="B15" s="50" t="s">
        <v>1521</v>
      </c>
      <c r="C15" s="55">
        <v>500</v>
      </c>
      <c r="D15" s="55">
        <v>3480</v>
      </c>
      <c r="E15" s="52">
        <f t="shared" si="0"/>
        <v>696</v>
      </c>
    </row>
    <row r="16" spans="1:7" s="48" customFormat="1">
      <c r="A16" s="49">
        <v>8</v>
      </c>
      <c r="B16" s="50" t="s">
        <v>1197</v>
      </c>
      <c r="C16" s="51">
        <v>129240</v>
      </c>
      <c r="D16" s="51">
        <v>232024.67365499999</v>
      </c>
      <c r="E16" s="52">
        <f t="shared" si="0"/>
        <v>179.53007865598886</v>
      </c>
    </row>
    <row r="17" spans="1:5" s="48" customFormat="1">
      <c r="A17" s="56">
        <v>9</v>
      </c>
      <c r="B17" s="57" t="s">
        <v>1198</v>
      </c>
      <c r="C17" s="58">
        <v>11883</v>
      </c>
      <c r="D17" s="58">
        <v>7991</v>
      </c>
      <c r="E17" s="52">
        <f t="shared" si="0"/>
        <v>67.247328115795682</v>
      </c>
    </row>
    <row r="18" spans="1:5" s="48" customFormat="1">
      <c r="A18" s="59">
        <v>10</v>
      </c>
      <c r="B18" s="417" t="s">
        <v>1199</v>
      </c>
      <c r="C18" s="60">
        <v>550</v>
      </c>
      <c r="D18" s="60">
        <v>1001.728286</v>
      </c>
      <c r="E18" s="61">
        <f t="shared" si="0"/>
        <v>182.13241563636365</v>
      </c>
    </row>
  </sheetData>
  <mergeCells count="5">
    <mergeCell ref="B4:E4"/>
    <mergeCell ref="D6:E6"/>
    <mergeCell ref="C1:E1"/>
    <mergeCell ref="C2:E3"/>
    <mergeCell ref="A5:E5"/>
  </mergeCells>
  <pageMargins left="1.33" right="0.2" top="0.86" bottom="0.2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topLeftCell="A19" workbookViewId="0">
      <selection activeCell="B33" sqref="B33"/>
    </sheetView>
  </sheetViews>
  <sheetFormatPr defaultRowHeight="15"/>
  <cols>
    <col min="1" max="1" width="9.140625" style="77"/>
    <col min="2" max="2" width="44.85546875" style="297" customWidth="1"/>
    <col min="3" max="3" width="13.28515625" style="213" customWidth="1"/>
    <col min="4" max="4" width="27.140625" style="300" customWidth="1"/>
    <col min="5" max="5" width="15.5703125" style="213" customWidth="1"/>
    <col min="6" max="6" width="11.5703125" bestFit="1" customWidth="1"/>
  </cols>
  <sheetData>
    <row r="1" spans="1:5">
      <c r="A1" s="308"/>
      <c r="B1" s="301" t="s">
        <v>1461</v>
      </c>
      <c r="C1" s="309"/>
      <c r="D1" s="322" t="s">
        <v>1157</v>
      </c>
    </row>
    <row r="2" spans="1:5" s="79" customFormat="1" ht="14.25">
      <c r="A2" s="310">
        <v>1</v>
      </c>
      <c r="B2" s="302" t="s">
        <v>1455</v>
      </c>
      <c r="C2" s="306">
        <f>+'62'!D9</f>
        <v>27196298.803170998</v>
      </c>
      <c r="D2" s="311"/>
      <c r="E2" s="216"/>
    </row>
    <row r="3" spans="1:5" s="79" customFormat="1" ht="30">
      <c r="A3" s="310">
        <v>2</v>
      </c>
      <c r="B3" s="302" t="s">
        <v>1459</v>
      </c>
      <c r="C3" s="306">
        <f>+C4+C6</f>
        <v>98675809.153274</v>
      </c>
      <c r="D3" s="314" t="s">
        <v>1519</v>
      </c>
      <c r="E3" s="216">
        <f>+C3-C2</f>
        <v>71479510.350103006</v>
      </c>
    </row>
    <row r="4" spans="1:5" s="199" customFormat="1">
      <c r="A4" s="312" t="s">
        <v>1203</v>
      </c>
      <c r="B4" s="303" t="s">
        <v>1456</v>
      </c>
      <c r="C4" s="313">
        <f>+'49_NĐ31'!D9</f>
        <v>52138802.576418005</v>
      </c>
      <c r="D4" s="314"/>
      <c r="E4" s="296"/>
    </row>
    <row r="5" spans="1:5" s="199" customFormat="1">
      <c r="A5" s="312" t="s">
        <v>1204</v>
      </c>
      <c r="B5" s="303" t="s">
        <v>1457</v>
      </c>
      <c r="C5" s="313">
        <f>+'49_NĐ31'!D31</f>
        <v>54191871.878550991</v>
      </c>
      <c r="D5" s="314"/>
      <c r="E5" s="296"/>
    </row>
    <row r="6" spans="1:5" ht="30">
      <c r="A6" s="315" t="s">
        <v>1205</v>
      </c>
      <c r="B6" s="303" t="s">
        <v>1458</v>
      </c>
      <c r="C6" s="316">
        <f>+C5-'49_NĐ31'!D33</f>
        <v>46537006.576855995</v>
      </c>
      <c r="D6" s="314"/>
    </row>
    <row r="7" spans="1:5" s="79" customFormat="1" ht="14.25">
      <c r="A7" s="310">
        <v>3</v>
      </c>
      <c r="B7" s="302" t="s">
        <v>1460</v>
      </c>
      <c r="C7" s="306" t="e">
        <f>+#REF!</f>
        <v>#REF!</v>
      </c>
      <c r="D7" s="311"/>
      <c r="E7" s="216"/>
    </row>
    <row r="8" spans="1:5" ht="45">
      <c r="A8" s="315"/>
      <c r="B8" s="304" t="s">
        <v>1492</v>
      </c>
      <c r="C8" s="316" t="e">
        <f>+C2-C7</f>
        <v>#REF!</v>
      </c>
      <c r="D8" s="314" t="s">
        <v>1514</v>
      </c>
    </row>
    <row r="9" spans="1:5">
      <c r="A9" s="315"/>
      <c r="B9" s="304"/>
      <c r="C9" s="316"/>
      <c r="D9" s="314"/>
    </row>
    <row r="10" spans="1:5" s="79" customFormat="1" ht="14.25">
      <c r="A10" s="310"/>
      <c r="B10" s="302" t="s">
        <v>1462</v>
      </c>
      <c r="C10" s="306"/>
      <c r="D10" s="311"/>
      <c r="E10" s="216"/>
    </row>
    <row r="11" spans="1:5" s="79" customFormat="1" ht="14.25">
      <c r="A11" s="310">
        <v>1</v>
      </c>
      <c r="B11" s="302" t="s">
        <v>1463</v>
      </c>
      <c r="C11" s="306">
        <f>+'62'!D23</f>
        <v>25844169.279194001</v>
      </c>
      <c r="D11" s="311"/>
      <c r="E11" s="216"/>
    </row>
    <row r="12" spans="1:5">
      <c r="A12" s="315" t="s">
        <v>1177</v>
      </c>
      <c r="B12" s="304" t="s">
        <v>1464</v>
      </c>
      <c r="C12" s="316">
        <f>+'62'!D24</f>
        <v>13949215.094991</v>
      </c>
      <c r="D12" s="314"/>
    </row>
    <row r="13" spans="1:5">
      <c r="A13" s="315"/>
      <c r="B13" s="304" t="s">
        <v>84</v>
      </c>
      <c r="C13" s="316"/>
      <c r="D13" s="314"/>
    </row>
    <row r="14" spans="1:5" s="199" customFormat="1">
      <c r="A14" s="312"/>
      <c r="B14" s="303" t="s">
        <v>1469</v>
      </c>
      <c r="C14" s="313">
        <f>+'62'!D25</f>
        <v>4753448.2699530004</v>
      </c>
      <c r="D14" s="314"/>
      <c r="E14" s="296"/>
    </row>
    <row r="15" spans="1:5" s="199" customFormat="1">
      <c r="A15" s="312"/>
      <c r="B15" s="303" t="s">
        <v>20</v>
      </c>
      <c r="C15" s="313">
        <f>+'62'!D26</f>
        <v>8972386.320138</v>
      </c>
      <c r="D15" s="314"/>
      <c r="E15" s="296"/>
    </row>
    <row r="16" spans="1:5" s="199" customFormat="1" ht="15.75">
      <c r="A16" s="312"/>
      <c r="B16" s="2" t="s">
        <v>21</v>
      </c>
      <c r="C16" s="313">
        <f>+'62'!D28</f>
        <v>1450</v>
      </c>
      <c r="D16" s="314"/>
      <c r="E16" s="296"/>
    </row>
    <row r="17" spans="1:6" s="199" customFormat="1" ht="15.75">
      <c r="A17" s="312"/>
      <c r="B17" s="90" t="s">
        <v>40</v>
      </c>
      <c r="C17" s="313">
        <f>+'62'!D29</f>
        <v>47639.5049</v>
      </c>
      <c r="D17" s="314"/>
      <c r="E17" s="296"/>
    </row>
    <row r="18" spans="1:6" s="199" customFormat="1" ht="47.25">
      <c r="A18" s="312"/>
      <c r="B18" s="90" t="s">
        <v>1447</v>
      </c>
      <c r="C18" s="313">
        <f>+'62'!D30</f>
        <v>174291</v>
      </c>
      <c r="D18" s="314"/>
      <c r="E18" s="296"/>
    </row>
    <row r="19" spans="1:6" ht="15.75">
      <c r="A19" s="315" t="s">
        <v>1178</v>
      </c>
      <c r="B19" s="1" t="s">
        <v>41</v>
      </c>
      <c r="C19" s="316">
        <f>+'62'!D31</f>
        <v>2319505.3431099998</v>
      </c>
      <c r="D19" s="314"/>
    </row>
    <row r="20" spans="1:6" s="299" customFormat="1" ht="15.75">
      <c r="A20" s="317" t="s">
        <v>1182</v>
      </c>
      <c r="B20" s="1" t="s">
        <v>44</v>
      </c>
      <c r="C20" s="318">
        <f>+'62'!D38</f>
        <v>9356674.5192809999</v>
      </c>
      <c r="D20" s="314"/>
      <c r="E20" s="298"/>
    </row>
    <row r="21" spans="1:6" s="299" customFormat="1" ht="15.75">
      <c r="A21" s="317" t="s">
        <v>1202</v>
      </c>
      <c r="B21" s="282" t="s">
        <v>1116</v>
      </c>
      <c r="C21" s="318">
        <f>+'62'!D39</f>
        <v>218774.32181200001</v>
      </c>
      <c r="D21" s="314"/>
      <c r="E21" s="298"/>
    </row>
    <row r="22" spans="1:6" s="79" customFormat="1" ht="14.25">
      <c r="A22" s="310">
        <v>2</v>
      </c>
      <c r="B22" s="302" t="s">
        <v>1515</v>
      </c>
      <c r="C22" s="306"/>
      <c r="D22" s="311"/>
      <c r="E22" s="216"/>
    </row>
    <row r="23" spans="1:6">
      <c r="A23" s="315" t="s">
        <v>1203</v>
      </c>
      <c r="B23" s="304" t="s">
        <v>1465</v>
      </c>
      <c r="C23" s="316">
        <f>+'49_NĐ31'!D21</f>
        <v>20076127.446691997</v>
      </c>
      <c r="D23" s="314"/>
    </row>
    <row r="24" spans="1:6" ht="30">
      <c r="A24" s="315" t="s">
        <v>1204</v>
      </c>
      <c r="B24" s="304" t="s">
        <v>1467</v>
      </c>
      <c r="C24" s="316">
        <f>+C23-7654865</f>
        <v>12421262.446691997</v>
      </c>
      <c r="D24" s="314"/>
    </row>
    <row r="25" spans="1:6">
      <c r="A25" s="315" t="s">
        <v>1205</v>
      </c>
      <c r="B25" s="304" t="s">
        <v>1466</v>
      </c>
      <c r="C25" s="316">
        <f>+'49_NĐ31'!D40</f>
        <v>21150793.408598997</v>
      </c>
      <c r="D25" s="314"/>
    </row>
    <row r="26" spans="1:6">
      <c r="A26" s="310">
        <v>3</v>
      </c>
      <c r="B26" s="302" t="s">
        <v>1493</v>
      </c>
      <c r="C26" s="306" t="e">
        <f>+#REF!</f>
        <v>#REF!</v>
      </c>
      <c r="D26" s="314" t="s">
        <v>1516</v>
      </c>
      <c r="E26" s="213">
        <v>27196299</v>
      </c>
      <c r="F26" s="78">
        <f>+'62'!D23+'62'!D41</f>
        <v>26004169.279194001</v>
      </c>
    </row>
    <row r="27" spans="1:6" s="299" customFormat="1">
      <c r="A27" s="317" t="s">
        <v>1206</v>
      </c>
      <c r="B27" s="305" t="s">
        <v>1494</v>
      </c>
      <c r="C27" s="318" t="e">
        <f>+#REF!</f>
        <v>#REF!</v>
      </c>
      <c r="D27" s="314" t="s">
        <v>1491</v>
      </c>
      <c r="E27" s="298"/>
    </row>
    <row r="28" spans="1:6">
      <c r="A28" s="310"/>
      <c r="B28" s="304" t="s">
        <v>84</v>
      </c>
      <c r="C28" s="306"/>
      <c r="D28" s="314"/>
    </row>
    <row r="29" spans="1:6" s="199" customFormat="1">
      <c r="A29" s="312"/>
      <c r="B29" s="303" t="s">
        <v>1468</v>
      </c>
      <c r="C29" s="313" t="e">
        <f>+#REF!</f>
        <v>#REF!</v>
      </c>
      <c r="D29" s="314"/>
      <c r="E29" s="296"/>
    </row>
    <row r="30" spans="1:6" s="199" customFormat="1">
      <c r="A30" s="312"/>
      <c r="B30" s="303" t="s">
        <v>20</v>
      </c>
      <c r="C30" s="313" t="e">
        <f>+#REF!</f>
        <v>#REF!</v>
      </c>
      <c r="D30" s="314"/>
      <c r="E30" s="296"/>
    </row>
    <row r="31" spans="1:6" s="199" customFormat="1" ht="15.75">
      <c r="A31" s="312"/>
      <c r="B31" s="2" t="s">
        <v>21</v>
      </c>
      <c r="C31" s="313" t="e">
        <f>+#REF!</f>
        <v>#REF!</v>
      </c>
      <c r="D31" s="314"/>
      <c r="E31" s="296"/>
    </row>
    <row r="32" spans="1:6" s="199" customFormat="1" ht="15.75">
      <c r="A32" s="312"/>
      <c r="B32" s="90" t="s">
        <v>40</v>
      </c>
      <c r="C32" s="313" t="e">
        <f>+#REF!</f>
        <v>#REF!</v>
      </c>
      <c r="D32" s="314"/>
      <c r="E32" s="296"/>
    </row>
    <row r="33" spans="1:6" s="199" customFormat="1" ht="47.25">
      <c r="A33" s="312"/>
      <c r="B33" s="90" t="s">
        <v>1447</v>
      </c>
      <c r="C33" s="313" t="e">
        <f>+#REF!</f>
        <v>#REF!</v>
      </c>
      <c r="D33" s="314"/>
      <c r="E33" s="296"/>
    </row>
    <row r="34" spans="1:6" ht="15.75">
      <c r="A34" s="315" t="s">
        <v>1207</v>
      </c>
      <c r="B34" s="1" t="s">
        <v>1489</v>
      </c>
      <c r="C34" s="316" t="e">
        <f>+#REF!</f>
        <v>#REF!</v>
      </c>
      <c r="D34" s="314" t="s">
        <v>1491</v>
      </c>
    </row>
    <row r="35" spans="1:6" ht="15.75">
      <c r="A35" s="315" t="s">
        <v>1208</v>
      </c>
      <c r="B35" s="1" t="s">
        <v>44</v>
      </c>
      <c r="C35" s="316" t="e">
        <f>+#REF!</f>
        <v>#REF!</v>
      </c>
      <c r="D35" s="314" t="s">
        <v>1491</v>
      </c>
    </row>
    <row r="36" spans="1:6" ht="15.75">
      <c r="A36" s="315" t="s">
        <v>1209</v>
      </c>
      <c r="B36" s="282" t="s">
        <v>1490</v>
      </c>
      <c r="C36" s="316" t="e">
        <f>+#REF!</f>
        <v>#REF!</v>
      </c>
      <c r="D36" s="314" t="s">
        <v>1491</v>
      </c>
    </row>
    <row r="37" spans="1:6" s="79" customFormat="1" ht="30">
      <c r="A37" s="310">
        <v>4</v>
      </c>
      <c r="B37" s="302" t="s">
        <v>1487</v>
      </c>
      <c r="C37" s="306" t="e">
        <f>+#REF!</f>
        <v>#REF!</v>
      </c>
      <c r="D37" s="314" t="s">
        <v>1488</v>
      </c>
      <c r="E37" s="216"/>
    </row>
    <row r="38" spans="1:6" s="79" customFormat="1">
      <c r="A38" s="310">
        <v>5</v>
      </c>
      <c r="B38" s="302" t="s">
        <v>1485</v>
      </c>
      <c r="C38" s="306" t="e">
        <f>+#REF!</f>
        <v>#REF!</v>
      </c>
      <c r="D38" s="314" t="s">
        <v>1486</v>
      </c>
      <c r="E38" s="216"/>
    </row>
    <row r="39" spans="1:6" ht="45">
      <c r="A39" s="315" t="s">
        <v>1470</v>
      </c>
      <c r="B39" s="304" t="s">
        <v>1482</v>
      </c>
      <c r="C39" s="316" t="e">
        <f>+#REF!</f>
        <v>#REF!</v>
      </c>
      <c r="D39" s="314" t="s">
        <v>1484</v>
      </c>
      <c r="E39" s="213">
        <f>20076127+160000</f>
        <v>20236127</v>
      </c>
      <c r="F39" s="78" t="e">
        <f>+E39-C39</f>
        <v>#REF!</v>
      </c>
    </row>
    <row r="40" spans="1:6">
      <c r="A40" s="315" t="s">
        <v>1471</v>
      </c>
      <c r="B40" s="304" t="s">
        <v>1466</v>
      </c>
      <c r="C40" s="316" t="e">
        <f>+#REF!</f>
        <v>#REF!</v>
      </c>
      <c r="D40" s="314" t="s">
        <v>1483</v>
      </c>
    </row>
    <row r="41" spans="1:6" ht="28.5">
      <c r="A41" s="310">
        <v>6</v>
      </c>
      <c r="B41" s="302" t="s">
        <v>1475</v>
      </c>
      <c r="C41" s="306" t="e">
        <f>+#REF!+#REF!+#REF!</f>
        <v>#REF!</v>
      </c>
      <c r="D41" s="314"/>
    </row>
    <row r="42" spans="1:6" s="79" customFormat="1" ht="14.25">
      <c r="A42" s="310"/>
      <c r="B42" s="302" t="s">
        <v>84</v>
      </c>
      <c r="C42" s="306"/>
      <c r="D42" s="311"/>
      <c r="E42" s="216"/>
    </row>
    <row r="43" spans="1:6">
      <c r="A43" s="315"/>
      <c r="B43" s="304" t="s">
        <v>1472</v>
      </c>
      <c r="C43" s="316" t="e">
        <f>+#REF!</f>
        <v>#REF!</v>
      </c>
      <c r="D43" s="314"/>
    </row>
    <row r="44" spans="1:6">
      <c r="A44" s="315"/>
      <c r="B44" s="304" t="s">
        <v>1473</v>
      </c>
      <c r="C44" s="316" t="e">
        <f>+#REF!</f>
        <v>#REF!</v>
      </c>
      <c r="D44" s="314"/>
    </row>
    <row r="45" spans="1:6">
      <c r="A45" s="315"/>
      <c r="B45" s="304" t="s">
        <v>1474</v>
      </c>
      <c r="C45" s="316" t="e">
        <f>+#REF!</f>
        <v>#REF!</v>
      </c>
      <c r="D45" s="314"/>
    </row>
    <row r="46" spans="1:6" ht="45">
      <c r="A46" s="315"/>
      <c r="B46" s="302" t="s">
        <v>1476</v>
      </c>
      <c r="C46" s="306" t="e">
        <f>+C41-C39</f>
        <v>#REF!</v>
      </c>
      <c r="D46" s="314" t="s">
        <v>1517</v>
      </c>
      <c r="E46" s="213">
        <v>4879016</v>
      </c>
      <c r="F46" s="78" t="e">
        <f>+E46-C46</f>
        <v>#REF!</v>
      </c>
    </row>
    <row r="47" spans="1:6" s="79" customFormat="1" ht="45">
      <c r="A47" s="310">
        <v>7</v>
      </c>
      <c r="B47" s="302" t="s">
        <v>1480</v>
      </c>
      <c r="C47" s="306">
        <f>+'Bieu mau 55-NĐ31'!D10</f>
        <v>2711744.378759</v>
      </c>
      <c r="D47" s="314" t="s">
        <v>1481</v>
      </c>
      <c r="E47" s="216"/>
    </row>
    <row r="48" spans="1:6" s="79" customFormat="1" ht="60">
      <c r="A48" s="310">
        <v>8</v>
      </c>
      <c r="B48" s="302" t="s">
        <v>1477</v>
      </c>
      <c r="C48" s="306">
        <f>+'56_NĐ31'!D12</f>
        <v>2713620.649604999</v>
      </c>
      <c r="D48" s="314" t="s">
        <v>1518</v>
      </c>
      <c r="E48" s="216">
        <f>2636996+8750+67875</f>
        <v>2713621</v>
      </c>
    </row>
    <row r="49" spans="1:5" s="79" customFormat="1">
      <c r="A49" s="310">
        <v>9</v>
      </c>
      <c r="B49" s="302" t="s">
        <v>1478</v>
      </c>
      <c r="C49" s="306">
        <f>+'57_NĐ31'!G11</f>
        <v>2713620.649604999</v>
      </c>
      <c r="D49" s="314" t="s">
        <v>1479</v>
      </c>
      <c r="E49" s="216"/>
    </row>
    <row r="50" spans="1:5" s="79" customFormat="1" ht="28.5">
      <c r="A50" s="310">
        <v>10</v>
      </c>
      <c r="B50" s="302" t="s">
        <v>1495</v>
      </c>
      <c r="C50" s="306" t="e">
        <f>+#REF!+#REF!+#REF!</f>
        <v>#REF!</v>
      </c>
      <c r="D50" s="311" t="s">
        <v>1496</v>
      </c>
      <c r="E50" s="216"/>
    </row>
    <row r="51" spans="1:5">
      <c r="A51" s="315"/>
      <c r="B51" s="304" t="s">
        <v>84</v>
      </c>
      <c r="C51" s="316"/>
      <c r="D51" s="314"/>
    </row>
    <row r="52" spans="1:5" s="199" customFormat="1" ht="30">
      <c r="A52" s="312"/>
      <c r="B52" s="303" t="s">
        <v>1497</v>
      </c>
      <c r="C52" s="313" t="e">
        <f>+#REF!</f>
        <v>#REF!</v>
      </c>
      <c r="D52" s="314" t="s">
        <v>1498</v>
      </c>
      <c r="E52" s="296"/>
    </row>
    <row r="53" spans="1:5" s="199" customFormat="1" ht="30">
      <c r="A53" s="312"/>
      <c r="B53" s="303" t="s">
        <v>1500</v>
      </c>
      <c r="C53" s="313" t="e">
        <f>+#REF!</f>
        <v>#REF!</v>
      </c>
      <c r="D53" s="314" t="s">
        <v>1496</v>
      </c>
      <c r="E53" s="296"/>
    </row>
    <row r="54" spans="1:5" s="199" customFormat="1" ht="30">
      <c r="A54" s="312"/>
      <c r="B54" s="303" t="s">
        <v>1499</v>
      </c>
      <c r="C54" s="313" t="e">
        <f>+#REF!</f>
        <v>#REF!</v>
      </c>
      <c r="D54" s="314" t="s">
        <v>1496</v>
      </c>
      <c r="E54" s="296"/>
    </row>
    <row r="55" spans="1:5" s="79" customFormat="1" ht="30">
      <c r="A55" s="310">
        <v>11</v>
      </c>
      <c r="B55" s="302" t="s">
        <v>1501</v>
      </c>
      <c r="C55" s="306" t="e">
        <f>+'60_NĐ31 Thu(Huyen, xa)'!C10</f>
        <v>#REF!</v>
      </c>
      <c r="D55" s="314" t="s">
        <v>1502</v>
      </c>
      <c r="E55" s="216"/>
    </row>
    <row r="56" spans="1:5" ht="30">
      <c r="A56" s="310">
        <v>12</v>
      </c>
      <c r="B56" s="302" t="s">
        <v>1503</v>
      </c>
      <c r="C56" s="306" t="e">
        <f>+#REF!</f>
        <v>#REF!</v>
      </c>
      <c r="D56" s="314" t="s">
        <v>1504</v>
      </c>
    </row>
    <row r="57" spans="1:5" s="79" customFormat="1" ht="14.25">
      <c r="A57" s="310">
        <v>13</v>
      </c>
      <c r="B57" s="302" t="s">
        <v>1505</v>
      </c>
      <c r="C57" s="306">
        <f>+' 62_NĐ31_'!Y12</f>
        <v>2564970.9527529986</v>
      </c>
      <c r="D57" s="311"/>
      <c r="E57" s="216"/>
    </row>
    <row r="58" spans="1:5" ht="60">
      <c r="A58" s="319"/>
      <c r="B58" s="307" t="s">
        <v>1506</v>
      </c>
      <c r="C58" s="320">
        <f>+C47-C57+1</f>
        <v>146774.42600600142</v>
      </c>
      <c r="D58" s="321" t="s">
        <v>1507</v>
      </c>
    </row>
  </sheetData>
  <pageMargins left="0.45" right="0.39"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1"/>
  <sheetViews>
    <sheetView topLeftCell="A4" workbookViewId="0">
      <pane xSplit="4" ySplit="4" topLeftCell="E8" activePane="bottomRight" state="frozen"/>
      <selection activeCell="A4" sqref="A4"/>
      <selection pane="topRight" activeCell="E4" sqref="E4"/>
      <selection pane="bottomLeft" activeCell="A8" sqref="A8"/>
      <selection pane="bottomRight" activeCell="D22" sqref="D1:D1048576"/>
    </sheetView>
  </sheetViews>
  <sheetFormatPr defaultColWidth="9.140625" defaultRowHeight="15.75"/>
  <cols>
    <col min="1" max="1" width="4.42578125" style="159" customWidth="1"/>
    <col min="2" max="2" width="7" style="159" hidden="1" customWidth="1"/>
    <col min="3" max="3" width="11.28515625" style="159" hidden="1" customWidth="1"/>
    <col min="4" max="4" width="23.140625" style="159" customWidth="1"/>
    <col min="5" max="5" width="10.42578125" style="159" customWidth="1"/>
    <col min="6" max="6" width="10.28515625" style="159" hidden="1" customWidth="1"/>
    <col min="7" max="7" width="11.7109375" style="159" hidden="1" customWidth="1"/>
    <col min="8" max="8" width="9.28515625" style="159" hidden="1" customWidth="1"/>
    <col min="9" max="9" width="11.28515625" style="159" hidden="1" customWidth="1"/>
    <col min="10" max="10" width="10.5703125" style="159" hidden="1" customWidth="1"/>
    <col min="11" max="11" width="8.85546875" style="159" hidden="1" customWidth="1"/>
    <col min="12" max="12" width="10.28515625" style="159" hidden="1" customWidth="1"/>
    <col min="13" max="13" width="11.42578125" style="159" hidden="1" customWidth="1"/>
    <col min="14" max="14" width="8.42578125" style="159" hidden="1" customWidth="1"/>
    <col min="15" max="15" width="12.28515625" style="159" hidden="1" customWidth="1"/>
    <col min="16" max="16" width="9.7109375" style="159" hidden="1" customWidth="1"/>
    <col min="17" max="17" width="8.5703125" style="159" hidden="1" customWidth="1"/>
    <col min="18" max="18" width="9.85546875" style="159" hidden="1" customWidth="1"/>
    <col min="19" max="19" width="20" style="159" customWidth="1"/>
    <col min="20" max="28" width="13.7109375" style="159" customWidth="1"/>
    <col min="29" max="29" width="10.42578125" style="160" customWidth="1"/>
    <col min="30" max="31" width="10.140625" style="159" bestFit="1" customWidth="1"/>
    <col min="32" max="16384" width="9.140625" style="159"/>
  </cols>
  <sheetData>
    <row r="1" spans="1:34">
      <c r="A1" s="537" t="s">
        <v>1237</v>
      </c>
      <c r="B1" s="537"/>
      <c r="C1" s="537"/>
      <c r="D1" s="537"/>
      <c r="E1" s="120"/>
    </row>
    <row r="2" spans="1:34">
      <c r="A2" s="538" t="s">
        <v>1238</v>
      </c>
      <c r="B2" s="538"/>
      <c r="C2" s="538"/>
      <c r="D2" s="538"/>
      <c r="E2" s="120"/>
    </row>
    <row r="3" spans="1:34">
      <c r="A3" s="539" t="s">
        <v>1239</v>
      </c>
      <c r="B3" s="539"/>
      <c r="C3" s="539"/>
      <c r="D3" s="539"/>
      <c r="E3" s="539"/>
      <c r="F3" s="539"/>
      <c r="G3" s="539"/>
      <c r="H3" s="539"/>
      <c r="I3" s="539"/>
      <c r="J3" s="539"/>
      <c r="K3" s="539"/>
      <c r="L3" s="539"/>
      <c r="M3" s="539"/>
      <c r="N3" s="539"/>
      <c r="O3" s="539"/>
      <c r="P3" s="539"/>
      <c r="Q3" s="539"/>
      <c r="R3" s="539"/>
      <c r="S3" s="539"/>
      <c r="T3" s="539"/>
      <c r="U3" s="121"/>
      <c r="V3" s="121"/>
      <c r="W3" s="121"/>
      <c r="X3" s="121"/>
      <c r="Y3" s="121"/>
      <c r="Z3" s="121"/>
      <c r="AA3" s="121"/>
      <c r="AB3" s="121"/>
    </row>
    <row r="4" spans="1:34">
      <c r="A4" s="122"/>
      <c r="B4" s="123"/>
      <c r="C4" s="123"/>
      <c r="D4" s="122"/>
      <c r="E4" s="124"/>
      <c r="F4" s="160"/>
      <c r="G4" s="160"/>
      <c r="H4" s="160"/>
      <c r="I4" s="160"/>
      <c r="J4" s="160"/>
      <c r="K4" s="160"/>
      <c r="L4" s="160" t="e">
        <f>+L8+O8</f>
        <v>#REF!</v>
      </c>
      <c r="M4" s="160"/>
      <c r="N4" s="160"/>
      <c r="O4" s="160" t="e">
        <f>+O8+R8</f>
        <v>#REF!</v>
      </c>
      <c r="P4" s="160"/>
      <c r="Q4" s="160"/>
      <c r="R4" s="160"/>
      <c r="S4" s="540" t="s">
        <v>1166</v>
      </c>
      <c r="T4" s="540"/>
      <c r="U4" s="161"/>
      <c r="V4" s="161"/>
      <c r="W4" s="161"/>
      <c r="X4" s="161"/>
      <c r="Y4" s="161"/>
      <c r="Z4" s="161"/>
      <c r="AA4" s="161"/>
      <c r="AB4" s="161"/>
      <c r="AC4" s="125"/>
    </row>
    <row r="5" spans="1:34" ht="15.75" customHeight="1">
      <c r="A5" s="530" t="s">
        <v>1</v>
      </c>
      <c r="B5" s="530" t="s">
        <v>1240</v>
      </c>
      <c r="C5" s="530"/>
      <c r="D5" s="530" t="s">
        <v>1241</v>
      </c>
      <c r="E5" s="130" t="s">
        <v>22</v>
      </c>
      <c r="F5" s="530" t="s">
        <v>1242</v>
      </c>
      <c r="G5" s="534" t="s">
        <v>1243</v>
      </c>
      <c r="H5" s="536" t="s">
        <v>22</v>
      </c>
      <c r="I5" s="536"/>
      <c r="J5" s="526" t="s">
        <v>84</v>
      </c>
      <c r="K5" s="527"/>
      <c r="L5" s="527"/>
      <c r="M5" s="527"/>
      <c r="N5" s="527"/>
      <c r="O5" s="527"/>
      <c r="P5" s="527"/>
      <c r="Q5" s="126"/>
      <c r="R5" s="126"/>
      <c r="S5" s="528" t="s">
        <v>1244</v>
      </c>
      <c r="T5" s="530" t="s">
        <v>1245</v>
      </c>
      <c r="U5" s="127"/>
      <c r="V5" s="127"/>
      <c r="W5" s="127"/>
      <c r="X5" s="127"/>
      <c r="Y5" s="127"/>
      <c r="Z5" s="127"/>
      <c r="AA5" s="127"/>
      <c r="AB5" s="127"/>
    </row>
    <row r="6" spans="1:34" ht="118.5" customHeight="1">
      <c r="A6" s="530"/>
      <c r="B6" s="128" t="s">
        <v>1246</v>
      </c>
      <c r="C6" s="128" t="s">
        <v>1247</v>
      </c>
      <c r="D6" s="530"/>
      <c r="E6" s="129" t="s">
        <v>1248</v>
      </c>
      <c r="F6" s="530"/>
      <c r="G6" s="535"/>
      <c r="H6" s="129" t="s">
        <v>1248</v>
      </c>
      <c r="I6" s="129" t="s">
        <v>1249</v>
      </c>
      <c r="J6" s="130" t="s">
        <v>1250</v>
      </c>
      <c r="K6" s="129" t="s">
        <v>1248</v>
      </c>
      <c r="L6" s="129" t="s">
        <v>1249</v>
      </c>
      <c r="M6" s="130" t="s">
        <v>1251</v>
      </c>
      <c r="N6" s="129" t="s">
        <v>1248</v>
      </c>
      <c r="O6" s="129" t="s">
        <v>1249</v>
      </c>
      <c r="P6" s="130" t="s">
        <v>1252</v>
      </c>
      <c r="Q6" s="129" t="s">
        <v>1248</v>
      </c>
      <c r="R6" s="129" t="s">
        <v>1249</v>
      </c>
      <c r="S6" s="529"/>
      <c r="T6" s="530"/>
      <c r="U6" s="198" t="e">
        <f>+#REF!</f>
        <v>#REF!</v>
      </c>
      <c r="V6" s="198" t="e">
        <f>+U6-E8</f>
        <v>#REF!</v>
      </c>
      <c r="W6" s="198">
        <f>+'[3]Bieu 65_Chi MT_MLNS '!$C$30</f>
        <v>555182.28925999999</v>
      </c>
      <c r="X6" s="198">
        <f>+W6-E8</f>
        <v>31604.310028999927</v>
      </c>
      <c r="Y6" s="127"/>
      <c r="Z6" s="127"/>
      <c r="AA6" s="127"/>
      <c r="AB6" s="127"/>
      <c r="AC6" s="131"/>
    </row>
    <row r="7" spans="1:34" s="164" customFormat="1" ht="12.75">
      <c r="A7" s="132" t="s">
        <v>3</v>
      </c>
      <c r="B7" s="132" t="s">
        <v>4</v>
      </c>
      <c r="C7" s="132" t="s">
        <v>10</v>
      </c>
      <c r="D7" s="132" t="s">
        <v>4</v>
      </c>
      <c r="E7" s="133" t="s">
        <v>1253</v>
      </c>
      <c r="F7" s="162" t="s">
        <v>1254</v>
      </c>
      <c r="G7" s="162">
        <v>7</v>
      </c>
      <c r="H7" s="162" t="s">
        <v>1255</v>
      </c>
      <c r="I7" s="162" t="s">
        <v>1256</v>
      </c>
      <c r="J7" s="162">
        <v>8</v>
      </c>
      <c r="K7" s="162" t="s">
        <v>1257</v>
      </c>
      <c r="L7" s="162" t="s">
        <v>1258</v>
      </c>
      <c r="M7" s="162">
        <v>9</v>
      </c>
      <c r="N7" s="162" t="s">
        <v>1259</v>
      </c>
      <c r="O7" s="162" t="s">
        <v>1260</v>
      </c>
      <c r="P7" s="162">
        <v>10</v>
      </c>
      <c r="Q7" s="162" t="s">
        <v>1261</v>
      </c>
      <c r="R7" s="162" t="s">
        <v>1262</v>
      </c>
      <c r="S7" s="162">
        <v>11</v>
      </c>
      <c r="T7" s="162">
        <v>12</v>
      </c>
      <c r="U7" s="163" t="s">
        <v>1263</v>
      </c>
      <c r="V7" s="163" t="s">
        <v>1264</v>
      </c>
      <c r="W7" s="163" t="s">
        <v>1356</v>
      </c>
      <c r="X7" s="163" t="s">
        <v>1265</v>
      </c>
      <c r="Y7" s="163" t="s">
        <v>1266</v>
      </c>
      <c r="Z7" s="163" t="s">
        <v>1267</v>
      </c>
      <c r="AA7" s="163" t="s">
        <v>1268</v>
      </c>
      <c r="AB7" s="163" t="s">
        <v>1269</v>
      </c>
      <c r="AE7" s="165" t="s">
        <v>1194</v>
      </c>
      <c r="AF7" s="164" t="s">
        <v>1201</v>
      </c>
    </row>
    <row r="8" spans="1:34" s="169" customFormat="1" ht="25.5" customHeight="1">
      <c r="A8" s="134"/>
      <c r="B8" s="134"/>
      <c r="C8" s="134"/>
      <c r="D8" s="134" t="s">
        <v>0</v>
      </c>
      <c r="E8" s="135">
        <f>SUM(E9:E52)</f>
        <v>523577.97923100006</v>
      </c>
      <c r="F8" s="135" t="e">
        <f>+#REF!+#REF!</f>
        <v>#REF!</v>
      </c>
      <c r="G8" s="135" t="e">
        <f>+#REF!+#REF!</f>
        <v>#REF!</v>
      </c>
      <c r="H8" s="135" t="e">
        <f>+#REF!+#REF!</f>
        <v>#REF!</v>
      </c>
      <c r="I8" s="135" t="e">
        <f>+#REF!+#REF!</f>
        <v>#REF!</v>
      </c>
      <c r="J8" s="135" t="e">
        <f>+#REF!+#REF!</f>
        <v>#REF!</v>
      </c>
      <c r="K8" s="135" t="e">
        <f>+#REF!+#REF!</f>
        <v>#REF!</v>
      </c>
      <c r="L8" s="135" t="e">
        <f>+#REF!+#REF!</f>
        <v>#REF!</v>
      </c>
      <c r="M8" s="135" t="e">
        <f>+#REF!+#REF!</f>
        <v>#REF!</v>
      </c>
      <c r="N8" s="135" t="e">
        <f>+#REF!+#REF!</f>
        <v>#REF!</v>
      </c>
      <c r="O8" s="135" t="e">
        <f>+#REF!+#REF!</f>
        <v>#REF!</v>
      </c>
      <c r="P8" s="135" t="e">
        <f>+#REF!+#REF!</f>
        <v>#REF!</v>
      </c>
      <c r="Q8" s="135" t="e">
        <f>+#REF!+#REF!</f>
        <v>#REF!</v>
      </c>
      <c r="R8" s="135" t="e">
        <f>+#REF!+#REF!</f>
        <v>#REF!</v>
      </c>
      <c r="S8" s="135"/>
      <c r="T8" s="166"/>
      <c r="U8" s="136">
        <f>SUM(U9:U48)</f>
        <v>170491.491392</v>
      </c>
      <c r="V8" s="136">
        <f t="shared" ref="V8:AB8" si="0">SUM(V9:V48)</f>
        <v>275</v>
      </c>
      <c r="W8" s="136">
        <f t="shared" si="0"/>
        <v>0</v>
      </c>
      <c r="X8" s="136">
        <f t="shared" si="0"/>
        <v>39164.724999999999</v>
      </c>
      <c r="Y8" s="136">
        <f t="shared" si="0"/>
        <v>4271</v>
      </c>
      <c r="Z8" s="136">
        <f t="shared" si="0"/>
        <v>185452.82083899999</v>
      </c>
      <c r="AA8" s="136">
        <f t="shared" si="0"/>
        <v>11560.072</v>
      </c>
      <c r="AB8" s="136">
        <f t="shared" si="0"/>
        <v>112362.87</v>
      </c>
      <c r="AC8" s="186">
        <f t="shared" ref="AC8:AC48" si="1">SUM(U8:AB8)</f>
        <v>523577.979231</v>
      </c>
      <c r="AD8" s="167">
        <f>+E8-AC8</f>
        <v>0</v>
      </c>
      <c r="AE8" s="168">
        <f>SUM(AE9:AE48)</f>
        <v>172436.77023300002</v>
      </c>
      <c r="AF8" s="168">
        <f>SUM(AF9:AF48)</f>
        <v>351141.20899800002</v>
      </c>
      <c r="AG8" s="168">
        <f>+AF8+AE8</f>
        <v>523577.97923100006</v>
      </c>
      <c r="AH8" s="168">
        <f>+AG8-E8</f>
        <v>0</v>
      </c>
    </row>
    <row r="9" spans="1:34" ht="47.25">
      <c r="A9" s="137"/>
      <c r="B9" s="138">
        <v>640</v>
      </c>
      <c r="C9" s="139">
        <v>42769</v>
      </c>
      <c r="D9" s="140" t="s">
        <v>1270</v>
      </c>
      <c r="E9" s="173">
        <v>8757.5697209999998</v>
      </c>
      <c r="F9" s="173">
        <v>0</v>
      </c>
      <c r="G9" s="173" t="e">
        <f>+H9+I9</f>
        <v>#REF!</v>
      </c>
      <c r="H9" s="173" t="e">
        <f>+#REF!-E9</f>
        <v>#REF!</v>
      </c>
      <c r="I9" s="173"/>
      <c r="J9" s="116">
        <v>0</v>
      </c>
      <c r="K9" s="116"/>
      <c r="L9" s="116"/>
      <c r="M9" s="116"/>
      <c r="N9" s="116"/>
      <c r="O9" s="116"/>
      <c r="P9" s="116"/>
      <c r="Q9" s="117"/>
      <c r="R9" s="117"/>
      <c r="S9" s="531" t="s">
        <v>1271</v>
      </c>
      <c r="T9" s="116"/>
      <c r="U9" s="174"/>
      <c r="V9" s="174"/>
      <c r="W9" s="174"/>
      <c r="X9" s="174"/>
      <c r="Y9" s="174"/>
      <c r="Z9" s="175">
        <f>+E9</f>
        <v>8757.5697209999998</v>
      </c>
      <c r="AA9" s="174"/>
      <c r="AB9" s="174"/>
      <c r="AC9" s="160">
        <f t="shared" si="1"/>
        <v>8757.5697209999998</v>
      </c>
      <c r="AD9" s="167">
        <f t="shared" ref="AD9:AD48" si="2">+E9-AC9</f>
        <v>0</v>
      </c>
      <c r="AE9" s="160">
        <f>+E9</f>
        <v>8757.5697209999998</v>
      </c>
      <c r="AH9" s="160">
        <f t="shared" ref="AH9:AH48" si="3">+E9-AE9-AF9</f>
        <v>0</v>
      </c>
    </row>
    <row r="10" spans="1:34" ht="31.5">
      <c r="A10" s="137"/>
      <c r="B10" s="138">
        <v>640</v>
      </c>
      <c r="C10" s="139">
        <v>42769</v>
      </c>
      <c r="D10" s="140" t="s">
        <v>1272</v>
      </c>
      <c r="E10" s="173">
        <f>2345+2734</f>
        <v>5079</v>
      </c>
      <c r="F10" s="173">
        <v>0</v>
      </c>
      <c r="G10" s="173" t="e">
        <f t="shared" ref="G10:G32" si="4">+H10+I10</f>
        <v>#REF!</v>
      </c>
      <c r="H10" s="173" t="e">
        <f>+#REF!-E10</f>
        <v>#REF!</v>
      </c>
      <c r="I10" s="173"/>
      <c r="J10" s="116">
        <v>0</v>
      </c>
      <c r="K10" s="116"/>
      <c r="L10" s="116"/>
      <c r="M10" s="116"/>
      <c r="N10" s="116"/>
      <c r="O10" s="116"/>
      <c r="P10" s="116"/>
      <c r="Q10" s="176"/>
      <c r="R10" s="176"/>
      <c r="S10" s="532"/>
      <c r="T10" s="116"/>
      <c r="U10" s="174"/>
      <c r="V10" s="174"/>
      <c r="W10" s="174"/>
      <c r="X10" s="174"/>
      <c r="Y10" s="174"/>
      <c r="Z10" s="175">
        <f>+E10</f>
        <v>5079</v>
      </c>
      <c r="AA10" s="174"/>
      <c r="AB10" s="174"/>
      <c r="AC10" s="160">
        <f t="shared" si="1"/>
        <v>5079</v>
      </c>
      <c r="AD10" s="167">
        <f t="shared" si="2"/>
        <v>0</v>
      </c>
      <c r="AE10" s="160">
        <f>+E10</f>
        <v>5079</v>
      </c>
      <c r="AH10" s="160">
        <f t="shared" si="3"/>
        <v>0</v>
      </c>
    </row>
    <row r="11" spans="1:34" ht="63">
      <c r="A11" s="137"/>
      <c r="B11" s="138">
        <v>640</v>
      </c>
      <c r="C11" s="139">
        <v>42769</v>
      </c>
      <c r="D11" s="140" t="s">
        <v>1273</v>
      </c>
      <c r="E11" s="173">
        <v>2000</v>
      </c>
      <c r="F11" s="173">
        <v>0</v>
      </c>
      <c r="G11" s="173">
        <f t="shared" si="4"/>
        <v>0</v>
      </c>
      <c r="H11" s="173"/>
      <c r="I11" s="173"/>
      <c r="J11" s="116">
        <v>0</v>
      </c>
      <c r="K11" s="116"/>
      <c r="L11" s="116"/>
      <c r="M11" s="173"/>
      <c r="N11" s="173"/>
      <c r="O11" s="173"/>
      <c r="P11" s="116"/>
      <c r="Q11" s="116"/>
      <c r="R11" s="116"/>
      <c r="S11" s="177" t="s">
        <v>1274</v>
      </c>
      <c r="T11" s="116"/>
      <c r="U11" s="175">
        <f t="shared" ref="U11:U17" si="5">+E11</f>
        <v>2000</v>
      </c>
      <c r="V11" s="175"/>
      <c r="W11" s="175"/>
      <c r="X11" s="175"/>
      <c r="Y11" s="175"/>
      <c r="Z11" s="174"/>
      <c r="AA11" s="174"/>
      <c r="AB11" s="174"/>
      <c r="AC11" s="160">
        <f t="shared" si="1"/>
        <v>2000</v>
      </c>
      <c r="AD11" s="167">
        <f t="shared" si="2"/>
        <v>0</v>
      </c>
      <c r="AE11" s="160">
        <f>+E11</f>
        <v>2000</v>
      </c>
      <c r="AH11" s="160">
        <f t="shared" si="3"/>
        <v>0</v>
      </c>
    </row>
    <row r="12" spans="1:34" ht="63">
      <c r="A12" s="146"/>
      <c r="B12" s="138" t="s">
        <v>1276</v>
      </c>
      <c r="C12" s="139" t="s">
        <v>1277</v>
      </c>
      <c r="D12" s="143" t="s">
        <v>1360</v>
      </c>
      <c r="E12" s="173">
        <v>67667</v>
      </c>
      <c r="F12" s="173">
        <v>14239.958855999999</v>
      </c>
      <c r="G12" s="173">
        <f t="shared" si="4"/>
        <v>27670.803855999999</v>
      </c>
      <c r="H12" s="173">
        <f>+J12+P12</f>
        <v>27670.803855999999</v>
      </c>
      <c r="I12" s="173"/>
      <c r="J12" s="173">
        <v>14239.958855999999</v>
      </c>
      <c r="K12" s="173">
        <f>J12</f>
        <v>14239.958855999999</v>
      </c>
      <c r="L12" s="173"/>
      <c r="M12" s="173"/>
      <c r="N12" s="173"/>
      <c r="O12" s="173"/>
      <c r="P12" s="173">
        <v>13430.844999999998</v>
      </c>
      <c r="Q12" s="173">
        <f>P12</f>
        <v>13430.844999999998</v>
      </c>
      <c r="R12" s="173"/>
      <c r="S12" s="116" t="s">
        <v>1278</v>
      </c>
      <c r="T12" s="116" t="s">
        <v>1279</v>
      </c>
      <c r="U12" s="175">
        <f t="shared" si="5"/>
        <v>67667</v>
      </c>
      <c r="V12" s="175"/>
      <c r="W12" s="175"/>
      <c r="X12" s="175"/>
      <c r="Y12" s="175"/>
      <c r="Z12" s="174"/>
      <c r="AA12" s="174"/>
      <c r="AB12" s="174"/>
      <c r="AC12" s="160">
        <f t="shared" si="1"/>
        <v>67667</v>
      </c>
      <c r="AD12" s="167">
        <f t="shared" si="2"/>
        <v>0</v>
      </c>
      <c r="AF12" s="160">
        <f>+E12</f>
        <v>67667</v>
      </c>
      <c r="AH12" s="160">
        <f t="shared" si="3"/>
        <v>0</v>
      </c>
    </row>
    <row r="13" spans="1:34" ht="31.5">
      <c r="A13" s="146"/>
      <c r="B13" s="147" t="s">
        <v>1280</v>
      </c>
      <c r="C13" s="148" t="s">
        <v>1281</v>
      </c>
      <c r="D13" s="143" t="s">
        <v>1282</v>
      </c>
      <c r="E13" s="173">
        <v>21422</v>
      </c>
      <c r="F13" s="173"/>
      <c r="G13" s="173">
        <f t="shared" si="4"/>
        <v>0</v>
      </c>
      <c r="H13" s="173"/>
      <c r="I13" s="173"/>
      <c r="J13" s="116">
        <v>0</v>
      </c>
      <c r="K13" s="116"/>
      <c r="L13" s="116"/>
      <c r="M13" s="116"/>
      <c r="N13" s="116"/>
      <c r="O13" s="116"/>
      <c r="P13" s="116"/>
      <c r="Q13" s="116"/>
      <c r="R13" s="116"/>
      <c r="S13" s="116" t="s">
        <v>1278</v>
      </c>
      <c r="T13" s="116"/>
      <c r="U13" s="175">
        <f t="shared" si="5"/>
        <v>21422</v>
      </c>
      <c r="V13" s="175"/>
      <c r="W13" s="175"/>
      <c r="X13" s="175"/>
      <c r="Y13" s="175"/>
      <c r="Z13" s="174"/>
      <c r="AA13" s="174"/>
      <c r="AB13" s="174"/>
      <c r="AC13" s="160">
        <f t="shared" si="1"/>
        <v>21422</v>
      </c>
      <c r="AD13" s="167">
        <f t="shared" si="2"/>
        <v>0</v>
      </c>
      <c r="AF13" s="160">
        <f>+E13</f>
        <v>21422</v>
      </c>
      <c r="AH13" s="160">
        <f t="shared" si="3"/>
        <v>0</v>
      </c>
    </row>
    <row r="14" spans="1:34" ht="31.5">
      <c r="A14" s="146"/>
      <c r="B14" s="138">
        <v>640</v>
      </c>
      <c r="C14" s="139">
        <v>42769</v>
      </c>
      <c r="D14" s="143" t="s">
        <v>1283</v>
      </c>
      <c r="E14" s="173">
        <v>2673</v>
      </c>
      <c r="F14" s="173">
        <v>381.5</v>
      </c>
      <c r="G14" s="173">
        <f t="shared" si="4"/>
        <v>381.5</v>
      </c>
      <c r="H14" s="173">
        <v>381.5</v>
      </c>
      <c r="I14" s="173"/>
      <c r="J14" s="173">
        <v>381.5</v>
      </c>
      <c r="K14" s="173">
        <f>J14</f>
        <v>381.5</v>
      </c>
      <c r="L14" s="173"/>
      <c r="M14" s="173"/>
      <c r="N14" s="173"/>
      <c r="O14" s="173"/>
      <c r="P14" s="173"/>
      <c r="Q14" s="173"/>
      <c r="R14" s="173"/>
      <c r="S14" s="116" t="s">
        <v>1278</v>
      </c>
      <c r="T14" s="116"/>
      <c r="U14" s="175">
        <f t="shared" si="5"/>
        <v>2673</v>
      </c>
      <c r="V14" s="175"/>
      <c r="W14" s="175"/>
      <c r="X14" s="175"/>
      <c r="Y14" s="175"/>
      <c r="Z14" s="174"/>
      <c r="AA14" s="174"/>
      <c r="AB14" s="174"/>
      <c r="AC14" s="160">
        <f t="shared" si="1"/>
        <v>2673</v>
      </c>
      <c r="AD14" s="167">
        <f t="shared" si="2"/>
        <v>0</v>
      </c>
      <c r="AF14" s="160">
        <f>+E14</f>
        <v>2673</v>
      </c>
      <c r="AH14" s="160">
        <f t="shared" si="3"/>
        <v>0</v>
      </c>
    </row>
    <row r="15" spans="1:34" ht="78.75">
      <c r="A15" s="146"/>
      <c r="B15" s="138" t="s">
        <v>1280</v>
      </c>
      <c r="C15" s="139" t="s">
        <v>1281</v>
      </c>
      <c r="D15" s="143" t="s">
        <v>1361</v>
      </c>
      <c r="E15" s="173">
        <f>54110+11551.657</f>
        <v>65661.657000000007</v>
      </c>
      <c r="F15" s="173" t="e">
        <f>38390.428-#REF!</f>
        <v>#REF!</v>
      </c>
      <c r="G15" s="173">
        <f t="shared" si="4"/>
        <v>1487</v>
      </c>
      <c r="H15" s="145">
        <v>1487</v>
      </c>
      <c r="I15" s="173"/>
      <c r="J15" s="145">
        <v>1487</v>
      </c>
      <c r="K15" s="145">
        <f>J15</f>
        <v>1487</v>
      </c>
      <c r="L15" s="145"/>
      <c r="M15" s="145"/>
      <c r="N15" s="145"/>
      <c r="O15" s="145"/>
      <c r="P15" s="145"/>
      <c r="Q15" s="145"/>
      <c r="R15" s="145"/>
      <c r="S15" s="116" t="s">
        <v>1278</v>
      </c>
      <c r="T15" s="116"/>
      <c r="U15" s="175">
        <f t="shared" si="5"/>
        <v>65661.657000000007</v>
      </c>
      <c r="V15" s="175"/>
      <c r="W15" s="175"/>
      <c r="X15" s="175"/>
      <c r="Y15" s="175"/>
      <c r="Z15" s="174"/>
      <c r="AA15" s="174"/>
      <c r="AB15" s="174"/>
      <c r="AC15" s="160">
        <f t="shared" si="1"/>
        <v>65661.657000000007</v>
      </c>
      <c r="AD15" s="167">
        <f t="shared" si="2"/>
        <v>0</v>
      </c>
      <c r="AE15" s="160">
        <f>+E15</f>
        <v>65661.657000000007</v>
      </c>
      <c r="AH15" s="160">
        <f t="shared" si="3"/>
        <v>0</v>
      </c>
    </row>
    <row r="16" spans="1:34" ht="141.75">
      <c r="A16" s="146"/>
      <c r="B16" s="138" t="s">
        <v>1284</v>
      </c>
      <c r="C16" s="139" t="s">
        <v>1285</v>
      </c>
      <c r="D16" s="143" t="s">
        <v>1286</v>
      </c>
      <c r="E16" s="173">
        <v>6871.8343919999998</v>
      </c>
      <c r="F16" s="173"/>
      <c r="G16" s="173">
        <f t="shared" si="4"/>
        <v>0</v>
      </c>
      <c r="H16" s="173"/>
      <c r="I16" s="173"/>
      <c r="J16" s="116">
        <v>0</v>
      </c>
      <c r="K16" s="116"/>
      <c r="L16" s="116"/>
      <c r="M16" s="116"/>
      <c r="N16" s="116"/>
      <c r="O16" s="116"/>
      <c r="P16" s="116"/>
      <c r="Q16" s="116"/>
      <c r="R16" s="116"/>
      <c r="S16" s="116" t="s">
        <v>1278</v>
      </c>
      <c r="T16" s="116"/>
      <c r="U16" s="175">
        <f t="shared" si="5"/>
        <v>6871.8343919999998</v>
      </c>
      <c r="V16" s="175"/>
      <c r="W16" s="175"/>
      <c r="X16" s="175"/>
      <c r="Y16" s="175"/>
      <c r="Z16" s="174"/>
      <c r="AA16" s="174"/>
      <c r="AB16" s="174"/>
      <c r="AC16" s="160">
        <f t="shared" si="1"/>
        <v>6871.8343919999998</v>
      </c>
      <c r="AD16" s="167">
        <f t="shared" si="2"/>
        <v>0</v>
      </c>
      <c r="AE16" s="160"/>
      <c r="AF16" s="160">
        <f>+E16</f>
        <v>6871.8343919999998</v>
      </c>
      <c r="AH16" s="160">
        <f t="shared" si="3"/>
        <v>0</v>
      </c>
    </row>
    <row r="17" spans="1:34" ht="94.5">
      <c r="A17" s="146"/>
      <c r="B17" s="147">
        <v>640</v>
      </c>
      <c r="C17" s="148">
        <v>42769</v>
      </c>
      <c r="D17" s="144" t="s">
        <v>1287</v>
      </c>
      <c r="E17" s="173">
        <v>4196</v>
      </c>
      <c r="F17" s="173">
        <v>2813.9799999999996</v>
      </c>
      <c r="G17" s="173">
        <f t="shared" si="4"/>
        <v>2813.98</v>
      </c>
      <c r="H17" s="173">
        <v>2813.98</v>
      </c>
      <c r="I17" s="173"/>
      <c r="J17" s="173">
        <v>2813.98</v>
      </c>
      <c r="K17" s="173">
        <f>J17</f>
        <v>2813.98</v>
      </c>
      <c r="L17" s="173"/>
      <c r="M17" s="173"/>
      <c r="N17" s="173"/>
      <c r="O17" s="173"/>
      <c r="P17" s="173"/>
      <c r="Q17" s="173"/>
      <c r="R17" s="173"/>
      <c r="S17" s="116" t="s">
        <v>1288</v>
      </c>
      <c r="T17" s="116" t="s">
        <v>1279</v>
      </c>
      <c r="U17" s="175">
        <f t="shared" si="5"/>
        <v>4196</v>
      </c>
      <c r="V17" s="175"/>
      <c r="W17" s="175"/>
      <c r="X17" s="175"/>
      <c r="Y17" s="175"/>
      <c r="Z17" s="174"/>
      <c r="AA17" s="174"/>
      <c r="AB17" s="174"/>
      <c r="AC17" s="160">
        <f t="shared" si="1"/>
        <v>4196</v>
      </c>
      <c r="AD17" s="167">
        <f t="shared" si="2"/>
        <v>0</v>
      </c>
      <c r="AE17" s="160">
        <f>+E17</f>
        <v>4196</v>
      </c>
      <c r="AH17" s="160">
        <f t="shared" si="3"/>
        <v>0</v>
      </c>
    </row>
    <row r="18" spans="1:34" ht="31.5">
      <c r="A18" s="146"/>
      <c r="B18" s="147">
        <v>640</v>
      </c>
      <c r="C18" s="148">
        <v>42769</v>
      </c>
      <c r="D18" s="143" t="s">
        <v>1289</v>
      </c>
      <c r="E18" s="173">
        <v>586</v>
      </c>
      <c r="F18" s="173">
        <v>645.7829999999999</v>
      </c>
      <c r="G18" s="173">
        <f t="shared" si="4"/>
        <v>645.78300000000002</v>
      </c>
      <c r="H18" s="173">
        <v>645.78300000000002</v>
      </c>
      <c r="I18" s="173"/>
      <c r="J18" s="173">
        <v>645.78300000000002</v>
      </c>
      <c r="K18" s="173">
        <f>J18</f>
        <v>645.78300000000002</v>
      </c>
      <c r="L18" s="173"/>
      <c r="M18" s="173"/>
      <c r="N18" s="173"/>
      <c r="O18" s="173"/>
      <c r="P18" s="173"/>
      <c r="Q18" s="173"/>
      <c r="R18" s="173"/>
      <c r="S18" s="116" t="s">
        <v>1275</v>
      </c>
      <c r="T18" s="116"/>
      <c r="U18" s="174"/>
      <c r="V18" s="174"/>
      <c r="W18" s="174"/>
      <c r="X18" s="174"/>
      <c r="Y18" s="175">
        <f>+E18</f>
        <v>586</v>
      </c>
      <c r="Z18" s="174"/>
      <c r="AA18" s="174"/>
      <c r="AB18" s="174"/>
      <c r="AC18" s="160">
        <f t="shared" si="1"/>
        <v>586</v>
      </c>
      <c r="AD18" s="167">
        <f t="shared" si="2"/>
        <v>0</v>
      </c>
      <c r="AF18" s="160">
        <f>+E18</f>
        <v>586</v>
      </c>
      <c r="AH18" s="160">
        <f t="shared" si="3"/>
        <v>0</v>
      </c>
    </row>
    <row r="19" spans="1:34" ht="94.5">
      <c r="A19" s="146"/>
      <c r="B19" s="147">
        <v>640</v>
      </c>
      <c r="C19" s="148">
        <v>42769</v>
      </c>
      <c r="D19" s="143" t="s">
        <v>1290</v>
      </c>
      <c r="E19" s="173">
        <v>87832</v>
      </c>
      <c r="F19" s="173"/>
      <c r="G19" s="173">
        <f t="shared" si="4"/>
        <v>0</v>
      </c>
      <c r="H19" s="173"/>
      <c r="I19" s="173"/>
      <c r="J19" s="116">
        <v>0</v>
      </c>
      <c r="K19" s="116"/>
      <c r="L19" s="116"/>
      <c r="M19" s="116"/>
      <c r="N19" s="116"/>
      <c r="O19" s="116"/>
      <c r="P19" s="116"/>
      <c r="Q19" s="116"/>
      <c r="R19" s="116"/>
      <c r="S19" s="116" t="s">
        <v>1278</v>
      </c>
      <c r="T19" s="116"/>
      <c r="U19" s="174"/>
      <c r="V19" s="174"/>
      <c r="W19" s="174"/>
      <c r="X19" s="174"/>
      <c r="Y19" s="174"/>
      <c r="Z19" s="174"/>
      <c r="AA19" s="174"/>
      <c r="AB19" s="175">
        <f>+E19</f>
        <v>87832</v>
      </c>
      <c r="AC19" s="160">
        <f t="shared" si="1"/>
        <v>87832</v>
      </c>
      <c r="AD19" s="167">
        <f t="shared" si="2"/>
        <v>0</v>
      </c>
      <c r="AE19" s="160"/>
      <c r="AF19" s="160">
        <f>+E19</f>
        <v>87832</v>
      </c>
      <c r="AH19" s="160">
        <f t="shared" si="3"/>
        <v>0</v>
      </c>
    </row>
    <row r="20" spans="1:34" ht="78.75">
      <c r="A20" s="146"/>
      <c r="B20" s="147">
        <v>640</v>
      </c>
      <c r="C20" s="148">
        <v>42769</v>
      </c>
      <c r="D20" s="143" t="s">
        <v>1291</v>
      </c>
      <c r="E20" s="173">
        <f>1055.37+5833+2000.5</f>
        <v>8888.869999999999</v>
      </c>
      <c r="F20" s="173">
        <v>0</v>
      </c>
      <c r="G20" s="173">
        <f t="shared" si="4"/>
        <v>0</v>
      </c>
      <c r="H20" s="173"/>
      <c r="I20" s="173"/>
      <c r="J20" s="116">
        <v>0</v>
      </c>
      <c r="K20" s="116"/>
      <c r="L20" s="116"/>
      <c r="M20" s="116"/>
      <c r="N20" s="116"/>
      <c r="O20" s="116"/>
      <c r="P20" s="116"/>
      <c r="Q20" s="116"/>
      <c r="R20" s="116"/>
      <c r="S20" s="116" t="s">
        <v>194</v>
      </c>
      <c r="T20" s="116"/>
      <c r="U20" s="174"/>
      <c r="V20" s="174"/>
      <c r="W20" s="174"/>
      <c r="X20" s="174"/>
      <c r="Y20" s="174"/>
      <c r="Z20" s="174"/>
      <c r="AA20" s="174"/>
      <c r="AB20" s="175">
        <f>+E20</f>
        <v>8888.869999999999</v>
      </c>
      <c r="AC20" s="160">
        <f t="shared" si="1"/>
        <v>8888.869999999999</v>
      </c>
      <c r="AD20" s="167">
        <f t="shared" si="2"/>
        <v>0</v>
      </c>
      <c r="AE20" s="160">
        <f>+E20</f>
        <v>8888.869999999999</v>
      </c>
      <c r="AH20" s="160">
        <f t="shared" si="3"/>
        <v>0</v>
      </c>
    </row>
    <row r="21" spans="1:34" ht="47.25">
      <c r="A21" s="146"/>
      <c r="B21" s="147" t="s">
        <v>1280</v>
      </c>
      <c r="C21" s="148" t="s">
        <v>1281</v>
      </c>
      <c r="D21" s="143" t="s">
        <v>1292</v>
      </c>
      <c r="E21" s="173">
        <v>12042</v>
      </c>
      <c r="F21" s="173"/>
      <c r="G21" s="173">
        <f t="shared" si="4"/>
        <v>0</v>
      </c>
      <c r="H21" s="173"/>
      <c r="I21" s="173"/>
      <c r="J21" s="116">
        <v>0</v>
      </c>
      <c r="K21" s="116"/>
      <c r="L21" s="116"/>
      <c r="M21" s="116"/>
      <c r="N21" s="116"/>
      <c r="O21" s="116"/>
      <c r="P21" s="116"/>
      <c r="Q21" s="116"/>
      <c r="R21" s="116"/>
      <c r="S21" s="116" t="s">
        <v>1278</v>
      </c>
      <c r="T21" s="116"/>
      <c r="U21" s="174"/>
      <c r="V21" s="174"/>
      <c r="W21" s="174"/>
      <c r="X21" s="174"/>
      <c r="Y21" s="174"/>
      <c r="Z21" s="174"/>
      <c r="AA21" s="174"/>
      <c r="AB21" s="175">
        <f>+E21</f>
        <v>12042</v>
      </c>
      <c r="AC21" s="160">
        <f t="shared" si="1"/>
        <v>12042</v>
      </c>
      <c r="AD21" s="167">
        <f t="shared" si="2"/>
        <v>0</v>
      </c>
      <c r="AF21" s="160">
        <f>+E21</f>
        <v>12042</v>
      </c>
      <c r="AH21" s="160">
        <f t="shared" si="3"/>
        <v>0</v>
      </c>
    </row>
    <row r="22" spans="1:34" ht="63">
      <c r="A22" s="146"/>
      <c r="B22" s="147">
        <v>640</v>
      </c>
      <c r="C22" s="148">
        <v>42769</v>
      </c>
      <c r="D22" s="143" t="s">
        <v>1293</v>
      </c>
      <c r="E22" s="173">
        <v>534</v>
      </c>
      <c r="F22" s="173">
        <v>0</v>
      </c>
      <c r="G22" s="173">
        <f t="shared" si="4"/>
        <v>0</v>
      </c>
      <c r="H22" s="173"/>
      <c r="I22" s="173"/>
      <c r="J22" s="116">
        <v>0</v>
      </c>
      <c r="K22" s="116"/>
      <c r="L22" s="116"/>
      <c r="M22" s="116"/>
      <c r="N22" s="116"/>
      <c r="O22" s="116"/>
      <c r="P22" s="116"/>
      <c r="Q22" s="116"/>
      <c r="R22" s="116"/>
      <c r="S22" s="116" t="s">
        <v>139</v>
      </c>
      <c r="T22" s="116"/>
      <c r="U22" s="174"/>
      <c r="V22" s="174"/>
      <c r="W22" s="174"/>
      <c r="X22" s="174"/>
      <c r="Y22" s="174"/>
      <c r="Z22" s="174"/>
      <c r="AA22" s="175">
        <f>+E22</f>
        <v>534</v>
      </c>
      <c r="AB22" s="174"/>
      <c r="AC22" s="160">
        <f t="shared" si="1"/>
        <v>534</v>
      </c>
      <c r="AD22" s="167">
        <f t="shared" si="2"/>
        <v>0</v>
      </c>
      <c r="AE22" s="160">
        <f>+E22</f>
        <v>534</v>
      </c>
      <c r="AH22" s="160">
        <f t="shared" si="3"/>
        <v>0</v>
      </c>
    </row>
    <row r="23" spans="1:34" ht="63">
      <c r="A23" s="146"/>
      <c r="B23" s="147">
        <v>640</v>
      </c>
      <c r="C23" s="148">
        <v>42769</v>
      </c>
      <c r="D23" s="143" t="s">
        <v>1294</v>
      </c>
      <c r="E23" s="173">
        <v>275</v>
      </c>
      <c r="F23" s="173">
        <v>3662.9157</v>
      </c>
      <c r="G23" s="173">
        <f t="shared" si="4"/>
        <v>3662.9157</v>
      </c>
      <c r="H23" s="173">
        <v>3662.9157</v>
      </c>
      <c r="I23" s="173"/>
      <c r="J23" s="173">
        <v>3662.9157</v>
      </c>
      <c r="K23" s="173">
        <f>J23</f>
        <v>3662.9157</v>
      </c>
      <c r="L23" s="173"/>
      <c r="M23" s="173"/>
      <c r="N23" s="173"/>
      <c r="O23" s="173"/>
      <c r="P23" s="173"/>
      <c r="Q23" s="173"/>
      <c r="R23" s="173"/>
      <c r="S23" s="116" t="s">
        <v>121</v>
      </c>
      <c r="T23" s="116" t="s">
        <v>1295</v>
      </c>
      <c r="U23" s="174"/>
      <c r="V23" s="175">
        <f>+E23</f>
        <v>275</v>
      </c>
      <c r="W23" s="175"/>
      <c r="X23" s="175"/>
      <c r="Y23" s="174"/>
      <c r="Z23" s="174"/>
      <c r="AA23" s="174"/>
      <c r="AB23" s="174"/>
      <c r="AC23" s="160">
        <f t="shared" si="1"/>
        <v>275</v>
      </c>
      <c r="AD23" s="167">
        <f t="shared" si="2"/>
        <v>0</v>
      </c>
      <c r="AE23" s="160">
        <f>+E23</f>
        <v>275</v>
      </c>
      <c r="AH23" s="160">
        <f t="shared" si="3"/>
        <v>0</v>
      </c>
    </row>
    <row r="24" spans="1:34" ht="31.5">
      <c r="A24" s="146"/>
      <c r="B24" s="147">
        <v>1072</v>
      </c>
      <c r="C24" s="147" t="s">
        <v>1296</v>
      </c>
      <c r="D24" s="143" t="s">
        <v>1297</v>
      </c>
      <c r="E24" s="173">
        <v>156.80000000000001</v>
      </c>
      <c r="F24" s="173">
        <v>0</v>
      </c>
      <c r="G24" s="173">
        <f t="shared" si="4"/>
        <v>0</v>
      </c>
      <c r="H24" s="173"/>
      <c r="I24" s="173"/>
      <c r="J24" s="116">
        <v>0</v>
      </c>
      <c r="K24" s="116"/>
      <c r="L24" s="116"/>
      <c r="M24" s="116"/>
      <c r="N24" s="116"/>
      <c r="O24" s="116"/>
      <c r="P24" s="116"/>
      <c r="Q24" s="116"/>
      <c r="R24" s="116"/>
      <c r="S24" s="116" t="s">
        <v>1278</v>
      </c>
      <c r="T24" s="116"/>
      <c r="U24" s="174"/>
      <c r="V24" s="174"/>
      <c r="W24" s="174"/>
      <c r="X24" s="174"/>
      <c r="Y24" s="174"/>
      <c r="Z24" s="175">
        <f>+E24</f>
        <v>156.80000000000001</v>
      </c>
      <c r="AA24" s="174"/>
      <c r="AB24" s="174"/>
      <c r="AC24" s="160">
        <f t="shared" si="1"/>
        <v>156.80000000000001</v>
      </c>
      <c r="AD24" s="167">
        <f t="shared" si="2"/>
        <v>0</v>
      </c>
      <c r="AF24" s="160">
        <f>+E24</f>
        <v>156.80000000000001</v>
      </c>
      <c r="AH24" s="160">
        <f t="shared" si="3"/>
        <v>0</v>
      </c>
    </row>
    <row r="25" spans="1:34" ht="47.25">
      <c r="A25" s="146"/>
      <c r="B25" s="147">
        <v>640</v>
      </c>
      <c r="C25" s="148">
        <v>42769</v>
      </c>
      <c r="D25" s="143" t="s">
        <v>1362</v>
      </c>
      <c r="E25" s="142">
        <v>1121</v>
      </c>
      <c r="F25" s="173">
        <v>0</v>
      </c>
      <c r="G25" s="173">
        <f t="shared" si="4"/>
        <v>0</v>
      </c>
      <c r="H25" s="173"/>
      <c r="I25" s="173"/>
      <c r="J25" s="116">
        <v>0</v>
      </c>
      <c r="K25" s="116"/>
      <c r="L25" s="116"/>
      <c r="M25" s="173" t="e">
        <f>+#REF!-#REF!</f>
        <v>#REF!</v>
      </c>
      <c r="N25" s="173"/>
      <c r="O25" s="173"/>
      <c r="P25" s="116"/>
      <c r="Q25" s="116"/>
      <c r="R25" s="116"/>
      <c r="S25" s="116" t="s">
        <v>1298</v>
      </c>
      <c r="T25" s="116"/>
      <c r="U25" s="174"/>
      <c r="V25" s="174"/>
      <c r="W25" s="174"/>
      <c r="X25" s="174"/>
      <c r="Y25" s="174"/>
      <c r="Z25" s="175">
        <f>+E25</f>
        <v>1121</v>
      </c>
      <c r="AA25" s="174"/>
      <c r="AB25" s="174"/>
      <c r="AC25" s="160">
        <f t="shared" si="1"/>
        <v>1121</v>
      </c>
      <c r="AD25" s="167">
        <f t="shared" si="2"/>
        <v>0</v>
      </c>
      <c r="AF25" s="160">
        <f>+E25</f>
        <v>1121</v>
      </c>
      <c r="AH25" s="160">
        <f t="shared" si="3"/>
        <v>0</v>
      </c>
    </row>
    <row r="26" spans="1:34" ht="47.25">
      <c r="A26" s="146"/>
      <c r="B26" s="147">
        <v>640</v>
      </c>
      <c r="C26" s="148">
        <v>42769</v>
      </c>
      <c r="D26" s="149" t="s">
        <v>1299</v>
      </c>
      <c r="E26" s="141">
        <f>38061.976-20662+10000</f>
        <v>27399.976000000002</v>
      </c>
      <c r="F26" s="173">
        <v>0</v>
      </c>
      <c r="G26" s="173">
        <f t="shared" si="4"/>
        <v>0</v>
      </c>
      <c r="H26" s="173"/>
      <c r="I26" s="173"/>
      <c r="J26" s="116">
        <v>0</v>
      </c>
      <c r="K26" s="116"/>
      <c r="L26" s="116"/>
      <c r="M26" s="173" t="e">
        <f>+#REF!-#REF!</f>
        <v>#REF!</v>
      </c>
      <c r="N26" s="173"/>
      <c r="O26" s="173"/>
      <c r="P26" s="116"/>
      <c r="Q26" s="116"/>
      <c r="R26" s="116"/>
      <c r="S26" s="116" t="s">
        <v>1278</v>
      </c>
      <c r="T26" s="116"/>
      <c r="U26" s="174"/>
      <c r="V26" s="174"/>
      <c r="W26" s="174"/>
      <c r="X26" s="174"/>
      <c r="Y26" s="174"/>
      <c r="Z26" s="175">
        <f>+E26</f>
        <v>27399.976000000002</v>
      </c>
      <c r="AA26" s="174"/>
      <c r="AB26" s="174"/>
      <c r="AC26" s="160">
        <f t="shared" si="1"/>
        <v>27399.976000000002</v>
      </c>
      <c r="AD26" s="167">
        <f t="shared" si="2"/>
        <v>0</v>
      </c>
      <c r="AF26" s="160">
        <f>+E26</f>
        <v>27399.976000000002</v>
      </c>
      <c r="AH26" s="160">
        <f t="shared" si="3"/>
        <v>0</v>
      </c>
    </row>
    <row r="27" spans="1:34" ht="47.25">
      <c r="A27" s="146"/>
      <c r="B27" s="147">
        <v>890</v>
      </c>
      <c r="C27" s="147" t="s">
        <v>1300</v>
      </c>
      <c r="D27" s="144" t="s">
        <v>1363</v>
      </c>
      <c r="E27" s="141">
        <f>23755+3132</f>
        <v>26887</v>
      </c>
      <c r="F27" s="173">
        <v>0</v>
      </c>
      <c r="G27" s="173">
        <f t="shared" si="4"/>
        <v>0</v>
      </c>
      <c r="H27" s="173"/>
      <c r="I27" s="173"/>
      <c r="J27" s="116">
        <v>0</v>
      </c>
      <c r="K27" s="116"/>
      <c r="L27" s="116"/>
      <c r="M27" s="116"/>
      <c r="N27" s="116"/>
      <c r="O27" s="116"/>
      <c r="P27" s="116"/>
      <c r="Q27" s="116"/>
      <c r="R27" s="116"/>
      <c r="S27" s="116" t="s">
        <v>1301</v>
      </c>
      <c r="T27" s="116"/>
      <c r="U27" s="174"/>
      <c r="V27" s="174"/>
      <c r="W27" s="174"/>
      <c r="X27" s="175">
        <f>+E27</f>
        <v>26887</v>
      </c>
      <c r="Y27" s="174"/>
      <c r="Z27" s="174"/>
      <c r="AA27" s="174"/>
      <c r="AB27" s="174"/>
      <c r="AC27" s="160">
        <f t="shared" si="1"/>
        <v>26887</v>
      </c>
      <c r="AD27" s="167">
        <f t="shared" si="2"/>
        <v>0</v>
      </c>
      <c r="AE27" s="160">
        <f>+E27</f>
        <v>26887</v>
      </c>
      <c r="AH27" s="160">
        <f t="shared" si="3"/>
        <v>0</v>
      </c>
    </row>
    <row r="28" spans="1:34" ht="63">
      <c r="A28" s="146"/>
      <c r="B28" s="147">
        <v>890</v>
      </c>
      <c r="C28" s="147" t="s">
        <v>1300</v>
      </c>
      <c r="D28" s="143" t="s">
        <v>1304</v>
      </c>
      <c r="E28" s="142">
        <v>14262</v>
      </c>
      <c r="F28" s="173">
        <v>0</v>
      </c>
      <c r="G28" s="173">
        <f t="shared" si="4"/>
        <v>0</v>
      </c>
      <c r="H28" s="173"/>
      <c r="I28" s="173"/>
      <c r="J28" s="116">
        <v>0</v>
      </c>
      <c r="K28" s="116"/>
      <c r="L28" s="116"/>
      <c r="M28" s="116"/>
      <c r="N28" s="116"/>
      <c r="O28" s="116"/>
      <c r="P28" s="116"/>
      <c r="Q28" s="116"/>
      <c r="R28" s="116"/>
      <c r="S28" s="116" t="s">
        <v>1305</v>
      </c>
      <c r="T28" s="116"/>
      <c r="U28" s="174"/>
      <c r="V28" s="174"/>
      <c r="W28" s="174"/>
      <c r="X28" s="174"/>
      <c r="Y28" s="174"/>
      <c r="Z28" s="175">
        <f>+E28</f>
        <v>14262</v>
      </c>
      <c r="AA28" s="174"/>
      <c r="AB28" s="174"/>
      <c r="AC28" s="160">
        <f t="shared" si="1"/>
        <v>14262</v>
      </c>
      <c r="AD28" s="167">
        <f t="shared" si="2"/>
        <v>0</v>
      </c>
      <c r="AE28" s="160">
        <f>+E28</f>
        <v>14262</v>
      </c>
      <c r="AH28" s="160">
        <f t="shared" si="3"/>
        <v>0</v>
      </c>
    </row>
    <row r="29" spans="1:34" ht="78.75">
      <c r="A29" s="146"/>
      <c r="B29" s="147" t="s">
        <v>1302</v>
      </c>
      <c r="C29" s="147" t="s">
        <v>1303</v>
      </c>
      <c r="D29" s="143" t="s">
        <v>1306</v>
      </c>
      <c r="E29" s="142">
        <v>824</v>
      </c>
      <c r="F29" s="173">
        <v>0</v>
      </c>
      <c r="G29" s="173">
        <f t="shared" si="4"/>
        <v>0</v>
      </c>
      <c r="H29" s="173"/>
      <c r="I29" s="173"/>
      <c r="J29" s="116">
        <v>0</v>
      </c>
      <c r="K29" s="116"/>
      <c r="L29" s="116"/>
      <c r="M29" s="116"/>
      <c r="N29" s="116"/>
      <c r="O29" s="116"/>
      <c r="P29" s="116"/>
      <c r="Q29" s="116"/>
      <c r="R29" s="116"/>
      <c r="S29" s="116" t="s">
        <v>1278</v>
      </c>
      <c r="T29" s="116"/>
      <c r="U29" s="174"/>
      <c r="V29" s="174"/>
      <c r="W29" s="174"/>
      <c r="X29" s="174"/>
      <c r="Y29" s="174"/>
      <c r="Z29" s="175">
        <f>+E29</f>
        <v>824</v>
      </c>
      <c r="AA29" s="174"/>
      <c r="AB29" s="174"/>
      <c r="AC29" s="160">
        <f t="shared" si="1"/>
        <v>824</v>
      </c>
      <c r="AD29" s="167">
        <f t="shared" si="2"/>
        <v>0</v>
      </c>
      <c r="AF29" s="160">
        <f>+E29</f>
        <v>824</v>
      </c>
      <c r="AH29" s="160">
        <f t="shared" si="3"/>
        <v>0</v>
      </c>
    </row>
    <row r="30" spans="1:34" ht="63">
      <c r="A30" s="146"/>
      <c r="B30" s="147">
        <v>890</v>
      </c>
      <c r="C30" s="147" t="s">
        <v>1300</v>
      </c>
      <c r="D30" s="143" t="s">
        <v>1307</v>
      </c>
      <c r="E30" s="142">
        <v>7265</v>
      </c>
      <c r="F30" s="173">
        <v>0</v>
      </c>
      <c r="G30" s="173">
        <f t="shared" si="4"/>
        <v>0</v>
      </c>
      <c r="H30" s="173"/>
      <c r="I30" s="173"/>
      <c r="J30" s="116">
        <v>0</v>
      </c>
      <c r="K30" s="116"/>
      <c r="L30" s="116"/>
      <c r="M30" s="116"/>
      <c r="N30" s="116"/>
      <c r="O30" s="116"/>
      <c r="P30" s="116"/>
      <c r="Q30" s="116"/>
      <c r="R30" s="116"/>
      <c r="S30" s="116" t="s">
        <v>1278</v>
      </c>
      <c r="T30" s="116"/>
      <c r="U30" s="174"/>
      <c r="V30" s="174"/>
      <c r="W30" s="174"/>
      <c r="X30" s="174"/>
      <c r="Y30" s="174"/>
      <c r="Z30" s="174"/>
      <c r="AA30" s="175">
        <f>+E30</f>
        <v>7265</v>
      </c>
      <c r="AB30" s="174"/>
      <c r="AC30" s="160">
        <f t="shared" si="1"/>
        <v>7265</v>
      </c>
      <c r="AD30" s="167">
        <f t="shared" si="2"/>
        <v>0</v>
      </c>
      <c r="AF30" s="160">
        <f>+E30</f>
        <v>7265</v>
      </c>
      <c r="AH30" s="160">
        <f t="shared" si="3"/>
        <v>0</v>
      </c>
    </row>
    <row r="31" spans="1:34" ht="47.25">
      <c r="A31" s="146"/>
      <c r="B31" s="147">
        <v>890</v>
      </c>
      <c r="C31" s="147" t="s">
        <v>1300</v>
      </c>
      <c r="D31" s="143" t="s">
        <v>1308</v>
      </c>
      <c r="E31" s="142">
        <v>18.725000000000001</v>
      </c>
      <c r="F31" s="173">
        <v>0</v>
      </c>
      <c r="G31" s="173">
        <f t="shared" si="4"/>
        <v>0</v>
      </c>
      <c r="H31" s="173"/>
      <c r="I31" s="173"/>
      <c r="J31" s="116">
        <v>0</v>
      </c>
      <c r="K31" s="116"/>
      <c r="L31" s="116"/>
      <c r="M31" s="116"/>
      <c r="N31" s="116"/>
      <c r="O31" s="116"/>
      <c r="P31" s="116"/>
      <c r="Q31" s="116"/>
      <c r="R31" s="116"/>
      <c r="S31" s="116" t="s">
        <v>199</v>
      </c>
      <c r="T31" s="116"/>
      <c r="U31" s="174"/>
      <c r="V31" s="174"/>
      <c r="W31" s="174"/>
      <c r="X31" s="175">
        <f>+E31</f>
        <v>18.725000000000001</v>
      </c>
      <c r="Y31" s="174"/>
      <c r="Z31" s="174"/>
      <c r="AA31" s="174"/>
      <c r="AB31" s="174"/>
      <c r="AC31" s="160">
        <f t="shared" si="1"/>
        <v>18.725000000000001</v>
      </c>
      <c r="AD31" s="167">
        <f t="shared" si="2"/>
        <v>0</v>
      </c>
      <c r="AE31" s="160">
        <f>+E31</f>
        <v>18.725000000000001</v>
      </c>
      <c r="AH31" s="160">
        <f t="shared" si="3"/>
        <v>0</v>
      </c>
    </row>
    <row r="32" spans="1:34" s="183" customFormat="1" ht="78.75" hidden="1">
      <c r="A32" s="150"/>
      <c r="B32" s="151">
        <v>640</v>
      </c>
      <c r="C32" s="152">
        <v>42769</v>
      </c>
      <c r="D32" s="153" t="s">
        <v>1309</v>
      </c>
      <c r="E32" s="184"/>
      <c r="F32" s="181">
        <v>187</v>
      </c>
      <c r="G32" s="181">
        <f t="shared" si="4"/>
        <v>187</v>
      </c>
      <c r="H32" s="181">
        <v>187</v>
      </c>
      <c r="I32" s="181"/>
      <c r="J32" s="181">
        <v>187</v>
      </c>
      <c r="K32" s="181">
        <f>J32</f>
        <v>187</v>
      </c>
      <c r="L32" s="181"/>
      <c r="M32" s="181"/>
      <c r="N32" s="181"/>
      <c r="O32" s="181"/>
      <c r="P32" s="181"/>
      <c r="Q32" s="181"/>
      <c r="R32" s="181"/>
      <c r="S32" s="180" t="s">
        <v>1087</v>
      </c>
      <c r="T32" s="180"/>
      <c r="U32" s="182"/>
      <c r="V32" s="182"/>
      <c r="W32" s="182"/>
      <c r="X32" s="182"/>
      <c r="Y32" s="182"/>
      <c r="Z32" s="182"/>
      <c r="AA32" s="182"/>
      <c r="AB32" s="182"/>
      <c r="AC32" s="160">
        <f t="shared" si="1"/>
        <v>0</v>
      </c>
      <c r="AD32" s="167">
        <f t="shared" si="2"/>
        <v>0</v>
      </c>
      <c r="AH32" s="160">
        <f t="shared" si="3"/>
        <v>0</v>
      </c>
    </row>
    <row r="33" spans="1:34" s="172" customFormat="1" ht="47.25">
      <c r="A33" s="187"/>
      <c r="B33" s="170"/>
      <c r="C33" s="170"/>
      <c r="D33" s="116" t="s">
        <v>1310</v>
      </c>
      <c r="E33" s="154">
        <v>580</v>
      </c>
      <c r="F33" s="189" t="e">
        <f>+#REF!-#REF!+#REF!-#REF!</f>
        <v>#REF!</v>
      </c>
      <c r="G33" s="173">
        <f t="shared" ref="G33:G48" si="6">+H33+I33</f>
        <v>0</v>
      </c>
      <c r="H33" s="190"/>
      <c r="I33" s="190"/>
      <c r="J33" s="189"/>
      <c r="K33" s="189"/>
      <c r="L33" s="189"/>
      <c r="M33" s="189"/>
      <c r="N33" s="189"/>
      <c r="O33" s="189"/>
      <c r="P33" s="189"/>
      <c r="Q33" s="189"/>
      <c r="R33" s="189"/>
      <c r="S33" s="170"/>
      <c r="T33" s="170"/>
      <c r="U33" s="171"/>
      <c r="V33" s="171"/>
      <c r="W33" s="171"/>
      <c r="X33" s="171"/>
      <c r="Y33" s="171"/>
      <c r="Z33" s="171"/>
      <c r="AA33" s="192">
        <f>+E33</f>
        <v>580</v>
      </c>
      <c r="AB33" s="171"/>
      <c r="AC33" s="160">
        <f t="shared" si="1"/>
        <v>580</v>
      </c>
      <c r="AD33" s="167">
        <f t="shared" si="2"/>
        <v>0</v>
      </c>
      <c r="AE33" s="191">
        <f>+E33</f>
        <v>580</v>
      </c>
      <c r="AH33" s="160">
        <f t="shared" si="3"/>
        <v>0</v>
      </c>
    </row>
    <row r="34" spans="1:34" ht="78.75">
      <c r="A34" s="116"/>
      <c r="B34" s="116"/>
      <c r="C34" s="116"/>
      <c r="D34" s="155" t="s">
        <v>1311</v>
      </c>
      <c r="E34" s="188">
        <v>126.072</v>
      </c>
      <c r="F34" s="116"/>
      <c r="G34" s="173">
        <f t="shared" si="6"/>
        <v>0</v>
      </c>
      <c r="H34" s="190"/>
      <c r="I34" s="190"/>
      <c r="J34" s="116"/>
      <c r="K34" s="116"/>
      <c r="L34" s="116"/>
      <c r="M34" s="116"/>
      <c r="N34" s="116"/>
      <c r="O34" s="116"/>
      <c r="P34" s="116"/>
      <c r="Q34" s="116"/>
      <c r="R34" s="116"/>
      <c r="S34" s="116" t="s">
        <v>1278</v>
      </c>
      <c r="T34" s="116"/>
      <c r="U34" s="174"/>
      <c r="V34" s="174"/>
      <c r="W34" s="174"/>
      <c r="X34" s="174"/>
      <c r="Y34" s="174"/>
      <c r="Z34" s="174"/>
      <c r="AA34" s="192">
        <f>+E34</f>
        <v>126.072</v>
      </c>
      <c r="AB34" s="174"/>
      <c r="AC34" s="160">
        <f t="shared" si="1"/>
        <v>126.072</v>
      </c>
      <c r="AD34" s="167">
        <f t="shared" si="2"/>
        <v>0</v>
      </c>
      <c r="AF34" s="178">
        <f>+E34</f>
        <v>126.072</v>
      </c>
      <c r="AH34" s="160">
        <f t="shared" si="3"/>
        <v>0</v>
      </c>
    </row>
    <row r="35" spans="1:34" ht="78.75">
      <c r="A35" s="116"/>
      <c r="B35" s="116"/>
      <c r="C35" s="116"/>
      <c r="D35" s="156" t="s">
        <v>1313</v>
      </c>
      <c r="E35" s="188">
        <v>605</v>
      </c>
      <c r="F35" s="116"/>
      <c r="G35" s="173">
        <f t="shared" si="6"/>
        <v>0</v>
      </c>
      <c r="H35" s="190"/>
      <c r="I35" s="190"/>
      <c r="J35" s="116"/>
      <c r="K35" s="116"/>
      <c r="L35" s="116"/>
      <c r="M35" s="116"/>
      <c r="N35" s="116"/>
      <c r="O35" s="116"/>
      <c r="P35" s="116"/>
      <c r="Q35" s="116"/>
      <c r="R35" s="116"/>
      <c r="S35" s="116" t="s">
        <v>1314</v>
      </c>
      <c r="T35" s="116"/>
      <c r="U35" s="174"/>
      <c r="V35" s="174"/>
      <c r="W35" s="174"/>
      <c r="X35" s="174"/>
      <c r="Y35" s="174"/>
      <c r="Z35" s="174"/>
      <c r="AA35" s="174"/>
      <c r="AB35" s="192">
        <f>+E35</f>
        <v>605</v>
      </c>
      <c r="AC35" s="160">
        <f t="shared" si="1"/>
        <v>605</v>
      </c>
      <c r="AD35" s="167">
        <f t="shared" si="2"/>
        <v>0</v>
      </c>
      <c r="AE35" s="178">
        <f>+E35</f>
        <v>605</v>
      </c>
      <c r="AH35" s="160">
        <f t="shared" si="3"/>
        <v>0</v>
      </c>
    </row>
    <row r="36" spans="1:34" ht="78.75">
      <c r="A36" s="116"/>
      <c r="B36" s="116"/>
      <c r="C36" s="116"/>
      <c r="D36" s="155" t="s">
        <v>1316</v>
      </c>
      <c r="E36" s="188">
        <v>3055</v>
      </c>
      <c r="F36" s="116"/>
      <c r="G36" s="173">
        <f t="shared" si="6"/>
        <v>0</v>
      </c>
      <c r="H36" s="190"/>
      <c r="I36" s="190"/>
      <c r="J36" s="116"/>
      <c r="K36" s="116"/>
      <c r="L36" s="116"/>
      <c r="M36" s="116"/>
      <c r="N36" s="116"/>
      <c r="O36" s="116"/>
      <c r="P36" s="116"/>
      <c r="Q36" s="116"/>
      <c r="R36" s="116"/>
      <c r="S36" s="116" t="s">
        <v>1278</v>
      </c>
      <c r="T36" s="116"/>
      <c r="U36" s="174"/>
      <c r="V36" s="174"/>
      <c r="W36" s="174"/>
      <c r="X36" s="174"/>
      <c r="Y36" s="174"/>
      <c r="Z36" s="174"/>
      <c r="AA36" s="192">
        <f>+E36</f>
        <v>3055</v>
      </c>
      <c r="AB36" s="174"/>
      <c r="AC36" s="160">
        <f t="shared" si="1"/>
        <v>3055</v>
      </c>
      <c r="AD36" s="167">
        <f t="shared" si="2"/>
        <v>0</v>
      </c>
      <c r="AF36" s="178">
        <f>+E36</f>
        <v>3055</v>
      </c>
      <c r="AH36" s="160">
        <f t="shared" si="3"/>
        <v>0</v>
      </c>
    </row>
    <row r="37" spans="1:34" ht="63">
      <c r="A37" s="116"/>
      <c r="B37" s="116"/>
      <c r="C37" s="116"/>
      <c r="D37" s="155" t="s">
        <v>1317</v>
      </c>
      <c r="E37" s="188">
        <v>93187</v>
      </c>
      <c r="F37" s="116"/>
      <c r="G37" s="173">
        <f t="shared" si="6"/>
        <v>0</v>
      </c>
      <c r="H37" s="190"/>
      <c r="I37" s="190"/>
      <c r="J37" s="116"/>
      <c r="K37" s="116"/>
      <c r="L37" s="116"/>
      <c r="M37" s="116"/>
      <c r="N37" s="116"/>
      <c r="O37" s="116"/>
      <c r="P37" s="116"/>
      <c r="Q37" s="116"/>
      <c r="R37" s="116"/>
      <c r="S37" s="116" t="s">
        <v>1318</v>
      </c>
      <c r="T37" s="116"/>
      <c r="U37" s="174"/>
      <c r="V37" s="174"/>
      <c r="W37" s="174"/>
      <c r="X37" s="174"/>
      <c r="Y37" s="174"/>
      <c r="Z37" s="192">
        <f>+E37</f>
        <v>93187</v>
      </c>
      <c r="AA37" s="174"/>
      <c r="AB37" s="174"/>
      <c r="AC37" s="160">
        <f t="shared" si="1"/>
        <v>93187</v>
      </c>
      <c r="AD37" s="167">
        <f t="shared" si="2"/>
        <v>0</v>
      </c>
      <c r="AF37" s="178">
        <f>+E37</f>
        <v>93187</v>
      </c>
      <c r="AH37" s="160">
        <f t="shared" si="3"/>
        <v>0</v>
      </c>
    </row>
    <row r="38" spans="1:34" ht="78.75">
      <c r="A38" s="116"/>
      <c r="B38" s="116"/>
      <c r="C38" s="116"/>
      <c r="D38" s="157" t="s">
        <v>1319</v>
      </c>
      <c r="E38" s="188">
        <v>1950</v>
      </c>
      <c r="F38" s="116"/>
      <c r="G38" s="173">
        <f t="shared" si="6"/>
        <v>0</v>
      </c>
      <c r="H38" s="190"/>
      <c r="I38" s="190"/>
      <c r="J38" s="116"/>
      <c r="K38" s="116"/>
      <c r="L38" s="116"/>
      <c r="M38" s="116"/>
      <c r="N38" s="116"/>
      <c r="O38" s="116"/>
      <c r="P38" s="116"/>
      <c r="Q38" s="116"/>
      <c r="R38" s="116"/>
      <c r="S38" s="116" t="s">
        <v>1315</v>
      </c>
      <c r="T38" s="116"/>
      <c r="U38" s="174"/>
      <c r="V38" s="174"/>
      <c r="W38" s="174"/>
      <c r="X38" s="174"/>
      <c r="Y38" s="192">
        <f>+E38</f>
        <v>1950</v>
      </c>
      <c r="Z38" s="174"/>
      <c r="AA38" s="174"/>
      <c r="AB38" s="174"/>
      <c r="AC38" s="160">
        <f t="shared" si="1"/>
        <v>1950</v>
      </c>
      <c r="AD38" s="167">
        <f t="shared" si="2"/>
        <v>0</v>
      </c>
      <c r="AE38" s="178">
        <f>+E38</f>
        <v>1950</v>
      </c>
      <c r="AH38" s="160">
        <f t="shared" si="3"/>
        <v>0</v>
      </c>
    </row>
    <row r="39" spans="1:34" ht="47.25">
      <c r="A39" s="116"/>
      <c r="B39" s="116"/>
      <c r="C39" s="116"/>
      <c r="D39" s="155" t="s">
        <v>1320</v>
      </c>
      <c r="E39" s="188">
        <v>17098.461512000002</v>
      </c>
      <c r="F39" s="116"/>
      <c r="G39" s="173">
        <f t="shared" si="6"/>
        <v>7717.5384880000001</v>
      </c>
      <c r="H39" s="145">
        <v>7717.5384880000001</v>
      </c>
      <c r="I39" s="190"/>
      <c r="J39" s="116"/>
      <c r="K39" s="116"/>
      <c r="L39" s="116"/>
      <c r="M39" s="145">
        <v>7717.5384880000001</v>
      </c>
      <c r="N39" s="145">
        <f>M39</f>
        <v>7717.5384880000001</v>
      </c>
      <c r="O39" s="145"/>
      <c r="P39" s="116"/>
      <c r="Q39" s="116"/>
      <c r="R39" s="116"/>
      <c r="S39" s="116" t="s">
        <v>1312</v>
      </c>
      <c r="T39" s="116"/>
      <c r="U39" s="174"/>
      <c r="V39" s="174"/>
      <c r="W39" s="174"/>
      <c r="X39" s="174"/>
      <c r="Y39" s="174"/>
      <c r="Z39" s="192">
        <f>+E39</f>
        <v>17098.461512000002</v>
      </c>
      <c r="AA39" s="174"/>
      <c r="AB39" s="174"/>
      <c r="AC39" s="160">
        <f t="shared" si="1"/>
        <v>17098.461512000002</v>
      </c>
      <c r="AD39" s="167">
        <f t="shared" si="2"/>
        <v>0</v>
      </c>
      <c r="AE39" s="178">
        <f>+E39</f>
        <v>17098.461512000002</v>
      </c>
      <c r="AH39" s="160">
        <f t="shared" si="3"/>
        <v>0</v>
      </c>
    </row>
    <row r="40" spans="1:34" ht="47.25">
      <c r="A40" s="116"/>
      <c r="B40" s="116"/>
      <c r="C40" s="116"/>
      <c r="D40" s="158" t="s">
        <v>1321</v>
      </c>
      <c r="E40" s="188">
        <v>585</v>
      </c>
      <c r="F40" s="116"/>
      <c r="G40" s="173">
        <f t="shared" si="6"/>
        <v>0</v>
      </c>
      <c r="H40" s="190"/>
      <c r="I40" s="190"/>
      <c r="J40" s="116"/>
      <c r="K40" s="116"/>
      <c r="L40" s="116"/>
      <c r="M40" s="116"/>
      <c r="N40" s="116"/>
      <c r="O40" s="116"/>
      <c r="P40" s="116"/>
      <c r="Q40" s="116"/>
      <c r="R40" s="116"/>
      <c r="S40" s="116" t="s">
        <v>1322</v>
      </c>
      <c r="T40" s="116"/>
      <c r="U40" s="174"/>
      <c r="V40" s="174"/>
      <c r="W40" s="174"/>
      <c r="X40" s="174"/>
      <c r="Y40" s="192">
        <f>+E40</f>
        <v>585</v>
      </c>
      <c r="Z40" s="174"/>
      <c r="AA40" s="174"/>
      <c r="AB40" s="174"/>
      <c r="AC40" s="160">
        <f t="shared" si="1"/>
        <v>585</v>
      </c>
      <c r="AD40" s="167">
        <f t="shared" si="2"/>
        <v>0</v>
      </c>
      <c r="AE40" s="178">
        <f>+E40</f>
        <v>585</v>
      </c>
      <c r="AH40" s="160">
        <f t="shared" si="3"/>
        <v>0</v>
      </c>
    </row>
    <row r="41" spans="1:34" ht="47.25">
      <c r="A41" s="116"/>
      <c r="B41" s="116"/>
      <c r="C41" s="116"/>
      <c r="D41" s="158" t="s">
        <v>1323</v>
      </c>
      <c r="E41" s="193">
        <v>1399.5266059999999</v>
      </c>
      <c r="F41" s="188" t="e">
        <f>+#REF!-#REF!+#REF!-#REF!</f>
        <v>#REF!</v>
      </c>
      <c r="G41" s="173">
        <f t="shared" si="6"/>
        <v>34900</v>
      </c>
      <c r="H41" s="190">
        <v>34900</v>
      </c>
      <c r="I41" s="190"/>
      <c r="J41" s="188" t="e">
        <f>+F41</f>
        <v>#REF!</v>
      </c>
      <c r="K41" s="188" t="e">
        <f>J41</f>
        <v>#REF!</v>
      </c>
      <c r="L41" s="188"/>
      <c r="M41" s="188"/>
      <c r="N41" s="188"/>
      <c r="O41" s="188"/>
      <c r="P41" s="188"/>
      <c r="Q41" s="188"/>
      <c r="R41" s="188"/>
      <c r="S41" s="116" t="s">
        <v>1318</v>
      </c>
      <c r="T41" s="116" t="s">
        <v>1324</v>
      </c>
      <c r="U41" s="174"/>
      <c r="V41" s="174"/>
      <c r="W41" s="174"/>
      <c r="X41" s="174"/>
      <c r="Y41" s="174"/>
      <c r="Z41" s="194">
        <f>+E41</f>
        <v>1399.5266059999999</v>
      </c>
      <c r="AA41" s="174"/>
      <c r="AB41" s="174"/>
      <c r="AC41" s="160">
        <f t="shared" si="1"/>
        <v>1399.5266059999999</v>
      </c>
      <c r="AD41" s="167">
        <f t="shared" si="2"/>
        <v>0</v>
      </c>
      <c r="AF41" s="195">
        <f>+E41</f>
        <v>1399.5266059999999</v>
      </c>
      <c r="AH41" s="160">
        <f t="shared" si="3"/>
        <v>0</v>
      </c>
    </row>
    <row r="42" spans="1:34" ht="31.5">
      <c r="A42" s="116"/>
      <c r="B42" s="116"/>
      <c r="C42" s="116"/>
      <c r="D42" s="115" t="s">
        <v>1325</v>
      </c>
      <c r="E42" s="188">
        <v>1322.4870000000001</v>
      </c>
      <c r="F42" s="188" t="e">
        <f>+#REF!-#REF!+#REF!-#REF!</f>
        <v>#REF!</v>
      </c>
      <c r="G42" s="173">
        <f t="shared" si="6"/>
        <v>0</v>
      </c>
      <c r="H42" s="190"/>
      <c r="I42" s="190"/>
      <c r="J42" s="116"/>
      <c r="K42" s="116"/>
      <c r="L42" s="116"/>
      <c r="M42" s="116"/>
      <c r="N42" s="116"/>
      <c r="O42" s="116"/>
      <c r="P42" s="116"/>
      <c r="Q42" s="116"/>
      <c r="R42" s="116"/>
      <c r="S42" s="116" t="s">
        <v>193</v>
      </c>
      <c r="T42" s="116"/>
      <c r="U42" s="174"/>
      <c r="V42" s="174"/>
      <c r="W42" s="174"/>
      <c r="X42" s="174"/>
      <c r="Y42" s="174"/>
      <c r="Z42" s="192">
        <f>+E42</f>
        <v>1322.4870000000001</v>
      </c>
      <c r="AA42" s="174"/>
      <c r="AB42" s="174"/>
      <c r="AC42" s="160">
        <f t="shared" si="1"/>
        <v>1322.4870000000001</v>
      </c>
      <c r="AD42" s="167">
        <f t="shared" si="2"/>
        <v>0</v>
      </c>
      <c r="AE42" s="178">
        <f>+E42</f>
        <v>1322.4870000000001</v>
      </c>
      <c r="AH42" s="160">
        <f t="shared" si="3"/>
        <v>0</v>
      </c>
    </row>
    <row r="43" spans="1:34" ht="45">
      <c r="A43" s="116"/>
      <c r="B43" s="116"/>
      <c r="C43" s="116"/>
      <c r="D43" s="185" t="s">
        <v>1326</v>
      </c>
      <c r="E43" s="116">
        <v>2995</v>
      </c>
      <c r="F43" s="188" t="e">
        <f>+#REF!-#REF!+#REF!-#REF!</f>
        <v>#REF!</v>
      </c>
      <c r="G43" s="173">
        <f t="shared" si="6"/>
        <v>0</v>
      </c>
      <c r="H43" s="190"/>
      <c r="I43" s="190"/>
      <c r="J43" s="116"/>
      <c r="K43" s="116"/>
      <c r="L43" s="116"/>
      <c r="M43" s="116"/>
      <c r="N43" s="116"/>
      <c r="O43" s="116"/>
      <c r="P43" s="116"/>
      <c r="Q43" s="116"/>
      <c r="R43" s="116"/>
      <c r="S43" s="116" t="s">
        <v>1327</v>
      </c>
      <c r="T43" s="116"/>
      <c r="U43" s="174"/>
      <c r="V43" s="174"/>
      <c r="W43" s="174"/>
      <c r="X43" s="174"/>
      <c r="Y43" s="174"/>
      <c r="Z43" s="174"/>
      <c r="AA43" s="174"/>
      <c r="AB43" s="174">
        <f>+E43</f>
        <v>2995</v>
      </c>
      <c r="AC43" s="160">
        <f t="shared" si="1"/>
        <v>2995</v>
      </c>
      <c r="AD43" s="167">
        <f t="shared" si="2"/>
        <v>0</v>
      </c>
      <c r="AE43" s="159">
        <f>+E43</f>
        <v>2995</v>
      </c>
      <c r="AH43" s="160">
        <f t="shared" si="3"/>
        <v>0</v>
      </c>
    </row>
    <row r="44" spans="1:34" ht="75">
      <c r="A44" s="116"/>
      <c r="B44" s="116"/>
      <c r="C44" s="116"/>
      <c r="D44" s="35" t="s">
        <v>1328</v>
      </c>
      <c r="E44" s="116">
        <v>2500</v>
      </c>
      <c r="F44" s="188" t="e">
        <f>+#REF!-#REF!+#REF!-#REF!</f>
        <v>#REF!</v>
      </c>
      <c r="G44" s="173">
        <f t="shared" si="6"/>
        <v>0</v>
      </c>
      <c r="H44" s="190"/>
      <c r="I44" s="190"/>
      <c r="J44" s="116"/>
      <c r="K44" s="116"/>
      <c r="L44" s="116"/>
      <c r="M44" s="116"/>
      <c r="N44" s="116"/>
      <c r="O44" s="116"/>
      <c r="P44" s="116"/>
      <c r="Q44" s="116"/>
      <c r="R44" s="116"/>
      <c r="S44" s="116" t="s">
        <v>1318</v>
      </c>
      <c r="T44" s="116"/>
      <c r="U44" s="174"/>
      <c r="V44" s="174"/>
      <c r="W44" s="174"/>
      <c r="X44" s="174"/>
      <c r="Y44" s="174"/>
      <c r="Z44" s="174">
        <f>+E44</f>
        <v>2500</v>
      </c>
      <c r="AA44" s="174"/>
      <c r="AB44" s="174"/>
      <c r="AC44" s="160">
        <f t="shared" si="1"/>
        <v>2500</v>
      </c>
      <c r="AD44" s="167">
        <f t="shared" si="2"/>
        <v>0</v>
      </c>
      <c r="AF44" s="159">
        <f>+E44</f>
        <v>2500</v>
      </c>
      <c r="AH44" s="160">
        <f t="shared" si="3"/>
        <v>0</v>
      </c>
    </row>
    <row r="45" spans="1:34" ht="60">
      <c r="A45" s="116"/>
      <c r="B45" s="116"/>
      <c r="C45" s="116"/>
      <c r="D45" s="196" t="s">
        <v>1329</v>
      </c>
      <c r="E45" s="188">
        <v>1150</v>
      </c>
      <c r="F45" s="188" t="e">
        <f>+#REF!-#REF!+#REF!-#REF!</f>
        <v>#REF!</v>
      </c>
      <c r="G45" s="173">
        <f t="shared" si="6"/>
        <v>0</v>
      </c>
      <c r="H45" s="190"/>
      <c r="I45" s="190"/>
      <c r="J45" s="116"/>
      <c r="K45" s="116"/>
      <c r="L45" s="116"/>
      <c r="M45" s="116"/>
      <c r="N45" s="116"/>
      <c r="O45" s="116"/>
      <c r="P45" s="116"/>
      <c r="Q45" s="116"/>
      <c r="R45" s="116"/>
      <c r="S45" s="116" t="s">
        <v>1330</v>
      </c>
      <c r="T45" s="116"/>
      <c r="U45" s="174"/>
      <c r="V45" s="174"/>
      <c r="W45" s="174"/>
      <c r="X45" s="174"/>
      <c r="Y45" s="192">
        <f>+E45</f>
        <v>1150</v>
      </c>
      <c r="Z45" s="174"/>
      <c r="AA45" s="174"/>
      <c r="AB45" s="174"/>
      <c r="AC45" s="160">
        <f t="shared" si="1"/>
        <v>1150</v>
      </c>
      <c r="AD45" s="167">
        <f t="shared" si="2"/>
        <v>0</v>
      </c>
      <c r="AE45" s="178">
        <f>+E45</f>
        <v>1150</v>
      </c>
      <c r="AH45" s="160">
        <f t="shared" si="3"/>
        <v>0</v>
      </c>
    </row>
    <row r="46" spans="1:34" ht="75">
      <c r="A46" s="116"/>
      <c r="B46" s="116"/>
      <c r="C46" s="116"/>
      <c r="D46" s="35" t="s">
        <v>1331</v>
      </c>
      <c r="E46" s="188">
        <v>2668</v>
      </c>
      <c r="F46" s="188" t="e">
        <f>+#REF!-#REF!+#REF!-#REF!</f>
        <v>#REF!</v>
      </c>
      <c r="G46" s="173">
        <f t="shared" si="6"/>
        <v>0</v>
      </c>
      <c r="H46" s="190"/>
      <c r="I46" s="190"/>
      <c r="J46" s="116"/>
      <c r="K46" s="116"/>
      <c r="L46" s="116"/>
      <c r="M46" s="116"/>
      <c r="N46" s="116"/>
      <c r="O46" s="116"/>
      <c r="P46" s="116"/>
      <c r="Q46" s="116"/>
      <c r="R46" s="116"/>
      <c r="S46" s="116" t="s">
        <v>1318</v>
      </c>
      <c r="T46" s="116"/>
      <c r="U46" s="174"/>
      <c r="V46" s="174"/>
      <c r="W46" s="174"/>
      <c r="X46" s="192">
        <f>+E46</f>
        <v>2668</v>
      </c>
      <c r="Y46" s="174"/>
      <c r="Z46" s="174"/>
      <c r="AA46" s="174"/>
      <c r="AB46" s="174"/>
      <c r="AC46" s="160">
        <f t="shared" si="1"/>
        <v>2668</v>
      </c>
      <c r="AD46" s="167">
        <f t="shared" si="2"/>
        <v>0</v>
      </c>
      <c r="AF46" s="178">
        <f>+E46</f>
        <v>2668</v>
      </c>
      <c r="AH46" s="160">
        <f t="shared" si="3"/>
        <v>0</v>
      </c>
    </row>
    <row r="47" spans="1:34" ht="45">
      <c r="A47" s="116"/>
      <c r="B47" s="116"/>
      <c r="C47" s="116"/>
      <c r="D47" s="35" t="s">
        <v>1332</v>
      </c>
      <c r="E47" s="145">
        <v>9591</v>
      </c>
      <c r="F47" s="188" t="e">
        <f>+#REF!-#REF!+#REF!-#REF!</f>
        <v>#REF!</v>
      </c>
      <c r="G47" s="173" t="e">
        <f t="shared" si="6"/>
        <v>#REF!</v>
      </c>
      <c r="H47" s="190" t="e">
        <f>+J47+M47</f>
        <v>#REF!</v>
      </c>
      <c r="I47" s="190"/>
      <c r="J47" s="188" t="e">
        <f>+F47</f>
        <v>#REF!</v>
      </c>
      <c r="K47" s="188" t="e">
        <f>J47</f>
        <v>#REF!</v>
      </c>
      <c r="L47" s="188"/>
      <c r="M47" s="145" t="e">
        <f>#REF!-#REF!</f>
        <v>#REF!</v>
      </c>
      <c r="N47" s="145" t="e">
        <f>M47</f>
        <v>#REF!</v>
      </c>
      <c r="O47" s="145"/>
      <c r="P47" s="188"/>
      <c r="Q47" s="188"/>
      <c r="R47" s="188"/>
      <c r="S47" s="116" t="s">
        <v>199</v>
      </c>
      <c r="T47" s="116" t="s">
        <v>1333</v>
      </c>
      <c r="U47" s="174"/>
      <c r="V47" s="174"/>
      <c r="W47" s="174"/>
      <c r="X47" s="192">
        <f>+E47</f>
        <v>9591</v>
      </c>
      <c r="Y47" s="174"/>
      <c r="Z47" s="174"/>
      <c r="AA47" s="174"/>
      <c r="AB47" s="174"/>
      <c r="AC47" s="160">
        <f t="shared" si="1"/>
        <v>9591</v>
      </c>
      <c r="AD47" s="167">
        <f t="shared" si="2"/>
        <v>0</v>
      </c>
      <c r="AE47" s="178">
        <f>+E47</f>
        <v>9591</v>
      </c>
      <c r="AH47" s="160">
        <f t="shared" si="3"/>
        <v>0</v>
      </c>
    </row>
    <row r="48" spans="1:34" ht="63">
      <c r="A48" s="116"/>
      <c r="B48" s="116"/>
      <c r="C48" s="116"/>
      <c r="D48" s="155" t="s">
        <v>1335</v>
      </c>
      <c r="E48" s="188">
        <v>12345</v>
      </c>
      <c r="F48" s="188" t="e">
        <f>+#REF!-#REF!+#REF!-#REF!</f>
        <v>#REF!</v>
      </c>
      <c r="G48" s="173">
        <f t="shared" si="6"/>
        <v>8830</v>
      </c>
      <c r="H48" s="190">
        <v>8830</v>
      </c>
      <c r="I48" s="190"/>
      <c r="J48" s="188" t="e">
        <f>+F48</f>
        <v>#REF!</v>
      </c>
      <c r="K48" s="188" t="e">
        <f>J48</f>
        <v>#REF!</v>
      </c>
      <c r="L48" s="188"/>
      <c r="M48" s="188"/>
      <c r="N48" s="188"/>
      <c r="O48" s="188"/>
      <c r="P48" s="188"/>
      <c r="Q48" s="188"/>
      <c r="R48" s="188"/>
      <c r="S48" s="116" t="s">
        <v>1318</v>
      </c>
      <c r="T48" s="116" t="s">
        <v>1336</v>
      </c>
      <c r="U48" s="174"/>
      <c r="V48" s="174"/>
      <c r="W48" s="174"/>
      <c r="X48" s="174"/>
      <c r="Y48" s="174"/>
      <c r="Z48" s="192">
        <f>+E48</f>
        <v>12345</v>
      </c>
      <c r="AA48" s="174"/>
      <c r="AB48" s="174"/>
      <c r="AC48" s="160">
        <f t="shared" si="1"/>
        <v>12345</v>
      </c>
      <c r="AD48" s="167">
        <f t="shared" si="2"/>
        <v>0</v>
      </c>
      <c r="AF48" s="178">
        <f>+E48</f>
        <v>12345</v>
      </c>
      <c r="AH48" s="160">
        <f t="shared" si="3"/>
        <v>0</v>
      </c>
    </row>
    <row r="49" spans="4:18" ht="15.75" customHeight="1">
      <c r="N49" s="533" t="s">
        <v>1337</v>
      </c>
      <c r="O49" s="533"/>
      <c r="P49" s="533"/>
      <c r="Q49" s="533"/>
      <c r="R49" s="533"/>
    </row>
    <row r="50" spans="4:18" ht="15.75" customHeight="1">
      <c r="N50" s="525" t="s">
        <v>1338</v>
      </c>
      <c r="O50" s="525"/>
      <c r="P50" s="525"/>
      <c r="Q50" s="525"/>
      <c r="R50" s="525"/>
    </row>
    <row r="53" spans="4:18" ht="47.25">
      <c r="D53" s="159" t="s">
        <v>1339</v>
      </c>
    </row>
    <row r="54" spans="4:18" ht="31.5">
      <c r="D54" s="159" t="s">
        <v>1340</v>
      </c>
    </row>
    <row r="55" spans="4:18">
      <c r="D55" s="159" t="s">
        <v>1341</v>
      </c>
    </row>
    <row r="56" spans="4:18" ht="31.5">
      <c r="D56" s="172" t="s">
        <v>1342</v>
      </c>
    </row>
    <row r="57" spans="4:18" ht="31.5">
      <c r="D57" s="159" t="s">
        <v>1343</v>
      </c>
    </row>
    <row r="58" spans="4:18">
      <c r="D58" s="159" t="s">
        <v>1344</v>
      </c>
    </row>
    <row r="59" spans="4:18" ht="31.5">
      <c r="D59" s="159" t="s">
        <v>1345</v>
      </c>
    </row>
    <row r="60" spans="4:18" ht="31.5">
      <c r="D60" s="159" t="s">
        <v>1346</v>
      </c>
    </row>
    <row r="64" spans="4:18">
      <c r="D64" s="172" t="s">
        <v>0</v>
      </c>
    </row>
    <row r="65" spans="4:29">
      <c r="D65" s="159" t="s">
        <v>1347</v>
      </c>
    </row>
    <row r="66" spans="4:29">
      <c r="D66" s="159" t="s">
        <v>1348</v>
      </c>
    </row>
    <row r="67" spans="4:29">
      <c r="D67" s="159" t="s">
        <v>1349</v>
      </c>
    </row>
    <row r="68" spans="4:29">
      <c r="D68" s="159" t="s">
        <v>1350</v>
      </c>
    </row>
    <row r="69" spans="4:29">
      <c r="D69" s="159" t="s">
        <v>1120</v>
      </c>
    </row>
    <row r="72" spans="4:29">
      <c r="D72" s="159" t="s">
        <v>1351</v>
      </c>
    </row>
    <row r="73" spans="4:29" s="179" customFormat="1">
      <c r="D73" s="179" t="s">
        <v>1352</v>
      </c>
      <c r="AC73" s="197"/>
    </row>
    <row r="74" spans="4:29" s="179" customFormat="1">
      <c r="D74" s="179" t="s">
        <v>1353</v>
      </c>
      <c r="AC74" s="197"/>
    </row>
    <row r="75" spans="4:29" s="179" customFormat="1">
      <c r="AC75" s="197"/>
    </row>
    <row r="76" spans="4:29" ht="31.5">
      <c r="D76" s="159" t="s">
        <v>1354</v>
      </c>
    </row>
    <row r="77" spans="4:29" ht="31.5">
      <c r="D77" s="159" t="s">
        <v>1355</v>
      </c>
    </row>
    <row r="78" spans="4:29">
      <c r="D78" s="159" t="s">
        <v>1192</v>
      </c>
    </row>
    <row r="79" spans="4:29" ht="45" customHeight="1">
      <c r="D79" s="35" t="s">
        <v>1332</v>
      </c>
    </row>
    <row r="80" spans="4:29" ht="60">
      <c r="D80" s="34" t="s">
        <v>1334</v>
      </c>
    </row>
    <row r="81" spans="4:4" ht="47.25">
      <c r="D81" s="155" t="s">
        <v>1320</v>
      </c>
    </row>
  </sheetData>
  <mergeCells count="16">
    <mergeCell ref="F5:F6"/>
    <mergeCell ref="G5:G6"/>
    <mergeCell ref="H5:I5"/>
    <mergeCell ref="A1:D1"/>
    <mergeCell ref="A2:D2"/>
    <mergeCell ref="A3:T3"/>
    <mergeCell ref="S4:T4"/>
    <mergeCell ref="A5:A6"/>
    <mergeCell ref="B5:C5"/>
    <mergeCell ref="D5:D6"/>
    <mergeCell ref="N50:R50"/>
    <mergeCell ref="J5:P5"/>
    <mergeCell ref="S5:S6"/>
    <mergeCell ref="T5:T6"/>
    <mergeCell ref="S9:S10"/>
    <mergeCell ref="N49:R4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7"/>
  <sheetViews>
    <sheetView workbookViewId="0">
      <selection activeCell="B50" sqref="B50"/>
    </sheetView>
  </sheetViews>
  <sheetFormatPr defaultRowHeight="15"/>
  <cols>
    <col min="1" max="1" width="9.140625" style="77"/>
    <col min="2" max="2" width="49.28515625" customWidth="1"/>
    <col min="3" max="3" width="18.140625" customWidth="1"/>
    <col min="4" max="4" width="11.5703125" bestFit="1" customWidth="1"/>
  </cols>
  <sheetData>
    <row r="2" spans="1:4">
      <c r="A2" s="201" t="s">
        <v>3</v>
      </c>
      <c r="B2" s="202" t="s">
        <v>1185</v>
      </c>
      <c r="C2" s="203"/>
    </row>
    <row r="3" spans="1:4" s="79" customFormat="1" ht="14.25">
      <c r="A3" s="201">
        <v>1</v>
      </c>
      <c r="B3" s="202" t="s">
        <v>1184</v>
      </c>
      <c r="C3" s="204">
        <v>5193915</v>
      </c>
    </row>
    <row r="4" spans="1:4" s="79" customFormat="1" ht="14.25">
      <c r="A4" s="201" t="s">
        <v>1177</v>
      </c>
      <c r="B4" s="202" t="s">
        <v>1169</v>
      </c>
      <c r="C4" s="204">
        <v>4579873</v>
      </c>
    </row>
    <row r="5" spans="1:4">
      <c r="A5" s="119"/>
      <c r="B5" s="203" t="s">
        <v>1180</v>
      </c>
      <c r="C5" s="205">
        <f>SUM(C6:C8)</f>
        <v>1299864</v>
      </c>
    </row>
    <row r="6" spans="1:4" s="199" customFormat="1">
      <c r="A6" s="206"/>
      <c r="B6" s="207" t="s">
        <v>1170</v>
      </c>
      <c r="C6" s="208">
        <v>572440</v>
      </c>
    </row>
    <row r="7" spans="1:4" s="199" customFormat="1">
      <c r="A7" s="206"/>
      <c r="B7" s="207" t="s">
        <v>1171</v>
      </c>
      <c r="C7" s="208">
        <v>393751</v>
      </c>
    </row>
    <row r="8" spans="1:4" s="199" customFormat="1">
      <c r="A8" s="206"/>
      <c r="B8" s="207" t="s">
        <v>1172</v>
      </c>
      <c r="C8" s="208">
        <v>333673</v>
      </c>
    </row>
    <row r="9" spans="1:4" s="79" customFormat="1" ht="14.25">
      <c r="A9" s="201" t="s">
        <v>1178</v>
      </c>
      <c r="B9" s="202" t="s">
        <v>1173</v>
      </c>
      <c r="C9" s="204">
        <v>778500</v>
      </c>
    </row>
    <row r="10" spans="1:4">
      <c r="A10" s="119"/>
      <c r="B10" s="203" t="s">
        <v>1174</v>
      </c>
      <c r="C10" s="205">
        <v>50000</v>
      </c>
    </row>
    <row r="11" spans="1:4">
      <c r="A11" s="119"/>
      <c r="B11" s="203" t="s">
        <v>1175</v>
      </c>
      <c r="C11" s="205">
        <v>145000</v>
      </c>
    </row>
    <row r="12" spans="1:4">
      <c r="A12" s="119"/>
      <c r="B12" s="203" t="s">
        <v>1176</v>
      </c>
      <c r="C12" s="205">
        <v>17500</v>
      </c>
    </row>
    <row r="13" spans="1:4">
      <c r="A13" s="119"/>
      <c r="B13" s="203" t="s">
        <v>1181</v>
      </c>
      <c r="C13" s="205">
        <v>566000</v>
      </c>
    </row>
    <row r="14" spans="1:4" s="79" customFormat="1" ht="14.25">
      <c r="A14" s="201" t="s">
        <v>1182</v>
      </c>
      <c r="B14" s="202" t="s">
        <v>1183</v>
      </c>
      <c r="C14" s="202">
        <v>164458</v>
      </c>
    </row>
    <row r="15" spans="1:4" s="79" customFormat="1" ht="14.25">
      <c r="A15" s="201">
        <v>2</v>
      </c>
      <c r="B15" s="202" t="s">
        <v>1179</v>
      </c>
      <c r="C15" s="204">
        <f>+C3-C5</f>
        <v>3894051</v>
      </c>
      <c r="D15" s="200"/>
    </row>
    <row r="16" spans="1:4" s="79" customFormat="1" ht="14.25">
      <c r="A16" s="201"/>
      <c r="B16" s="202"/>
      <c r="C16" s="204"/>
      <c r="D16" s="200"/>
    </row>
    <row r="17" spans="1:3" s="79" customFormat="1" ht="14.25">
      <c r="A17" s="201" t="s">
        <v>4</v>
      </c>
      <c r="B17" s="202" t="s">
        <v>1186</v>
      </c>
      <c r="C17" s="202"/>
    </row>
    <row r="18" spans="1:3" s="79" customFormat="1" ht="14.25">
      <c r="A18" s="201">
        <v>1</v>
      </c>
      <c r="B18" s="202" t="s">
        <v>1187</v>
      </c>
      <c r="C18" s="204">
        <v>10887646</v>
      </c>
    </row>
    <row r="19" spans="1:3" s="79" customFormat="1" ht="14.25">
      <c r="A19" s="201">
        <v>2</v>
      </c>
      <c r="B19" s="202" t="s">
        <v>1173</v>
      </c>
      <c r="C19" s="204">
        <v>509854</v>
      </c>
    </row>
    <row r="20" spans="1:3">
      <c r="A20" s="119"/>
      <c r="B20" s="203" t="s">
        <v>1369</v>
      </c>
      <c r="C20" s="205">
        <v>11000</v>
      </c>
    </row>
    <row r="21" spans="1:3">
      <c r="A21" s="119"/>
      <c r="B21" s="203" t="s">
        <v>1370</v>
      </c>
      <c r="C21" s="205">
        <v>331354</v>
      </c>
    </row>
    <row r="22" spans="1:3">
      <c r="A22" s="119"/>
      <c r="B22" s="203" t="s">
        <v>1371</v>
      </c>
      <c r="C22" s="205">
        <v>17500</v>
      </c>
    </row>
    <row r="23" spans="1:3">
      <c r="A23" s="119"/>
      <c r="B23" s="203" t="s">
        <v>1372</v>
      </c>
      <c r="C23" s="205">
        <v>50000</v>
      </c>
    </row>
    <row r="24" spans="1:3">
      <c r="A24" s="119"/>
      <c r="B24" s="203" t="s">
        <v>1373</v>
      </c>
      <c r="C24" s="205">
        <v>100000</v>
      </c>
    </row>
    <row r="25" spans="1:3" s="79" customFormat="1" ht="29.25" customHeight="1">
      <c r="A25" s="201">
        <v>3</v>
      </c>
      <c r="B25" s="209" t="s">
        <v>1364</v>
      </c>
      <c r="C25" s="204">
        <v>250096</v>
      </c>
    </row>
    <row r="26" spans="1:3" s="79" customFormat="1">
      <c r="A26" s="201"/>
      <c r="B26" s="210" t="s">
        <v>1365</v>
      </c>
      <c r="C26" s="211">
        <v>213946</v>
      </c>
    </row>
    <row r="27" spans="1:3" s="79" customFormat="1">
      <c r="A27" s="201"/>
      <c r="B27" s="210" t="s">
        <v>1366</v>
      </c>
      <c r="C27" s="211">
        <v>14450</v>
      </c>
    </row>
    <row r="28" spans="1:3" s="79" customFormat="1">
      <c r="A28" s="201"/>
      <c r="B28" s="210" t="s">
        <v>1367</v>
      </c>
      <c r="C28" s="211">
        <v>21700</v>
      </c>
    </row>
    <row r="29" spans="1:3" s="79" customFormat="1" ht="14.25">
      <c r="A29" s="201">
        <v>4</v>
      </c>
      <c r="B29" s="202" t="s">
        <v>1368</v>
      </c>
      <c r="C29" s="204">
        <f>+C18+C19-C25</f>
        <v>11147404</v>
      </c>
    </row>
    <row r="33" spans="1:4">
      <c r="A33" s="201" t="s">
        <v>3</v>
      </c>
      <c r="B33" s="202" t="s">
        <v>1376</v>
      </c>
      <c r="C33" s="203"/>
    </row>
    <row r="34" spans="1:4" s="79" customFormat="1" ht="14.25">
      <c r="A34" s="201">
        <v>1</v>
      </c>
      <c r="B34" s="202" t="s">
        <v>1188</v>
      </c>
      <c r="C34" s="204">
        <v>3219404</v>
      </c>
    </row>
    <row r="35" spans="1:4">
      <c r="A35" s="119">
        <v>2</v>
      </c>
      <c r="B35" s="203" t="s">
        <v>1378</v>
      </c>
      <c r="C35" s="205">
        <v>50000</v>
      </c>
    </row>
    <row r="36" spans="1:4">
      <c r="A36" s="119">
        <v>3</v>
      </c>
      <c r="B36" s="203" t="s">
        <v>1189</v>
      </c>
      <c r="C36" s="205">
        <v>164458</v>
      </c>
    </row>
    <row r="37" spans="1:4" s="79" customFormat="1" ht="14.25">
      <c r="A37" s="201">
        <v>4</v>
      </c>
      <c r="B37" s="202" t="s">
        <v>1374</v>
      </c>
      <c r="C37" s="204">
        <f>+C34+C35-C36</f>
        <v>3104946</v>
      </c>
      <c r="D37" s="200"/>
    </row>
    <row r="38" spans="1:4" s="79" customFormat="1" ht="14.25">
      <c r="A38" s="201" t="s">
        <v>4</v>
      </c>
      <c r="B38" s="202" t="s">
        <v>1377</v>
      </c>
      <c r="C38" s="204"/>
    </row>
    <row r="39" spans="1:4" s="79" customFormat="1" ht="14.25">
      <c r="A39" s="201">
        <v>1</v>
      </c>
      <c r="B39" s="202" t="s">
        <v>1190</v>
      </c>
      <c r="C39" s="204">
        <v>4715224</v>
      </c>
    </row>
    <row r="40" spans="1:4">
      <c r="A40" s="119">
        <v>2</v>
      </c>
      <c r="B40" s="203" t="s">
        <v>1191</v>
      </c>
      <c r="C40" s="205">
        <v>70000</v>
      </c>
    </row>
    <row r="41" spans="1:4">
      <c r="A41" s="119">
        <v>3</v>
      </c>
      <c r="B41" s="203" t="s">
        <v>1211</v>
      </c>
      <c r="C41" s="205">
        <v>40022</v>
      </c>
    </row>
    <row r="42" spans="1:4">
      <c r="A42" s="119"/>
      <c r="B42" s="203" t="s">
        <v>1381</v>
      </c>
      <c r="C42" s="205">
        <v>32000</v>
      </c>
    </row>
    <row r="43" spans="1:4">
      <c r="A43" s="119"/>
      <c r="B43" s="203" t="s">
        <v>1382</v>
      </c>
      <c r="C43" s="205">
        <v>2900</v>
      </c>
    </row>
    <row r="44" spans="1:4">
      <c r="A44" s="119"/>
      <c r="B44" s="203" t="s">
        <v>1383</v>
      </c>
      <c r="C44" s="205">
        <v>5122</v>
      </c>
    </row>
    <row r="45" spans="1:4">
      <c r="A45" s="119">
        <v>4</v>
      </c>
      <c r="B45" s="203" t="s">
        <v>1379</v>
      </c>
      <c r="C45" s="205">
        <v>124440</v>
      </c>
    </row>
    <row r="46" spans="1:4">
      <c r="A46" s="119">
        <v>5</v>
      </c>
      <c r="B46" s="203" t="s">
        <v>1380</v>
      </c>
      <c r="C46" s="205">
        <v>331354</v>
      </c>
    </row>
    <row r="47" spans="1:4" s="79" customFormat="1" ht="14.25">
      <c r="A47" s="201">
        <v>6</v>
      </c>
      <c r="B47" s="202" t="s">
        <v>1375</v>
      </c>
      <c r="C47" s="204">
        <f>+C39+C40+C41+C45+C46</f>
        <v>5281040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8"/>
  <sheetViews>
    <sheetView workbookViewId="0">
      <selection activeCell="B12" sqref="B12"/>
    </sheetView>
  </sheetViews>
  <sheetFormatPr defaultRowHeight="15"/>
  <cols>
    <col min="2" max="2" width="13.140625" customWidth="1"/>
    <col min="3" max="3" width="24.7109375" customWidth="1"/>
  </cols>
  <sheetData>
    <row r="2" spans="2:4">
      <c r="C2" s="216">
        <v>67874.848255999997</v>
      </c>
      <c r="D2">
        <v>1000000</v>
      </c>
    </row>
    <row r="3" spans="2:4">
      <c r="B3" t="s">
        <v>1269</v>
      </c>
      <c r="C3" s="213">
        <v>10746.877</v>
      </c>
    </row>
    <row r="4" spans="2:4">
      <c r="B4" t="s">
        <v>1263</v>
      </c>
      <c r="C4" s="213">
        <v>398.13</v>
      </c>
    </row>
    <row r="5" spans="2:4">
      <c r="B5" t="s">
        <v>1267</v>
      </c>
      <c r="C5" s="213">
        <v>7248.1365640000004</v>
      </c>
    </row>
    <row r="6" spans="2:4">
      <c r="B6" t="s">
        <v>1387</v>
      </c>
      <c r="C6" s="213">
        <v>3272.1266919999998</v>
      </c>
    </row>
    <row r="7" spans="2:4">
      <c r="B7" t="s">
        <v>1265</v>
      </c>
      <c r="C7" s="213">
        <v>43903.629000000001</v>
      </c>
    </row>
    <row r="8" spans="2:4">
      <c r="B8" t="s">
        <v>1268</v>
      </c>
      <c r="C8" s="213">
        <v>2305.9490000000001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4"/>
  <sheetViews>
    <sheetView workbookViewId="0">
      <selection activeCell="C3" sqref="C3"/>
    </sheetView>
  </sheetViews>
  <sheetFormatPr defaultRowHeight="15"/>
  <cols>
    <col min="2" max="2" width="20.85546875" customWidth="1"/>
    <col min="3" max="3" width="12.42578125" customWidth="1"/>
  </cols>
  <sheetData>
    <row r="2" spans="2:3">
      <c r="C2" s="294">
        <f>SUM(C3:C5)</f>
        <v>22915.213146999999</v>
      </c>
    </row>
    <row r="3" spans="2:3" ht="18.75">
      <c r="B3" t="s">
        <v>1451</v>
      </c>
      <c r="C3" s="295">
        <v>17515.213146999999</v>
      </c>
    </row>
    <row r="4" spans="2:3">
      <c r="B4" t="s">
        <v>1452</v>
      </c>
      <c r="C4" s="213">
        <v>5400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39"/>
  <sheetViews>
    <sheetView topLeftCell="A4" workbookViewId="0">
      <pane xSplit="2" ySplit="6" topLeftCell="C10" activePane="bottomRight" state="frozen"/>
      <selection activeCell="A4" sqref="A4"/>
      <selection pane="topRight" activeCell="C4" sqref="C4"/>
      <selection pane="bottomLeft" activeCell="A10" sqref="A10"/>
      <selection pane="bottomRight" activeCell="A4" sqref="A1:XFD1048576"/>
    </sheetView>
  </sheetViews>
  <sheetFormatPr defaultRowHeight="15.75"/>
  <cols>
    <col min="1" max="1" width="4.7109375" style="418" customWidth="1"/>
    <col min="2" max="2" width="16.85546875" style="419" customWidth="1"/>
    <col min="3" max="3" width="11.7109375" style="420" customWidth="1"/>
    <col min="4" max="4" width="10" style="420" customWidth="1"/>
    <col min="5" max="5" width="12.5703125" style="420" customWidth="1"/>
    <col min="6" max="6" width="10.28515625" style="420" customWidth="1"/>
    <col min="7" max="7" width="11" style="420" customWidth="1"/>
    <col min="8" max="8" width="10.5703125" style="420" customWidth="1"/>
    <col min="9" max="9" width="10.7109375" style="420" customWidth="1"/>
    <col min="10" max="11" width="10" style="420" customWidth="1"/>
    <col min="12" max="12" width="12.140625" style="420" customWidth="1"/>
    <col min="13" max="13" width="9.85546875" style="420" bestFit="1" customWidth="1"/>
    <col min="14" max="256" width="9.140625" style="420"/>
    <col min="257" max="257" width="4.7109375" style="420" customWidth="1"/>
    <col min="258" max="258" width="16.85546875" style="420" customWidth="1"/>
    <col min="259" max="259" width="11.7109375" style="420" customWidth="1"/>
    <col min="260" max="260" width="10" style="420" customWidth="1"/>
    <col min="261" max="261" width="12.5703125" style="420" customWidth="1"/>
    <col min="262" max="262" width="10.28515625" style="420" customWidth="1"/>
    <col min="263" max="263" width="11" style="420" customWidth="1"/>
    <col min="264" max="264" width="10.5703125" style="420" customWidth="1"/>
    <col min="265" max="265" width="10.7109375" style="420" customWidth="1"/>
    <col min="266" max="267" width="10" style="420" customWidth="1"/>
    <col min="268" max="268" width="12.140625" style="420" customWidth="1"/>
    <col min="269" max="512" width="9.140625" style="420"/>
    <col min="513" max="513" width="4.7109375" style="420" customWidth="1"/>
    <col min="514" max="514" width="16.85546875" style="420" customWidth="1"/>
    <col min="515" max="515" width="11.7109375" style="420" customWidth="1"/>
    <col min="516" max="516" width="10" style="420" customWidth="1"/>
    <col min="517" max="517" width="12.5703125" style="420" customWidth="1"/>
    <col min="518" max="518" width="10.28515625" style="420" customWidth="1"/>
    <col min="519" max="519" width="11" style="420" customWidth="1"/>
    <col min="520" max="520" width="10.5703125" style="420" customWidth="1"/>
    <col min="521" max="521" width="10.7109375" style="420" customWidth="1"/>
    <col min="522" max="523" width="10" style="420" customWidth="1"/>
    <col min="524" max="524" width="12.140625" style="420" customWidth="1"/>
    <col min="525" max="768" width="9.140625" style="420"/>
    <col min="769" max="769" width="4.7109375" style="420" customWidth="1"/>
    <col min="770" max="770" width="16.85546875" style="420" customWidth="1"/>
    <col min="771" max="771" width="11.7109375" style="420" customWidth="1"/>
    <col min="772" max="772" width="10" style="420" customWidth="1"/>
    <col min="773" max="773" width="12.5703125" style="420" customWidth="1"/>
    <col min="774" max="774" width="10.28515625" style="420" customWidth="1"/>
    <col min="775" max="775" width="11" style="420" customWidth="1"/>
    <col min="776" max="776" width="10.5703125" style="420" customWidth="1"/>
    <col min="777" max="777" width="10.7109375" style="420" customWidth="1"/>
    <col min="778" max="779" width="10" style="420" customWidth="1"/>
    <col min="780" max="780" width="12.140625" style="420" customWidth="1"/>
    <col min="781" max="1024" width="9.140625" style="420"/>
    <col min="1025" max="1025" width="4.7109375" style="420" customWidth="1"/>
    <col min="1026" max="1026" width="16.85546875" style="420" customWidth="1"/>
    <col min="1027" max="1027" width="11.7109375" style="420" customWidth="1"/>
    <col min="1028" max="1028" width="10" style="420" customWidth="1"/>
    <col min="1029" max="1029" width="12.5703125" style="420" customWidth="1"/>
    <col min="1030" max="1030" width="10.28515625" style="420" customWidth="1"/>
    <col min="1031" max="1031" width="11" style="420" customWidth="1"/>
    <col min="1032" max="1032" width="10.5703125" style="420" customWidth="1"/>
    <col min="1033" max="1033" width="10.7109375" style="420" customWidth="1"/>
    <col min="1034" max="1035" width="10" style="420" customWidth="1"/>
    <col min="1036" max="1036" width="12.140625" style="420" customWidth="1"/>
    <col min="1037" max="1280" width="9.140625" style="420"/>
    <col min="1281" max="1281" width="4.7109375" style="420" customWidth="1"/>
    <col min="1282" max="1282" width="16.85546875" style="420" customWidth="1"/>
    <col min="1283" max="1283" width="11.7109375" style="420" customWidth="1"/>
    <col min="1284" max="1284" width="10" style="420" customWidth="1"/>
    <col min="1285" max="1285" width="12.5703125" style="420" customWidth="1"/>
    <col min="1286" max="1286" width="10.28515625" style="420" customWidth="1"/>
    <col min="1287" max="1287" width="11" style="420" customWidth="1"/>
    <col min="1288" max="1288" width="10.5703125" style="420" customWidth="1"/>
    <col min="1289" max="1289" width="10.7109375" style="420" customWidth="1"/>
    <col min="1290" max="1291" width="10" style="420" customWidth="1"/>
    <col min="1292" max="1292" width="12.140625" style="420" customWidth="1"/>
    <col min="1293" max="1536" width="9.140625" style="420"/>
    <col min="1537" max="1537" width="4.7109375" style="420" customWidth="1"/>
    <col min="1538" max="1538" width="16.85546875" style="420" customWidth="1"/>
    <col min="1539" max="1539" width="11.7109375" style="420" customWidth="1"/>
    <col min="1540" max="1540" width="10" style="420" customWidth="1"/>
    <col min="1541" max="1541" width="12.5703125" style="420" customWidth="1"/>
    <col min="1542" max="1542" width="10.28515625" style="420" customWidth="1"/>
    <col min="1543" max="1543" width="11" style="420" customWidth="1"/>
    <col min="1544" max="1544" width="10.5703125" style="420" customWidth="1"/>
    <col min="1545" max="1545" width="10.7109375" style="420" customWidth="1"/>
    <col min="1546" max="1547" width="10" style="420" customWidth="1"/>
    <col min="1548" max="1548" width="12.140625" style="420" customWidth="1"/>
    <col min="1549" max="1792" width="9.140625" style="420"/>
    <col min="1793" max="1793" width="4.7109375" style="420" customWidth="1"/>
    <col min="1794" max="1794" width="16.85546875" style="420" customWidth="1"/>
    <col min="1795" max="1795" width="11.7109375" style="420" customWidth="1"/>
    <col min="1796" max="1796" width="10" style="420" customWidth="1"/>
    <col min="1797" max="1797" width="12.5703125" style="420" customWidth="1"/>
    <col min="1798" max="1798" width="10.28515625" style="420" customWidth="1"/>
    <col min="1799" max="1799" width="11" style="420" customWidth="1"/>
    <col min="1800" max="1800" width="10.5703125" style="420" customWidth="1"/>
    <col min="1801" max="1801" width="10.7109375" style="420" customWidth="1"/>
    <col min="1802" max="1803" width="10" style="420" customWidth="1"/>
    <col min="1804" max="1804" width="12.140625" style="420" customWidth="1"/>
    <col min="1805" max="2048" width="9.140625" style="420"/>
    <col min="2049" max="2049" width="4.7109375" style="420" customWidth="1"/>
    <col min="2050" max="2050" width="16.85546875" style="420" customWidth="1"/>
    <col min="2051" max="2051" width="11.7109375" style="420" customWidth="1"/>
    <col min="2052" max="2052" width="10" style="420" customWidth="1"/>
    <col min="2053" max="2053" width="12.5703125" style="420" customWidth="1"/>
    <col min="2054" max="2054" width="10.28515625" style="420" customWidth="1"/>
    <col min="2055" max="2055" width="11" style="420" customWidth="1"/>
    <col min="2056" max="2056" width="10.5703125" style="420" customWidth="1"/>
    <col min="2057" max="2057" width="10.7109375" style="420" customWidth="1"/>
    <col min="2058" max="2059" width="10" style="420" customWidth="1"/>
    <col min="2060" max="2060" width="12.140625" style="420" customWidth="1"/>
    <col min="2061" max="2304" width="9.140625" style="420"/>
    <col min="2305" max="2305" width="4.7109375" style="420" customWidth="1"/>
    <col min="2306" max="2306" width="16.85546875" style="420" customWidth="1"/>
    <col min="2307" max="2307" width="11.7109375" style="420" customWidth="1"/>
    <col min="2308" max="2308" width="10" style="420" customWidth="1"/>
    <col min="2309" max="2309" width="12.5703125" style="420" customWidth="1"/>
    <col min="2310" max="2310" width="10.28515625" style="420" customWidth="1"/>
    <col min="2311" max="2311" width="11" style="420" customWidth="1"/>
    <col min="2312" max="2312" width="10.5703125" style="420" customWidth="1"/>
    <col min="2313" max="2313" width="10.7109375" style="420" customWidth="1"/>
    <col min="2314" max="2315" width="10" style="420" customWidth="1"/>
    <col min="2316" max="2316" width="12.140625" style="420" customWidth="1"/>
    <col min="2317" max="2560" width="9.140625" style="420"/>
    <col min="2561" max="2561" width="4.7109375" style="420" customWidth="1"/>
    <col min="2562" max="2562" width="16.85546875" style="420" customWidth="1"/>
    <col min="2563" max="2563" width="11.7109375" style="420" customWidth="1"/>
    <col min="2564" max="2564" width="10" style="420" customWidth="1"/>
    <col min="2565" max="2565" width="12.5703125" style="420" customWidth="1"/>
    <col min="2566" max="2566" width="10.28515625" style="420" customWidth="1"/>
    <col min="2567" max="2567" width="11" style="420" customWidth="1"/>
    <col min="2568" max="2568" width="10.5703125" style="420" customWidth="1"/>
    <col min="2569" max="2569" width="10.7109375" style="420" customWidth="1"/>
    <col min="2570" max="2571" width="10" style="420" customWidth="1"/>
    <col min="2572" max="2572" width="12.140625" style="420" customWidth="1"/>
    <col min="2573" max="2816" width="9.140625" style="420"/>
    <col min="2817" max="2817" width="4.7109375" style="420" customWidth="1"/>
    <col min="2818" max="2818" width="16.85546875" style="420" customWidth="1"/>
    <col min="2819" max="2819" width="11.7109375" style="420" customWidth="1"/>
    <col min="2820" max="2820" width="10" style="420" customWidth="1"/>
    <col min="2821" max="2821" width="12.5703125" style="420" customWidth="1"/>
    <col min="2822" max="2822" width="10.28515625" style="420" customWidth="1"/>
    <col min="2823" max="2823" width="11" style="420" customWidth="1"/>
    <col min="2824" max="2824" width="10.5703125" style="420" customWidth="1"/>
    <col min="2825" max="2825" width="10.7109375" style="420" customWidth="1"/>
    <col min="2826" max="2827" width="10" style="420" customWidth="1"/>
    <col min="2828" max="2828" width="12.140625" style="420" customWidth="1"/>
    <col min="2829" max="3072" width="9.140625" style="420"/>
    <col min="3073" max="3073" width="4.7109375" style="420" customWidth="1"/>
    <col min="3074" max="3074" width="16.85546875" style="420" customWidth="1"/>
    <col min="3075" max="3075" width="11.7109375" style="420" customWidth="1"/>
    <col min="3076" max="3076" width="10" style="420" customWidth="1"/>
    <col min="3077" max="3077" width="12.5703125" style="420" customWidth="1"/>
    <col min="3078" max="3078" width="10.28515625" style="420" customWidth="1"/>
    <col min="3079" max="3079" width="11" style="420" customWidth="1"/>
    <col min="3080" max="3080" width="10.5703125" style="420" customWidth="1"/>
    <col min="3081" max="3081" width="10.7109375" style="420" customWidth="1"/>
    <col min="3082" max="3083" width="10" style="420" customWidth="1"/>
    <col min="3084" max="3084" width="12.140625" style="420" customWidth="1"/>
    <col min="3085" max="3328" width="9.140625" style="420"/>
    <col min="3329" max="3329" width="4.7109375" style="420" customWidth="1"/>
    <col min="3330" max="3330" width="16.85546875" style="420" customWidth="1"/>
    <col min="3331" max="3331" width="11.7109375" style="420" customWidth="1"/>
    <col min="3332" max="3332" width="10" style="420" customWidth="1"/>
    <col min="3333" max="3333" width="12.5703125" style="420" customWidth="1"/>
    <col min="3334" max="3334" width="10.28515625" style="420" customWidth="1"/>
    <col min="3335" max="3335" width="11" style="420" customWidth="1"/>
    <col min="3336" max="3336" width="10.5703125" style="420" customWidth="1"/>
    <col min="3337" max="3337" width="10.7109375" style="420" customWidth="1"/>
    <col min="3338" max="3339" width="10" style="420" customWidth="1"/>
    <col min="3340" max="3340" width="12.140625" style="420" customWidth="1"/>
    <col min="3341" max="3584" width="9.140625" style="420"/>
    <col min="3585" max="3585" width="4.7109375" style="420" customWidth="1"/>
    <col min="3586" max="3586" width="16.85546875" style="420" customWidth="1"/>
    <col min="3587" max="3587" width="11.7109375" style="420" customWidth="1"/>
    <col min="3588" max="3588" width="10" style="420" customWidth="1"/>
    <col min="3589" max="3589" width="12.5703125" style="420" customWidth="1"/>
    <col min="3590" max="3590" width="10.28515625" style="420" customWidth="1"/>
    <col min="3591" max="3591" width="11" style="420" customWidth="1"/>
    <col min="3592" max="3592" width="10.5703125" style="420" customWidth="1"/>
    <col min="3593" max="3593" width="10.7109375" style="420" customWidth="1"/>
    <col min="3594" max="3595" width="10" style="420" customWidth="1"/>
    <col min="3596" max="3596" width="12.140625" style="420" customWidth="1"/>
    <col min="3597" max="3840" width="9.140625" style="420"/>
    <col min="3841" max="3841" width="4.7109375" style="420" customWidth="1"/>
    <col min="3842" max="3842" width="16.85546875" style="420" customWidth="1"/>
    <col min="3843" max="3843" width="11.7109375" style="420" customWidth="1"/>
    <col min="3844" max="3844" width="10" style="420" customWidth="1"/>
    <col min="3845" max="3845" width="12.5703125" style="420" customWidth="1"/>
    <col min="3846" max="3846" width="10.28515625" style="420" customWidth="1"/>
    <col min="3847" max="3847" width="11" style="420" customWidth="1"/>
    <col min="3848" max="3848" width="10.5703125" style="420" customWidth="1"/>
    <col min="3849" max="3849" width="10.7109375" style="420" customWidth="1"/>
    <col min="3850" max="3851" width="10" style="420" customWidth="1"/>
    <col min="3852" max="3852" width="12.140625" style="420" customWidth="1"/>
    <col min="3853" max="4096" width="9.140625" style="420"/>
    <col min="4097" max="4097" width="4.7109375" style="420" customWidth="1"/>
    <col min="4098" max="4098" width="16.85546875" style="420" customWidth="1"/>
    <col min="4099" max="4099" width="11.7109375" style="420" customWidth="1"/>
    <col min="4100" max="4100" width="10" style="420" customWidth="1"/>
    <col min="4101" max="4101" width="12.5703125" style="420" customWidth="1"/>
    <col min="4102" max="4102" width="10.28515625" style="420" customWidth="1"/>
    <col min="4103" max="4103" width="11" style="420" customWidth="1"/>
    <col min="4104" max="4104" width="10.5703125" style="420" customWidth="1"/>
    <col min="4105" max="4105" width="10.7109375" style="420" customWidth="1"/>
    <col min="4106" max="4107" width="10" style="420" customWidth="1"/>
    <col min="4108" max="4108" width="12.140625" style="420" customWidth="1"/>
    <col min="4109" max="4352" width="9.140625" style="420"/>
    <col min="4353" max="4353" width="4.7109375" style="420" customWidth="1"/>
    <col min="4354" max="4354" width="16.85546875" style="420" customWidth="1"/>
    <col min="4355" max="4355" width="11.7109375" style="420" customWidth="1"/>
    <col min="4356" max="4356" width="10" style="420" customWidth="1"/>
    <col min="4357" max="4357" width="12.5703125" style="420" customWidth="1"/>
    <col min="4358" max="4358" width="10.28515625" style="420" customWidth="1"/>
    <col min="4359" max="4359" width="11" style="420" customWidth="1"/>
    <col min="4360" max="4360" width="10.5703125" style="420" customWidth="1"/>
    <col min="4361" max="4361" width="10.7109375" style="420" customWidth="1"/>
    <col min="4362" max="4363" width="10" style="420" customWidth="1"/>
    <col min="4364" max="4364" width="12.140625" style="420" customWidth="1"/>
    <col min="4365" max="4608" width="9.140625" style="420"/>
    <col min="4609" max="4609" width="4.7109375" style="420" customWidth="1"/>
    <col min="4610" max="4610" width="16.85546875" style="420" customWidth="1"/>
    <col min="4611" max="4611" width="11.7109375" style="420" customWidth="1"/>
    <col min="4612" max="4612" width="10" style="420" customWidth="1"/>
    <col min="4613" max="4613" width="12.5703125" style="420" customWidth="1"/>
    <col min="4614" max="4614" width="10.28515625" style="420" customWidth="1"/>
    <col min="4615" max="4615" width="11" style="420" customWidth="1"/>
    <col min="4616" max="4616" width="10.5703125" style="420" customWidth="1"/>
    <col min="4617" max="4617" width="10.7109375" style="420" customWidth="1"/>
    <col min="4618" max="4619" width="10" style="420" customWidth="1"/>
    <col min="4620" max="4620" width="12.140625" style="420" customWidth="1"/>
    <col min="4621" max="4864" width="9.140625" style="420"/>
    <col min="4865" max="4865" width="4.7109375" style="420" customWidth="1"/>
    <col min="4866" max="4866" width="16.85546875" style="420" customWidth="1"/>
    <col min="4867" max="4867" width="11.7109375" style="420" customWidth="1"/>
    <col min="4868" max="4868" width="10" style="420" customWidth="1"/>
    <col min="4869" max="4869" width="12.5703125" style="420" customWidth="1"/>
    <col min="4870" max="4870" width="10.28515625" style="420" customWidth="1"/>
    <col min="4871" max="4871" width="11" style="420" customWidth="1"/>
    <col min="4872" max="4872" width="10.5703125" style="420" customWidth="1"/>
    <col min="4873" max="4873" width="10.7109375" style="420" customWidth="1"/>
    <col min="4874" max="4875" width="10" style="420" customWidth="1"/>
    <col min="4876" max="4876" width="12.140625" style="420" customWidth="1"/>
    <col min="4877" max="5120" width="9.140625" style="420"/>
    <col min="5121" max="5121" width="4.7109375" style="420" customWidth="1"/>
    <col min="5122" max="5122" width="16.85546875" style="420" customWidth="1"/>
    <col min="5123" max="5123" width="11.7109375" style="420" customWidth="1"/>
    <col min="5124" max="5124" width="10" style="420" customWidth="1"/>
    <col min="5125" max="5125" width="12.5703125" style="420" customWidth="1"/>
    <col min="5126" max="5126" width="10.28515625" style="420" customWidth="1"/>
    <col min="5127" max="5127" width="11" style="420" customWidth="1"/>
    <col min="5128" max="5128" width="10.5703125" style="420" customWidth="1"/>
    <col min="5129" max="5129" width="10.7109375" style="420" customWidth="1"/>
    <col min="5130" max="5131" width="10" style="420" customWidth="1"/>
    <col min="5132" max="5132" width="12.140625" style="420" customWidth="1"/>
    <col min="5133" max="5376" width="9.140625" style="420"/>
    <col min="5377" max="5377" width="4.7109375" style="420" customWidth="1"/>
    <col min="5378" max="5378" width="16.85546875" style="420" customWidth="1"/>
    <col min="5379" max="5379" width="11.7109375" style="420" customWidth="1"/>
    <col min="5380" max="5380" width="10" style="420" customWidth="1"/>
    <col min="5381" max="5381" width="12.5703125" style="420" customWidth="1"/>
    <col min="5382" max="5382" width="10.28515625" style="420" customWidth="1"/>
    <col min="5383" max="5383" width="11" style="420" customWidth="1"/>
    <col min="5384" max="5384" width="10.5703125" style="420" customWidth="1"/>
    <col min="5385" max="5385" width="10.7109375" style="420" customWidth="1"/>
    <col min="5386" max="5387" width="10" style="420" customWidth="1"/>
    <col min="5388" max="5388" width="12.140625" style="420" customWidth="1"/>
    <col min="5389" max="5632" width="9.140625" style="420"/>
    <col min="5633" max="5633" width="4.7109375" style="420" customWidth="1"/>
    <col min="5634" max="5634" width="16.85546875" style="420" customWidth="1"/>
    <col min="5635" max="5635" width="11.7109375" style="420" customWidth="1"/>
    <col min="5636" max="5636" width="10" style="420" customWidth="1"/>
    <col min="5637" max="5637" width="12.5703125" style="420" customWidth="1"/>
    <col min="5638" max="5638" width="10.28515625" style="420" customWidth="1"/>
    <col min="5639" max="5639" width="11" style="420" customWidth="1"/>
    <col min="5640" max="5640" width="10.5703125" style="420" customWidth="1"/>
    <col min="5641" max="5641" width="10.7109375" style="420" customWidth="1"/>
    <col min="5642" max="5643" width="10" style="420" customWidth="1"/>
    <col min="5644" max="5644" width="12.140625" style="420" customWidth="1"/>
    <col min="5645" max="5888" width="9.140625" style="420"/>
    <col min="5889" max="5889" width="4.7109375" style="420" customWidth="1"/>
    <col min="5890" max="5890" width="16.85546875" style="420" customWidth="1"/>
    <col min="5891" max="5891" width="11.7109375" style="420" customWidth="1"/>
    <col min="5892" max="5892" width="10" style="420" customWidth="1"/>
    <col min="5893" max="5893" width="12.5703125" style="420" customWidth="1"/>
    <col min="5894" max="5894" width="10.28515625" style="420" customWidth="1"/>
    <col min="5895" max="5895" width="11" style="420" customWidth="1"/>
    <col min="5896" max="5896" width="10.5703125" style="420" customWidth="1"/>
    <col min="5897" max="5897" width="10.7109375" style="420" customWidth="1"/>
    <col min="5898" max="5899" width="10" style="420" customWidth="1"/>
    <col min="5900" max="5900" width="12.140625" style="420" customWidth="1"/>
    <col min="5901" max="6144" width="9.140625" style="420"/>
    <col min="6145" max="6145" width="4.7109375" style="420" customWidth="1"/>
    <col min="6146" max="6146" width="16.85546875" style="420" customWidth="1"/>
    <col min="6147" max="6147" width="11.7109375" style="420" customWidth="1"/>
    <col min="6148" max="6148" width="10" style="420" customWidth="1"/>
    <col min="6149" max="6149" width="12.5703125" style="420" customWidth="1"/>
    <col min="6150" max="6150" width="10.28515625" style="420" customWidth="1"/>
    <col min="6151" max="6151" width="11" style="420" customWidth="1"/>
    <col min="6152" max="6152" width="10.5703125" style="420" customWidth="1"/>
    <col min="6153" max="6153" width="10.7109375" style="420" customWidth="1"/>
    <col min="6154" max="6155" width="10" style="420" customWidth="1"/>
    <col min="6156" max="6156" width="12.140625" style="420" customWidth="1"/>
    <col min="6157" max="6400" width="9.140625" style="420"/>
    <col min="6401" max="6401" width="4.7109375" style="420" customWidth="1"/>
    <col min="6402" max="6402" width="16.85546875" style="420" customWidth="1"/>
    <col min="6403" max="6403" width="11.7109375" style="420" customWidth="1"/>
    <col min="6404" max="6404" width="10" style="420" customWidth="1"/>
    <col min="6405" max="6405" width="12.5703125" style="420" customWidth="1"/>
    <col min="6406" max="6406" width="10.28515625" style="420" customWidth="1"/>
    <col min="6407" max="6407" width="11" style="420" customWidth="1"/>
    <col min="6408" max="6408" width="10.5703125" style="420" customWidth="1"/>
    <col min="6409" max="6409" width="10.7109375" style="420" customWidth="1"/>
    <col min="6410" max="6411" width="10" style="420" customWidth="1"/>
    <col min="6412" max="6412" width="12.140625" style="420" customWidth="1"/>
    <col min="6413" max="6656" width="9.140625" style="420"/>
    <col min="6657" max="6657" width="4.7109375" style="420" customWidth="1"/>
    <col min="6658" max="6658" width="16.85546875" style="420" customWidth="1"/>
    <col min="6659" max="6659" width="11.7109375" style="420" customWidth="1"/>
    <col min="6660" max="6660" width="10" style="420" customWidth="1"/>
    <col min="6661" max="6661" width="12.5703125" style="420" customWidth="1"/>
    <col min="6662" max="6662" width="10.28515625" style="420" customWidth="1"/>
    <col min="6663" max="6663" width="11" style="420" customWidth="1"/>
    <col min="6664" max="6664" width="10.5703125" style="420" customWidth="1"/>
    <col min="6665" max="6665" width="10.7109375" style="420" customWidth="1"/>
    <col min="6666" max="6667" width="10" style="420" customWidth="1"/>
    <col min="6668" max="6668" width="12.140625" style="420" customWidth="1"/>
    <col min="6669" max="6912" width="9.140625" style="420"/>
    <col min="6913" max="6913" width="4.7109375" style="420" customWidth="1"/>
    <col min="6914" max="6914" width="16.85546875" style="420" customWidth="1"/>
    <col min="6915" max="6915" width="11.7109375" style="420" customWidth="1"/>
    <col min="6916" max="6916" width="10" style="420" customWidth="1"/>
    <col min="6917" max="6917" width="12.5703125" style="420" customWidth="1"/>
    <col min="6918" max="6918" width="10.28515625" style="420" customWidth="1"/>
    <col min="6919" max="6919" width="11" style="420" customWidth="1"/>
    <col min="6920" max="6920" width="10.5703125" style="420" customWidth="1"/>
    <col min="6921" max="6921" width="10.7109375" style="420" customWidth="1"/>
    <col min="6922" max="6923" width="10" style="420" customWidth="1"/>
    <col min="6924" max="6924" width="12.140625" style="420" customWidth="1"/>
    <col min="6925" max="7168" width="9.140625" style="420"/>
    <col min="7169" max="7169" width="4.7109375" style="420" customWidth="1"/>
    <col min="7170" max="7170" width="16.85546875" style="420" customWidth="1"/>
    <col min="7171" max="7171" width="11.7109375" style="420" customWidth="1"/>
    <col min="7172" max="7172" width="10" style="420" customWidth="1"/>
    <col min="7173" max="7173" width="12.5703125" style="420" customWidth="1"/>
    <col min="7174" max="7174" width="10.28515625" style="420" customWidth="1"/>
    <col min="7175" max="7175" width="11" style="420" customWidth="1"/>
    <col min="7176" max="7176" width="10.5703125" style="420" customWidth="1"/>
    <col min="7177" max="7177" width="10.7109375" style="420" customWidth="1"/>
    <col min="7178" max="7179" width="10" style="420" customWidth="1"/>
    <col min="7180" max="7180" width="12.140625" style="420" customWidth="1"/>
    <col min="7181" max="7424" width="9.140625" style="420"/>
    <col min="7425" max="7425" width="4.7109375" style="420" customWidth="1"/>
    <col min="7426" max="7426" width="16.85546875" style="420" customWidth="1"/>
    <col min="7427" max="7427" width="11.7109375" style="420" customWidth="1"/>
    <col min="7428" max="7428" width="10" style="420" customWidth="1"/>
    <col min="7429" max="7429" width="12.5703125" style="420" customWidth="1"/>
    <col min="7430" max="7430" width="10.28515625" style="420" customWidth="1"/>
    <col min="7431" max="7431" width="11" style="420" customWidth="1"/>
    <col min="7432" max="7432" width="10.5703125" style="420" customWidth="1"/>
    <col min="7433" max="7433" width="10.7109375" style="420" customWidth="1"/>
    <col min="7434" max="7435" width="10" style="420" customWidth="1"/>
    <col min="7436" max="7436" width="12.140625" style="420" customWidth="1"/>
    <col min="7437" max="7680" width="9.140625" style="420"/>
    <col min="7681" max="7681" width="4.7109375" style="420" customWidth="1"/>
    <col min="7682" max="7682" width="16.85546875" style="420" customWidth="1"/>
    <col min="7683" max="7683" width="11.7109375" style="420" customWidth="1"/>
    <col min="7684" max="7684" width="10" style="420" customWidth="1"/>
    <col min="7685" max="7685" width="12.5703125" style="420" customWidth="1"/>
    <col min="7686" max="7686" width="10.28515625" style="420" customWidth="1"/>
    <col min="7687" max="7687" width="11" style="420" customWidth="1"/>
    <col min="7688" max="7688" width="10.5703125" style="420" customWidth="1"/>
    <col min="7689" max="7689" width="10.7109375" style="420" customWidth="1"/>
    <col min="7690" max="7691" width="10" style="420" customWidth="1"/>
    <col min="7692" max="7692" width="12.140625" style="420" customWidth="1"/>
    <col min="7693" max="7936" width="9.140625" style="420"/>
    <col min="7937" max="7937" width="4.7109375" style="420" customWidth="1"/>
    <col min="7938" max="7938" width="16.85546875" style="420" customWidth="1"/>
    <col min="7939" max="7939" width="11.7109375" style="420" customWidth="1"/>
    <col min="7940" max="7940" width="10" style="420" customWidth="1"/>
    <col min="7941" max="7941" width="12.5703125" style="420" customWidth="1"/>
    <col min="7942" max="7942" width="10.28515625" style="420" customWidth="1"/>
    <col min="7943" max="7943" width="11" style="420" customWidth="1"/>
    <col min="7944" max="7944" width="10.5703125" style="420" customWidth="1"/>
    <col min="7945" max="7945" width="10.7109375" style="420" customWidth="1"/>
    <col min="7946" max="7947" width="10" style="420" customWidth="1"/>
    <col min="7948" max="7948" width="12.140625" style="420" customWidth="1"/>
    <col min="7949" max="8192" width="9.140625" style="420"/>
    <col min="8193" max="8193" width="4.7109375" style="420" customWidth="1"/>
    <col min="8194" max="8194" width="16.85546875" style="420" customWidth="1"/>
    <col min="8195" max="8195" width="11.7109375" style="420" customWidth="1"/>
    <col min="8196" max="8196" width="10" style="420" customWidth="1"/>
    <col min="8197" max="8197" width="12.5703125" style="420" customWidth="1"/>
    <col min="8198" max="8198" width="10.28515625" style="420" customWidth="1"/>
    <col min="8199" max="8199" width="11" style="420" customWidth="1"/>
    <col min="8200" max="8200" width="10.5703125" style="420" customWidth="1"/>
    <col min="8201" max="8201" width="10.7109375" style="420" customWidth="1"/>
    <col min="8202" max="8203" width="10" style="420" customWidth="1"/>
    <col min="8204" max="8204" width="12.140625" style="420" customWidth="1"/>
    <col min="8205" max="8448" width="9.140625" style="420"/>
    <col min="8449" max="8449" width="4.7109375" style="420" customWidth="1"/>
    <col min="8450" max="8450" width="16.85546875" style="420" customWidth="1"/>
    <col min="8451" max="8451" width="11.7109375" style="420" customWidth="1"/>
    <col min="8452" max="8452" width="10" style="420" customWidth="1"/>
    <col min="8453" max="8453" width="12.5703125" style="420" customWidth="1"/>
    <col min="8454" max="8454" width="10.28515625" style="420" customWidth="1"/>
    <col min="8455" max="8455" width="11" style="420" customWidth="1"/>
    <col min="8456" max="8456" width="10.5703125" style="420" customWidth="1"/>
    <col min="8457" max="8457" width="10.7109375" style="420" customWidth="1"/>
    <col min="8458" max="8459" width="10" style="420" customWidth="1"/>
    <col min="8460" max="8460" width="12.140625" style="420" customWidth="1"/>
    <col min="8461" max="8704" width="9.140625" style="420"/>
    <col min="8705" max="8705" width="4.7109375" style="420" customWidth="1"/>
    <col min="8706" max="8706" width="16.85546875" style="420" customWidth="1"/>
    <col min="8707" max="8707" width="11.7109375" style="420" customWidth="1"/>
    <col min="8708" max="8708" width="10" style="420" customWidth="1"/>
    <col min="8709" max="8709" width="12.5703125" style="420" customWidth="1"/>
    <col min="8710" max="8710" width="10.28515625" style="420" customWidth="1"/>
    <col min="8711" max="8711" width="11" style="420" customWidth="1"/>
    <col min="8712" max="8712" width="10.5703125" style="420" customWidth="1"/>
    <col min="8713" max="8713" width="10.7109375" style="420" customWidth="1"/>
    <col min="8714" max="8715" width="10" style="420" customWidth="1"/>
    <col min="8716" max="8716" width="12.140625" style="420" customWidth="1"/>
    <col min="8717" max="8960" width="9.140625" style="420"/>
    <col min="8961" max="8961" width="4.7109375" style="420" customWidth="1"/>
    <col min="8962" max="8962" width="16.85546875" style="420" customWidth="1"/>
    <col min="8963" max="8963" width="11.7109375" style="420" customWidth="1"/>
    <col min="8964" max="8964" width="10" style="420" customWidth="1"/>
    <col min="8965" max="8965" width="12.5703125" style="420" customWidth="1"/>
    <col min="8966" max="8966" width="10.28515625" style="420" customWidth="1"/>
    <col min="8967" max="8967" width="11" style="420" customWidth="1"/>
    <col min="8968" max="8968" width="10.5703125" style="420" customWidth="1"/>
    <col min="8969" max="8969" width="10.7109375" style="420" customWidth="1"/>
    <col min="8970" max="8971" width="10" style="420" customWidth="1"/>
    <col min="8972" max="8972" width="12.140625" style="420" customWidth="1"/>
    <col min="8973" max="9216" width="9.140625" style="420"/>
    <col min="9217" max="9217" width="4.7109375" style="420" customWidth="1"/>
    <col min="9218" max="9218" width="16.85546875" style="420" customWidth="1"/>
    <col min="9219" max="9219" width="11.7109375" style="420" customWidth="1"/>
    <col min="9220" max="9220" width="10" style="420" customWidth="1"/>
    <col min="9221" max="9221" width="12.5703125" style="420" customWidth="1"/>
    <col min="9222" max="9222" width="10.28515625" style="420" customWidth="1"/>
    <col min="9223" max="9223" width="11" style="420" customWidth="1"/>
    <col min="9224" max="9224" width="10.5703125" style="420" customWidth="1"/>
    <col min="9225" max="9225" width="10.7109375" style="420" customWidth="1"/>
    <col min="9226" max="9227" width="10" style="420" customWidth="1"/>
    <col min="9228" max="9228" width="12.140625" style="420" customWidth="1"/>
    <col min="9229" max="9472" width="9.140625" style="420"/>
    <col min="9473" max="9473" width="4.7109375" style="420" customWidth="1"/>
    <col min="9474" max="9474" width="16.85546875" style="420" customWidth="1"/>
    <col min="9475" max="9475" width="11.7109375" style="420" customWidth="1"/>
    <col min="9476" max="9476" width="10" style="420" customWidth="1"/>
    <col min="9477" max="9477" width="12.5703125" style="420" customWidth="1"/>
    <col min="9478" max="9478" width="10.28515625" style="420" customWidth="1"/>
    <col min="9479" max="9479" width="11" style="420" customWidth="1"/>
    <col min="9480" max="9480" width="10.5703125" style="420" customWidth="1"/>
    <col min="9481" max="9481" width="10.7109375" style="420" customWidth="1"/>
    <col min="9482" max="9483" width="10" style="420" customWidth="1"/>
    <col min="9484" max="9484" width="12.140625" style="420" customWidth="1"/>
    <col min="9485" max="9728" width="9.140625" style="420"/>
    <col min="9729" max="9729" width="4.7109375" style="420" customWidth="1"/>
    <col min="9730" max="9730" width="16.85546875" style="420" customWidth="1"/>
    <col min="9731" max="9731" width="11.7109375" style="420" customWidth="1"/>
    <col min="9732" max="9732" width="10" style="420" customWidth="1"/>
    <col min="9733" max="9733" width="12.5703125" style="420" customWidth="1"/>
    <col min="9734" max="9734" width="10.28515625" style="420" customWidth="1"/>
    <col min="9735" max="9735" width="11" style="420" customWidth="1"/>
    <col min="9736" max="9736" width="10.5703125" style="420" customWidth="1"/>
    <col min="9737" max="9737" width="10.7109375" style="420" customWidth="1"/>
    <col min="9738" max="9739" width="10" style="420" customWidth="1"/>
    <col min="9740" max="9740" width="12.140625" style="420" customWidth="1"/>
    <col min="9741" max="9984" width="9.140625" style="420"/>
    <col min="9985" max="9985" width="4.7109375" style="420" customWidth="1"/>
    <col min="9986" max="9986" width="16.85546875" style="420" customWidth="1"/>
    <col min="9987" max="9987" width="11.7109375" style="420" customWidth="1"/>
    <col min="9988" max="9988" width="10" style="420" customWidth="1"/>
    <col min="9989" max="9989" width="12.5703125" style="420" customWidth="1"/>
    <col min="9990" max="9990" width="10.28515625" style="420" customWidth="1"/>
    <col min="9991" max="9991" width="11" style="420" customWidth="1"/>
    <col min="9992" max="9992" width="10.5703125" style="420" customWidth="1"/>
    <col min="9993" max="9993" width="10.7109375" style="420" customWidth="1"/>
    <col min="9994" max="9995" width="10" style="420" customWidth="1"/>
    <col min="9996" max="9996" width="12.140625" style="420" customWidth="1"/>
    <col min="9997" max="10240" width="9.140625" style="420"/>
    <col min="10241" max="10241" width="4.7109375" style="420" customWidth="1"/>
    <col min="10242" max="10242" width="16.85546875" style="420" customWidth="1"/>
    <col min="10243" max="10243" width="11.7109375" style="420" customWidth="1"/>
    <col min="10244" max="10244" width="10" style="420" customWidth="1"/>
    <col min="10245" max="10245" width="12.5703125" style="420" customWidth="1"/>
    <col min="10246" max="10246" width="10.28515625" style="420" customWidth="1"/>
    <col min="10247" max="10247" width="11" style="420" customWidth="1"/>
    <col min="10248" max="10248" width="10.5703125" style="420" customWidth="1"/>
    <col min="10249" max="10249" width="10.7109375" style="420" customWidth="1"/>
    <col min="10250" max="10251" width="10" style="420" customWidth="1"/>
    <col min="10252" max="10252" width="12.140625" style="420" customWidth="1"/>
    <col min="10253" max="10496" width="9.140625" style="420"/>
    <col min="10497" max="10497" width="4.7109375" style="420" customWidth="1"/>
    <col min="10498" max="10498" width="16.85546875" style="420" customWidth="1"/>
    <col min="10499" max="10499" width="11.7109375" style="420" customWidth="1"/>
    <col min="10500" max="10500" width="10" style="420" customWidth="1"/>
    <col min="10501" max="10501" width="12.5703125" style="420" customWidth="1"/>
    <col min="10502" max="10502" width="10.28515625" style="420" customWidth="1"/>
    <col min="10503" max="10503" width="11" style="420" customWidth="1"/>
    <col min="10504" max="10504" width="10.5703125" style="420" customWidth="1"/>
    <col min="10505" max="10505" width="10.7109375" style="420" customWidth="1"/>
    <col min="10506" max="10507" width="10" style="420" customWidth="1"/>
    <col min="10508" max="10508" width="12.140625" style="420" customWidth="1"/>
    <col min="10509" max="10752" width="9.140625" style="420"/>
    <col min="10753" max="10753" width="4.7109375" style="420" customWidth="1"/>
    <col min="10754" max="10754" width="16.85546875" style="420" customWidth="1"/>
    <col min="10755" max="10755" width="11.7109375" style="420" customWidth="1"/>
    <col min="10756" max="10756" width="10" style="420" customWidth="1"/>
    <col min="10757" max="10757" width="12.5703125" style="420" customWidth="1"/>
    <col min="10758" max="10758" width="10.28515625" style="420" customWidth="1"/>
    <col min="10759" max="10759" width="11" style="420" customWidth="1"/>
    <col min="10760" max="10760" width="10.5703125" style="420" customWidth="1"/>
    <col min="10761" max="10761" width="10.7109375" style="420" customWidth="1"/>
    <col min="10762" max="10763" width="10" style="420" customWidth="1"/>
    <col min="10764" max="10764" width="12.140625" style="420" customWidth="1"/>
    <col min="10765" max="11008" width="9.140625" style="420"/>
    <col min="11009" max="11009" width="4.7109375" style="420" customWidth="1"/>
    <col min="11010" max="11010" width="16.85546875" style="420" customWidth="1"/>
    <col min="11011" max="11011" width="11.7109375" style="420" customWidth="1"/>
    <col min="11012" max="11012" width="10" style="420" customWidth="1"/>
    <col min="11013" max="11013" width="12.5703125" style="420" customWidth="1"/>
    <col min="11014" max="11014" width="10.28515625" style="420" customWidth="1"/>
    <col min="11015" max="11015" width="11" style="420" customWidth="1"/>
    <col min="11016" max="11016" width="10.5703125" style="420" customWidth="1"/>
    <col min="11017" max="11017" width="10.7109375" style="420" customWidth="1"/>
    <col min="11018" max="11019" width="10" style="420" customWidth="1"/>
    <col min="11020" max="11020" width="12.140625" style="420" customWidth="1"/>
    <col min="11021" max="11264" width="9.140625" style="420"/>
    <col min="11265" max="11265" width="4.7109375" style="420" customWidth="1"/>
    <col min="11266" max="11266" width="16.85546875" style="420" customWidth="1"/>
    <col min="11267" max="11267" width="11.7109375" style="420" customWidth="1"/>
    <col min="11268" max="11268" width="10" style="420" customWidth="1"/>
    <col min="11269" max="11269" width="12.5703125" style="420" customWidth="1"/>
    <col min="11270" max="11270" width="10.28515625" style="420" customWidth="1"/>
    <col min="11271" max="11271" width="11" style="420" customWidth="1"/>
    <col min="11272" max="11272" width="10.5703125" style="420" customWidth="1"/>
    <col min="11273" max="11273" width="10.7109375" style="420" customWidth="1"/>
    <col min="11274" max="11275" width="10" style="420" customWidth="1"/>
    <col min="11276" max="11276" width="12.140625" style="420" customWidth="1"/>
    <col min="11277" max="11520" width="9.140625" style="420"/>
    <col min="11521" max="11521" width="4.7109375" style="420" customWidth="1"/>
    <col min="11522" max="11522" width="16.85546875" style="420" customWidth="1"/>
    <col min="11523" max="11523" width="11.7109375" style="420" customWidth="1"/>
    <col min="11524" max="11524" width="10" style="420" customWidth="1"/>
    <col min="11525" max="11525" width="12.5703125" style="420" customWidth="1"/>
    <col min="11526" max="11526" width="10.28515625" style="420" customWidth="1"/>
    <col min="11527" max="11527" width="11" style="420" customWidth="1"/>
    <col min="11528" max="11528" width="10.5703125" style="420" customWidth="1"/>
    <col min="11529" max="11529" width="10.7109375" style="420" customWidth="1"/>
    <col min="11530" max="11531" width="10" style="420" customWidth="1"/>
    <col min="11532" max="11532" width="12.140625" style="420" customWidth="1"/>
    <col min="11533" max="11776" width="9.140625" style="420"/>
    <col min="11777" max="11777" width="4.7109375" style="420" customWidth="1"/>
    <col min="11778" max="11778" width="16.85546875" style="420" customWidth="1"/>
    <col min="11779" max="11779" width="11.7109375" style="420" customWidth="1"/>
    <col min="11780" max="11780" width="10" style="420" customWidth="1"/>
    <col min="11781" max="11781" width="12.5703125" style="420" customWidth="1"/>
    <col min="11782" max="11782" width="10.28515625" style="420" customWidth="1"/>
    <col min="11783" max="11783" width="11" style="420" customWidth="1"/>
    <col min="11784" max="11784" width="10.5703125" style="420" customWidth="1"/>
    <col min="11785" max="11785" width="10.7109375" style="420" customWidth="1"/>
    <col min="11786" max="11787" width="10" style="420" customWidth="1"/>
    <col min="11788" max="11788" width="12.140625" style="420" customWidth="1"/>
    <col min="11789" max="12032" width="9.140625" style="420"/>
    <col min="12033" max="12033" width="4.7109375" style="420" customWidth="1"/>
    <col min="12034" max="12034" width="16.85546875" style="420" customWidth="1"/>
    <col min="12035" max="12035" width="11.7109375" style="420" customWidth="1"/>
    <col min="12036" max="12036" width="10" style="420" customWidth="1"/>
    <col min="12037" max="12037" width="12.5703125" style="420" customWidth="1"/>
    <col min="12038" max="12038" width="10.28515625" style="420" customWidth="1"/>
    <col min="12039" max="12039" width="11" style="420" customWidth="1"/>
    <col min="12040" max="12040" width="10.5703125" style="420" customWidth="1"/>
    <col min="12041" max="12041" width="10.7109375" style="420" customWidth="1"/>
    <col min="12042" max="12043" width="10" style="420" customWidth="1"/>
    <col min="12044" max="12044" width="12.140625" style="420" customWidth="1"/>
    <col min="12045" max="12288" width="9.140625" style="420"/>
    <col min="12289" max="12289" width="4.7109375" style="420" customWidth="1"/>
    <col min="12290" max="12290" width="16.85546875" style="420" customWidth="1"/>
    <col min="12291" max="12291" width="11.7109375" style="420" customWidth="1"/>
    <col min="12292" max="12292" width="10" style="420" customWidth="1"/>
    <col min="12293" max="12293" width="12.5703125" style="420" customWidth="1"/>
    <col min="12294" max="12294" width="10.28515625" style="420" customWidth="1"/>
    <col min="12295" max="12295" width="11" style="420" customWidth="1"/>
    <col min="12296" max="12296" width="10.5703125" style="420" customWidth="1"/>
    <col min="12297" max="12297" width="10.7109375" style="420" customWidth="1"/>
    <col min="12298" max="12299" width="10" style="420" customWidth="1"/>
    <col min="12300" max="12300" width="12.140625" style="420" customWidth="1"/>
    <col min="12301" max="12544" width="9.140625" style="420"/>
    <col min="12545" max="12545" width="4.7109375" style="420" customWidth="1"/>
    <col min="12546" max="12546" width="16.85546875" style="420" customWidth="1"/>
    <col min="12547" max="12547" width="11.7109375" style="420" customWidth="1"/>
    <col min="12548" max="12548" width="10" style="420" customWidth="1"/>
    <col min="12549" max="12549" width="12.5703125" style="420" customWidth="1"/>
    <col min="12550" max="12550" width="10.28515625" style="420" customWidth="1"/>
    <col min="12551" max="12551" width="11" style="420" customWidth="1"/>
    <col min="12552" max="12552" width="10.5703125" style="420" customWidth="1"/>
    <col min="12553" max="12553" width="10.7109375" style="420" customWidth="1"/>
    <col min="12554" max="12555" width="10" style="420" customWidth="1"/>
    <col min="12556" max="12556" width="12.140625" style="420" customWidth="1"/>
    <col min="12557" max="12800" width="9.140625" style="420"/>
    <col min="12801" max="12801" width="4.7109375" style="420" customWidth="1"/>
    <col min="12802" max="12802" width="16.85546875" style="420" customWidth="1"/>
    <col min="12803" max="12803" width="11.7109375" style="420" customWidth="1"/>
    <col min="12804" max="12804" width="10" style="420" customWidth="1"/>
    <col min="12805" max="12805" width="12.5703125" style="420" customWidth="1"/>
    <col min="12806" max="12806" width="10.28515625" style="420" customWidth="1"/>
    <col min="12807" max="12807" width="11" style="420" customWidth="1"/>
    <col min="12808" max="12808" width="10.5703125" style="420" customWidth="1"/>
    <col min="12809" max="12809" width="10.7109375" style="420" customWidth="1"/>
    <col min="12810" max="12811" width="10" style="420" customWidth="1"/>
    <col min="12812" max="12812" width="12.140625" style="420" customWidth="1"/>
    <col min="12813" max="13056" width="9.140625" style="420"/>
    <col min="13057" max="13057" width="4.7109375" style="420" customWidth="1"/>
    <col min="13058" max="13058" width="16.85546875" style="420" customWidth="1"/>
    <col min="13059" max="13059" width="11.7109375" style="420" customWidth="1"/>
    <col min="13060" max="13060" width="10" style="420" customWidth="1"/>
    <col min="13061" max="13061" width="12.5703125" style="420" customWidth="1"/>
    <col min="13062" max="13062" width="10.28515625" style="420" customWidth="1"/>
    <col min="13063" max="13063" width="11" style="420" customWidth="1"/>
    <col min="13064" max="13064" width="10.5703125" style="420" customWidth="1"/>
    <col min="13065" max="13065" width="10.7109375" style="420" customWidth="1"/>
    <col min="13066" max="13067" width="10" style="420" customWidth="1"/>
    <col min="13068" max="13068" width="12.140625" style="420" customWidth="1"/>
    <col min="13069" max="13312" width="9.140625" style="420"/>
    <col min="13313" max="13313" width="4.7109375" style="420" customWidth="1"/>
    <col min="13314" max="13314" width="16.85546875" style="420" customWidth="1"/>
    <col min="13315" max="13315" width="11.7109375" style="420" customWidth="1"/>
    <col min="13316" max="13316" width="10" style="420" customWidth="1"/>
    <col min="13317" max="13317" width="12.5703125" style="420" customWidth="1"/>
    <col min="13318" max="13318" width="10.28515625" style="420" customWidth="1"/>
    <col min="13319" max="13319" width="11" style="420" customWidth="1"/>
    <col min="13320" max="13320" width="10.5703125" style="420" customWidth="1"/>
    <col min="13321" max="13321" width="10.7109375" style="420" customWidth="1"/>
    <col min="13322" max="13323" width="10" style="420" customWidth="1"/>
    <col min="13324" max="13324" width="12.140625" style="420" customWidth="1"/>
    <col min="13325" max="13568" width="9.140625" style="420"/>
    <col min="13569" max="13569" width="4.7109375" style="420" customWidth="1"/>
    <col min="13570" max="13570" width="16.85546875" style="420" customWidth="1"/>
    <col min="13571" max="13571" width="11.7109375" style="420" customWidth="1"/>
    <col min="13572" max="13572" width="10" style="420" customWidth="1"/>
    <col min="13573" max="13573" width="12.5703125" style="420" customWidth="1"/>
    <col min="13574" max="13574" width="10.28515625" style="420" customWidth="1"/>
    <col min="13575" max="13575" width="11" style="420" customWidth="1"/>
    <col min="13576" max="13576" width="10.5703125" style="420" customWidth="1"/>
    <col min="13577" max="13577" width="10.7109375" style="420" customWidth="1"/>
    <col min="13578" max="13579" width="10" style="420" customWidth="1"/>
    <col min="13580" max="13580" width="12.140625" style="420" customWidth="1"/>
    <col min="13581" max="13824" width="9.140625" style="420"/>
    <col min="13825" max="13825" width="4.7109375" style="420" customWidth="1"/>
    <col min="13826" max="13826" width="16.85546875" style="420" customWidth="1"/>
    <col min="13827" max="13827" width="11.7109375" style="420" customWidth="1"/>
    <col min="13828" max="13828" width="10" style="420" customWidth="1"/>
    <col min="13829" max="13829" width="12.5703125" style="420" customWidth="1"/>
    <col min="13830" max="13830" width="10.28515625" style="420" customWidth="1"/>
    <col min="13831" max="13831" width="11" style="420" customWidth="1"/>
    <col min="13832" max="13832" width="10.5703125" style="420" customWidth="1"/>
    <col min="13833" max="13833" width="10.7109375" style="420" customWidth="1"/>
    <col min="13834" max="13835" width="10" style="420" customWidth="1"/>
    <col min="13836" max="13836" width="12.140625" style="420" customWidth="1"/>
    <col min="13837" max="14080" width="9.140625" style="420"/>
    <col min="14081" max="14081" width="4.7109375" style="420" customWidth="1"/>
    <col min="14082" max="14082" width="16.85546875" style="420" customWidth="1"/>
    <col min="14083" max="14083" width="11.7109375" style="420" customWidth="1"/>
    <col min="14084" max="14084" width="10" style="420" customWidth="1"/>
    <col min="14085" max="14085" width="12.5703125" style="420" customWidth="1"/>
    <col min="14086" max="14086" width="10.28515625" style="420" customWidth="1"/>
    <col min="14087" max="14087" width="11" style="420" customWidth="1"/>
    <col min="14088" max="14088" width="10.5703125" style="420" customWidth="1"/>
    <col min="14089" max="14089" width="10.7109375" style="420" customWidth="1"/>
    <col min="14090" max="14091" width="10" style="420" customWidth="1"/>
    <col min="14092" max="14092" width="12.140625" style="420" customWidth="1"/>
    <col min="14093" max="14336" width="9.140625" style="420"/>
    <col min="14337" max="14337" width="4.7109375" style="420" customWidth="1"/>
    <col min="14338" max="14338" width="16.85546875" style="420" customWidth="1"/>
    <col min="14339" max="14339" width="11.7109375" style="420" customWidth="1"/>
    <col min="14340" max="14340" width="10" style="420" customWidth="1"/>
    <col min="14341" max="14341" width="12.5703125" style="420" customWidth="1"/>
    <col min="14342" max="14342" width="10.28515625" style="420" customWidth="1"/>
    <col min="14343" max="14343" width="11" style="420" customWidth="1"/>
    <col min="14344" max="14344" width="10.5703125" style="420" customWidth="1"/>
    <col min="14345" max="14345" width="10.7109375" style="420" customWidth="1"/>
    <col min="14346" max="14347" width="10" style="420" customWidth="1"/>
    <col min="14348" max="14348" width="12.140625" style="420" customWidth="1"/>
    <col min="14349" max="14592" width="9.140625" style="420"/>
    <col min="14593" max="14593" width="4.7109375" style="420" customWidth="1"/>
    <col min="14594" max="14594" width="16.85546875" style="420" customWidth="1"/>
    <col min="14595" max="14595" width="11.7109375" style="420" customWidth="1"/>
    <col min="14596" max="14596" width="10" style="420" customWidth="1"/>
    <col min="14597" max="14597" width="12.5703125" style="420" customWidth="1"/>
    <col min="14598" max="14598" width="10.28515625" style="420" customWidth="1"/>
    <col min="14599" max="14599" width="11" style="420" customWidth="1"/>
    <col min="14600" max="14600" width="10.5703125" style="420" customWidth="1"/>
    <col min="14601" max="14601" width="10.7109375" style="420" customWidth="1"/>
    <col min="14602" max="14603" width="10" style="420" customWidth="1"/>
    <col min="14604" max="14604" width="12.140625" style="420" customWidth="1"/>
    <col min="14605" max="14848" width="9.140625" style="420"/>
    <col min="14849" max="14849" width="4.7109375" style="420" customWidth="1"/>
    <col min="14850" max="14850" width="16.85546875" style="420" customWidth="1"/>
    <col min="14851" max="14851" width="11.7109375" style="420" customWidth="1"/>
    <col min="14852" max="14852" width="10" style="420" customWidth="1"/>
    <col min="14853" max="14853" width="12.5703125" style="420" customWidth="1"/>
    <col min="14854" max="14854" width="10.28515625" style="420" customWidth="1"/>
    <col min="14855" max="14855" width="11" style="420" customWidth="1"/>
    <col min="14856" max="14856" width="10.5703125" style="420" customWidth="1"/>
    <col min="14857" max="14857" width="10.7109375" style="420" customWidth="1"/>
    <col min="14858" max="14859" width="10" style="420" customWidth="1"/>
    <col min="14860" max="14860" width="12.140625" style="420" customWidth="1"/>
    <col min="14861" max="15104" width="9.140625" style="420"/>
    <col min="15105" max="15105" width="4.7109375" style="420" customWidth="1"/>
    <col min="15106" max="15106" width="16.85546875" style="420" customWidth="1"/>
    <col min="15107" max="15107" width="11.7109375" style="420" customWidth="1"/>
    <col min="15108" max="15108" width="10" style="420" customWidth="1"/>
    <col min="15109" max="15109" width="12.5703125" style="420" customWidth="1"/>
    <col min="15110" max="15110" width="10.28515625" style="420" customWidth="1"/>
    <col min="15111" max="15111" width="11" style="420" customWidth="1"/>
    <col min="15112" max="15112" width="10.5703125" style="420" customWidth="1"/>
    <col min="15113" max="15113" width="10.7109375" style="420" customWidth="1"/>
    <col min="15114" max="15115" width="10" style="420" customWidth="1"/>
    <col min="15116" max="15116" width="12.140625" style="420" customWidth="1"/>
    <col min="15117" max="15360" width="9.140625" style="420"/>
    <col min="15361" max="15361" width="4.7109375" style="420" customWidth="1"/>
    <col min="15362" max="15362" width="16.85546875" style="420" customWidth="1"/>
    <col min="15363" max="15363" width="11.7109375" style="420" customWidth="1"/>
    <col min="15364" max="15364" width="10" style="420" customWidth="1"/>
    <col min="15365" max="15365" width="12.5703125" style="420" customWidth="1"/>
    <col min="15366" max="15366" width="10.28515625" style="420" customWidth="1"/>
    <col min="15367" max="15367" width="11" style="420" customWidth="1"/>
    <col min="15368" max="15368" width="10.5703125" style="420" customWidth="1"/>
    <col min="15369" max="15369" width="10.7109375" style="420" customWidth="1"/>
    <col min="15370" max="15371" width="10" style="420" customWidth="1"/>
    <col min="15372" max="15372" width="12.140625" style="420" customWidth="1"/>
    <col min="15373" max="15616" width="9.140625" style="420"/>
    <col min="15617" max="15617" width="4.7109375" style="420" customWidth="1"/>
    <col min="15618" max="15618" width="16.85546875" style="420" customWidth="1"/>
    <col min="15619" max="15619" width="11.7109375" style="420" customWidth="1"/>
    <col min="15620" max="15620" width="10" style="420" customWidth="1"/>
    <col min="15621" max="15621" width="12.5703125" style="420" customWidth="1"/>
    <col min="15622" max="15622" width="10.28515625" style="420" customWidth="1"/>
    <col min="15623" max="15623" width="11" style="420" customWidth="1"/>
    <col min="15624" max="15624" width="10.5703125" style="420" customWidth="1"/>
    <col min="15625" max="15625" width="10.7109375" style="420" customWidth="1"/>
    <col min="15626" max="15627" width="10" style="420" customWidth="1"/>
    <col min="15628" max="15628" width="12.140625" style="420" customWidth="1"/>
    <col min="15629" max="15872" width="9.140625" style="420"/>
    <col min="15873" max="15873" width="4.7109375" style="420" customWidth="1"/>
    <col min="15874" max="15874" width="16.85546875" style="420" customWidth="1"/>
    <col min="15875" max="15875" width="11.7109375" style="420" customWidth="1"/>
    <col min="15876" max="15876" width="10" style="420" customWidth="1"/>
    <col min="15877" max="15877" width="12.5703125" style="420" customWidth="1"/>
    <col min="15878" max="15878" width="10.28515625" style="420" customWidth="1"/>
    <col min="15879" max="15879" width="11" style="420" customWidth="1"/>
    <col min="15880" max="15880" width="10.5703125" style="420" customWidth="1"/>
    <col min="15881" max="15881" width="10.7109375" style="420" customWidth="1"/>
    <col min="15882" max="15883" width="10" style="420" customWidth="1"/>
    <col min="15884" max="15884" width="12.140625" style="420" customWidth="1"/>
    <col min="15885" max="16128" width="9.140625" style="420"/>
    <col min="16129" max="16129" width="4.7109375" style="420" customWidth="1"/>
    <col min="16130" max="16130" width="16.85546875" style="420" customWidth="1"/>
    <col min="16131" max="16131" width="11.7109375" style="420" customWidth="1"/>
    <col min="16132" max="16132" width="10" style="420" customWidth="1"/>
    <col min="16133" max="16133" width="12.5703125" style="420" customWidth="1"/>
    <col min="16134" max="16134" width="10.28515625" style="420" customWidth="1"/>
    <col min="16135" max="16135" width="11" style="420" customWidth="1"/>
    <col min="16136" max="16136" width="10.5703125" style="420" customWidth="1"/>
    <col min="16137" max="16137" width="10.7109375" style="420" customWidth="1"/>
    <col min="16138" max="16139" width="10" style="420" customWidth="1"/>
    <col min="16140" max="16140" width="12.140625" style="420" customWidth="1"/>
    <col min="16141" max="16384" width="9.140625" style="420"/>
  </cols>
  <sheetData>
    <row r="1" spans="1:14">
      <c r="D1" s="421"/>
      <c r="E1" s="421"/>
      <c r="F1" s="421"/>
      <c r="G1" s="421"/>
      <c r="H1" s="421"/>
      <c r="I1" s="462" t="s">
        <v>103</v>
      </c>
      <c r="J1" s="462"/>
      <c r="K1" s="462"/>
      <c r="L1" s="462"/>
    </row>
    <row r="2" spans="1:14" ht="15.75" customHeight="1">
      <c r="C2" s="422"/>
      <c r="D2" s="422"/>
      <c r="E2" s="422"/>
      <c r="F2" s="422"/>
      <c r="G2" s="422"/>
      <c r="H2" s="422"/>
      <c r="I2" s="461" t="s">
        <v>116</v>
      </c>
      <c r="J2" s="461"/>
      <c r="K2" s="461"/>
      <c r="L2" s="461"/>
    </row>
    <row r="3" spans="1:14">
      <c r="C3" s="422"/>
      <c r="D3" s="422"/>
      <c r="E3" s="422"/>
      <c r="F3" s="422"/>
      <c r="G3" s="422"/>
      <c r="H3" s="422"/>
      <c r="I3" s="461"/>
      <c r="J3" s="461"/>
      <c r="K3" s="461"/>
      <c r="L3" s="461"/>
    </row>
    <row r="4" spans="1:14">
      <c r="A4" s="462" t="s">
        <v>1118</v>
      </c>
      <c r="B4" s="462"/>
      <c r="C4" s="462"/>
      <c r="D4" s="462"/>
      <c r="E4" s="462"/>
      <c r="F4" s="462"/>
      <c r="G4" s="462"/>
      <c r="H4" s="462"/>
      <c r="I4" s="462"/>
      <c r="J4" s="462"/>
      <c r="K4" s="462"/>
      <c r="L4" s="462"/>
    </row>
    <row r="5" spans="1:14">
      <c r="C5" s="463" t="s">
        <v>1119</v>
      </c>
      <c r="D5" s="463"/>
      <c r="E5" s="463"/>
      <c r="F5" s="463"/>
      <c r="G5" s="463"/>
      <c r="H5" s="463"/>
      <c r="I5" s="463"/>
      <c r="J5" s="463"/>
      <c r="K5" s="463"/>
      <c r="L5" s="463"/>
    </row>
    <row r="6" spans="1:14" ht="16.5" customHeight="1">
      <c r="A6" s="464" t="s">
        <v>1120</v>
      </c>
      <c r="B6" s="464" t="s">
        <v>1121</v>
      </c>
      <c r="C6" s="467" t="s">
        <v>1122</v>
      </c>
      <c r="D6" s="467" t="s">
        <v>1123</v>
      </c>
      <c r="E6" s="467"/>
      <c r="F6" s="467"/>
      <c r="G6" s="467"/>
      <c r="H6" s="467" t="s">
        <v>1124</v>
      </c>
      <c r="I6" s="467"/>
      <c r="J6" s="467"/>
      <c r="K6" s="467"/>
      <c r="L6" s="467" t="s">
        <v>1125</v>
      </c>
    </row>
    <row r="7" spans="1:14" ht="38.25" customHeight="1">
      <c r="A7" s="465"/>
      <c r="B7" s="465"/>
      <c r="C7" s="467"/>
      <c r="D7" s="467" t="s">
        <v>104</v>
      </c>
      <c r="E7" s="467"/>
      <c r="F7" s="467" t="s">
        <v>105</v>
      </c>
      <c r="G7" s="467" t="s">
        <v>106</v>
      </c>
      <c r="H7" s="467" t="s">
        <v>104</v>
      </c>
      <c r="I7" s="467"/>
      <c r="J7" s="467" t="s">
        <v>105</v>
      </c>
      <c r="K7" s="467" t="s">
        <v>106</v>
      </c>
      <c r="L7" s="467"/>
    </row>
    <row r="8" spans="1:14" ht="63">
      <c r="A8" s="466"/>
      <c r="B8" s="466"/>
      <c r="C8" s="467"/>
      <c r="D8" s="423" t="s">
        <v>0</v>
      </c>
      <c r="E8" s="423" t="s">
        <v>1522</v>
      </c>
      <c r="F8" s="467"/>
      <c r="G8" s="467"/>
      <c r="H8" s="423" t="s">
        <v>0</v>
      </c>
      <c r="I8" s="423" t="s">
        <v>1522</v>
      </c>
      <c r="J8" s="467"/>
      <c r="K8" s="467"/>
      <c r="L8" s="467"/>
    </row>
    <row r="9" spans="1:14">
      <c r="A9" s="424" t="s">
        <v>3</v>
      </c>
      <c r="B9" s="425" t="s">
        <v>4</v>
      </c>
      <c r="C9" s="423">
        <v>1</v>
      </c>
      <c r="D9" s="423">
        <v>2</v>
      </c>
      <c r="E9" s="423">
        <v>3</v>
      </c>
      <c r="F9" s="423">
        <v>4</v>
      </c>
      <c r="G9" s="423" t="s">
        <v>107</v>
      </c>
      <c r="H9" s="423">
        <v>6</v>
      </c>
      <c r="I9" s="423">
        <v>7</v>
      </c>
      <c r="J9" s="423">
        <v>8</v>
      </c>
      <c r="K9" s="423" t="s">
        <v>108</v>
      </c>
      <c r="L9" s="423" t="s">
        <v>1439</v>
      </c>
      <c r="M9" s="426">
        <f>+H10-J10</f>
        <v>205877.831703</v>
      </c>
    </row>
    <row r="10" spans="1:14" s="429" customFormat="1" ht="23.25" customHeight="1">
      <c r="A10" s="427"/>
      <c r="B10" s="427" t="s">
        <v>1148</v>
      </c>
      <c r="C10" s="428">
        <f>SUM(C11:C30)</f>
        <v>742297</v>
      </c>
      <c r="D10" s="428">
        <f t="shared" ref="D10:L10" si="0">SUM(D11:D30)</f>
        <v>374772</v>
      </c>
      <c r="E10" s="428">
        <f t="shared" si="0"/>
        <v>114750</v>
      </c>
      <c r="F10" s="428">
        <f t="shared" si="0"/>
        <v>581544</v>
      </c>
      <c r="G10" s="428">
        <f t="shared" si="0"/>
        <v>-206813</v>
      </c>
      <c r="H10" s="428">
        <f t="shared" si="0"/>
        <v>665820.831703</v>
      </c>
      <c r="I10" s="428">
        <f t="shared" si="0"/>
        <v>216123.831703</v>
      </c>
      <c r="J10" s="428">
        <f t="shared" si="0"/>
        <v>459943</v>
      </c>
      <c r="K10" s="428">
        <f t="shared" si="0"/>
        <v>205877.831703</v>
      </c>
      <c r="L10" s="428">
        <f t="shared" si="0"/>
        <v>948174.831703</v>
      </c>
    </row>
    <row r="11" spans="1:14" ht="55.5" customHeight="1">
      <c r="A11" s="430">
        <v>1</v>
      </c>
      <c r="B11" s="431" t="s">
        <v>1126</v>
      </c>
      <c r="C11" s="118">
        <v>5641</v>
      </c>
      <c r="D11" s="118">
        <v>22482</v>
      </c>
      <c r="E11" s="118">
        <v>10000</v>
      </c>
      <c r="F11" s="118">
        <v>22398</v>
      </c>
      <c r="G11" s="118">
        <f>D11-F11</f>
        <v>84</v>
      </c>
      <c r="H11" s="118">
        <v>24533</v>
      </c>
      <c r="I11" s="118">
        <v>10706</v>
      </c>
      <c r="J11" s="118">
        <f>21000+1395</f>
        <v>22395</v>
      </c>
      <c r="K11" s="118">
        <f t="shared" ref="K11:K30" si="1">H11-J11</f>
        <v>2138</v>
      </c>
      <c r="L11" s="118">
        <f t="shared" ref="L11:L17" si="2">C11+H11-J11</f>
        <v>7779</v>
      </c>
      <c r="N11" s="426"/>
    </row>
    <row r="12" spans="1:14" ht="56.25" customHeight="1">
      <c r="A12" s="430">
        <v>2</v>
      </c>
      <c r="B12" s="431" t="s">
        <v>1127</v>
      </c>
      <c r="C12" s="118">
        <v>15493</v>
      </c>
      <c r="D12" s="118">
        <f>15900+2000</f>
        <v>17900</v>
      </c>
      <c r="E12" s="118">
        <v>0</v>
      </c>
      <c r="F12" s="118">
        <f>15900+1000</f>
        <v>16900</v>
      </c>
      <c r="G12" s="118">
        <f>D12-F12</f>
        <v>1000</v>
      </c>
      <c r="H12" s="118">
        <v>17771</v>
      </c>
      <c r="I12" s="118">
        <v>0</v>
      </c>
      <c r="J12" s="118">
        <v>7187</v>
      </c>
      <c r="K12" s="118">
        <f t="shared" si="1"/>
        <v>10584</v>
      </c>
      <c r="L12" s="118">
        <f t="shared" si="2"/>
        <v>26077</v>
      </c>
    </row>
    <row r="13" spans="1:14" ht="42.75" customHeight="1">
      <c r="A13" s="430">
        <v>3</v>
      </c>
      <c r="B13" s="431" t="s">
        <v>1128</v>
      </c>
      <c r="C13" s="432">
        <f>184439+286+1648</f>
        <v>186373</v>
      </c>
      <c r="D13" s="118"/>
      <c r="E13" s="118"/>
      <c r="F13" s="118"/>
      <c r="G13" s="118"/>
      <c r="H13" s="118">
        <f>10610+I13+47505</f>
        <v>139182.42600599999</v>
      </c>
      <c r="I13" s="118">
        <v>81067.426005999994</v>
      </c>
      <c r="J13" s="118">
        <f>43390+748+504</f>
        <v>44642</v>
      </c>
      <c r="K13" s="118">
        <f t="shared" si="1"/>
        <v>94540.426005999994</v>
      </c>
      <c r="L13" s="118">
        <f t="shared" si="2"/>
        <v>280913.42600600002</v>
      </c>
    </row>
    <row r="14" spans="1:14" ht="57.75" customHeight="1">
      <c r="A14" s="430">
        <v>4</v>
      </c>
      <c r="B14" s="431" t="s">
        <v>1129</v>
      </c>
      <c r="C14" s="118">
        <v>566</v>
      </c>
      <c r="D14" s="118">
        <f>26125+34000</f>
        <v>60125</v>
      </c>
      <c r="E14" s="118">
        <v>34000</v>
      </c>
      <c r="F14" s="118">
        <v>60125</v>
      </c>
      <c r="G14" s="118">
        <f>D14-F14</f>
        <v>0</v>
      </c>
      <c r="H14" s="433">
        <f>34000+2200+5000+10000+24816+1309</f>
        <v>77325</v>
      </c>
      <c r="I14" s="173">
        <v>51200</v>
      </c>
      <c r="J14" s="433">
        <v>69608</v>
      </c>
      <c r="K14" s="433">
        <f t="shared" si="1"/>
        <v>7717</v>
      </c>
      <c r="L14" s="118">
        <f t="shared" si="2"/>
        <v>8283</v>
      </c>
    </row>
    <row r="15" spans="1:14" ht="60.75" customHeight="1">
      <c r="A15" s="430">
        <v>5</v>
      </c>
      <c r="B15" s="431" t="s">
        <v>1130</v>
      </c>
      <c r="C15" s="118">
        <v>54550</v>
      </c>
      <c r="D15" s="118">
        <v>64165</v>
      </c>
      <c r="E15" s="118">
        <v>0</v>
      </c>
      <c r="F15" s="118">
        <v>64165</v>
      </c>
      <c r="G15" s="118">
        <v>0</v>
      </c>
      <c r="H15" s="118">
        <v>99877</v>
      </c>
      <c r="I15" s="118">
        <v>0</v>
      </c>
      <c r="J15" s="118">
        <v>95769</v>
      </c>
      <c r="K15" s="118">
        <f t="shared" si="1"/>
        <v>4108</v>
      </c>
      <c r="L15" s="118">
        <f t="shared" si="2"/>
        <v>58658</v>
      </c>
    </row>
    <row r="16" spans="1:14" ht="41.25" customHeight="1">
      <c r="A16" s="430">
        <v>6</v>
      </c>
      <c r="B16" s="431" t="s">
        <v>137</v>
      </c>
      <c r="C16" s="118">
        <v>367306</v>
      </c>
      <c r="D16" s="118">
        <v>133382</v>
      </c>
      <c r="E16" s="118">
        <v>30000</v>
      </c>
      <c r="F16" s="118">
        <v>337779</v>
      </c>
      <c r="G16" s="118">
        <f>D16-F16</f>
        <v>-204397</v>
      </c>
      <c r="H16" s="118">
        <v>159866</v>
      </c>
      <c r="I16" s="118">
        <v>30000</v>
      </c>
      <c r="J16" s="118">
        <v>93511</v>
      </c>
      <c r="K16" s="118">
        <f t="shared" si="1"/>
        <v>66355</v>
      </c>
      <c r="L16" s="118">
        <f t="shared" si="2"/>
        <v>433661</v>
      </c>
    </row>
    <row r="17" spans="1:13" ht="55.5" customHeight="1">
      <c r="A17" s="430">
        <v>7</v>
      </c>
      <c r="B17" s="431" t="s">
        <v>1131</v>
      </c>
      <c r="C17" s="118">
        <f>25900-25522</f>
        <v>378</v>
      </c>
      <c r="D17" s="118">
        <v>16677</v>
      </c>
      <c r="E17" s="118">
        <v>5000</v>
      </c>
      <c r="F17" s="118">
        <v>16677</v>
      </c>
      <c r="G17" s="118"/>
      <c r="H17" s="118">
        <v>16677</v>
      </c>
      <c r="I17" s="118">
        <v>5000</v>
      </c>
      <c r="J17" s="118">
        <v>15700</v>
      </c>
      <c r="K17" s="118">
        <f t="shared" si="1"/>
        <v>977</v>
      </c>
      <c r="L17" s="118">
        <f t="shared" si="2"/>
        <v>1355</v>
      </c>
      <c r="M17" s="420" t="s">
        <v>1132</v>
      </c>
    </row>
    <row r="18" spans="1:13" ht="90" customHeight="1">
      <c r="A18" s="430">
        <v>8</v>
      </c>
      <c r="B18" s="431" t="s">
        <v>1133</v>
      </c>
      <c r="C18" s="118">
        <v>87228</v>
      </c>
      <c r="D18" s="118"/>
      <c r="E18" s="118" t="s">
        <v>1134</v>
      </c>
      <c r="F18" s="118" t="s">
        <v>1135</v>
      </c>
      <c r="G18" s="118"/>
      <c r="H18" s="118">
        <v>5765</v>
      </c>
      <c r="I18" s="118">
        <v>0</v>
      </c>
      <c r="J18" s="118">
        <f>288+291</f>
        <v>579</v>
      </c>
      <c r="K18" s="118">
        <f t="shared" si="1"/>
        <v>5186</v>
      </c>
      <c r="L18" s="118">
        <f>C18+H18-J18</f>
        <v>92414</v>
      </c>
    </row>
    <row r="19" spans="1:13" ht="55.5" customHeight="1">
      <c r="A19" s="430">
        <v>9</v>
      </c>
      <c r="B19" s="431" t="s">
        <v>1136</v>
      </c>
      <c r="C19" s="118">
        <v>1852</v>
      </c>
      <c r="D19" s="118"/>
      <c r="E19" s="118"/>
      <c r="F19" s="118" t="s">
        <v>1137</v>
      </c>
      <c r="G19" s="118"/>
      <c r="H19" s="118">
        <v>9824</v>
      </c>
      <c r="I19" s="118">
        <v>0</v>
      </c>
      <c r="J19" s="118">
        <v>760</v>
      </c>
      <c r="K19" s="118">
        <f t="shared" si="1"/>
        <v>9064</v>
      </c>
      <c r="L19" s="118">
        <f>C19+H19-J19</f>
        <v>10916</v>
      </c>
    </row>
    <row r="20" spans="1:13" ht="73.5" customHeight="1">
      <c r="A20" s="430">
        <v>10</v>
      </c>
      <c r="B20" s="431" t="s">
        <v>1138</v>
      </c>
      <c r="C20" s="118">
        <v>1046</v>
      </c>
      <c r="D20" s="118">
        <f>E20</f>
        <v>15000</v>
      </c>
      <c r="E20" s="118">
        <v>15000</v>
      </c>
      <c r="F20" s="118">
        <v>18500</v>
      </c>
      <c r="G20" s="118">
        <f>D20-F20</f>
        <v>-3500</v>
      </c>
      <c r="H20" s="118">
        <f>+I20</f>
        <v>17400.405696999998</v>
      </c>
      <c r="I20" s="118">
        <v>17400.405696999998</v>
      </c>
      <c r="J20" s="118">
        <f>18446</f>
        <v>18446</v>
      </c>
      <c r="K20" s="118">
        <f t="shared" si="1"/>
        <v>-1045.5943030000017</v>
      </c>
      <c r="L20" s="118">
        <f>C20+H20-J20</f>
        <v>0.40569699999832665</v>
      </c>
    </row>
    <row r="21" spans="1:13" ht="40.5" customHeight="1">
      <c r="A21" s="430">
        <v>11</v>
      </c>
      <c r="B21" s="431" t="s">
        <v>1139</v>
      </c>
      <c r="C21" s="118">
        <v>35</v>
      </c>
      <c r="D21" s="118">
        <v>45000</v>
      </c>
      <c r="E21" s="434">
        <v>20000</v>
      </c>
      <c r="F21" s="118">
        <v>45000</v>
      </c>
      <c r="G21" s="118">
        <f>D21-F21</f>
        <v>0</v>
      </c>
      <c r="H21" s="118">
        <v>45532</v>
      </c>
      <c r="I21" s="118">
        <v>20000</v>
      </c>
      <c r="J21" s="118">
        <v>45555</v>
      </c>
      <c r="K21" s="118">
        <f t="shared" si="1"/>
        <v>-23</v>
      </c>
      <c r="L21" s="118">
        <f>K21+C21</f>
        <v>12</v>
      </c>
    </row>
    <row r="22" spans="1:13" ht="55.5" customHeight="1">
      <c r="A22" s="430">
        <v>12</v>
      </c>
      <c r="B22" s="431" t="s">
        <v>1140</v>
      </c>
      <c r="C22" s="118">
        <v>1872</v>
      </c>
      <c r="D22" s="118"/>
      <c r="E22" s="118"/>
      <c r="F22" s="118"/>
      <c r="G22" s="118"/>
      <c r="H22" s="118">
        <v>12499</v>
      </c>
      <c r="I22" s="118"/>
      <c r="J22" s="118">
        <v>9379</v>
      </c>
      <c r="K22" s="118">
        <f t="shared" si="1"/>
        <v>3120</v>
      </c>
      <c r="L22" s="118">
        <f t="shared" ref="L22:L30" si="3">C22+H22-J22</f>
        <v>4992</v>
      </c>
    </row>
    <row r="23" spans="1:13" ht="57.75" customHeight="1">
      <c r="A23" s="430">
        <v>13</v>
      </c>
      <c r="B23" s="431" t="s">
        <v>1141</v>
      </c>
      <c r="C23" s="118">
        <v>1296</v>
      </c>
      <c r="D23" s="118"/>
      <c r="E23" s="118">
        <v>500</v>
      </c>
      <c r="F23" s="118"/>
      <c r="G23" s="118"/>
      <c r="H23" s="118">
        <v>1147</v>
      </c>
      <c r="I23" s="118">
        <v>500</v>
      </c>
      <c r="J23" s="118">
        <v>1545</v>
      </c>
      <c r="K23" s="118">
        <f t="shared" si="1"/>
        <v>-398</v>
      </c>
      <c r="L23" s="118">
        <f t="shared" si="3"/>
        <v>898</v>
      </c>
    </row>
    <row r="24" spans="1:13" ht="45" customHeight="1">
      <c r="A24" s="430">
        <v>14</v>
      </c>
      <c r="B24" s="431" t="s">
        <v>1142</v>
      </c>
      <c r="C24" s="118">
        <v>729</v>
      </c>
      <c r="D24" s="118"/>
      <c r="E24" s="118"/>
      <c r="F24" s="118"/>
      <c r="G24" s="118"/>
      <c r="H24" s="118">
        <v>2304</v>
      </c>
      <c r="I24" s="118"/>
      <c r="J24" s="118">
        <v>2713</v>
      </c>
      <c r="K24" s="118">
        <f t="shared" si="1"/>
        <v>-409</v>
      </c>
      <c r="L24" s="118">
        <f t="shared" si="3"/>
        <v>320</v>
      </c>
    </row>
    <row r="25" spans="1:13" ht="44.25" customHeight="1">
      <c r="A25" s="430">
        <v>15</v>
      </c>
      <c r="B25" s="431" t="s">
        <v>1143</v>
      </c>
      <c r="C25" s="118">
        <v>2037</v>
      </c>
      <c r="D25" s="118"/>
      <c r="E25" s="118"/>
      <c r="F25" s="118"/>
      <c r="G25" s="118"/>
      <c r="H25" s="118">
        <v>88</v>
      </c>
      <c r="I25" s="118"/>
      <c r="J25" s="118">
        <v>376</v>
      </c>
      <c r="K25" s="118">
        <f t="shared" si="1"/>
        <v>-288</v>
      </c>
      <c r="L25" s="118">
        <f t="shared" si="3"/>
        <v>1749</v>
      </c>
    </row>
    <row r="26" spans="1:13" ht="31.5">
      <c r="A26" s="430">
        <v>16</v>
      </c>
      <c r="B26" s="431" t="s">
        <v>1144</v>
      </c>
      <c r="C26" s="118">
        <v>2224</v>
      </c>
      <c r="D26" s="118"/>
      <c r="E26" s="118"/>
      <c r="F26" s="118"/>
      <c r="G26" s="118"/>
      <c r="H26" s="118">
        <v>107</v>
      </c>
      <c r="I26" s="118"/>
      <c r="J26" s="118">
        <v>154</v>
      </c>
      <c r="K26" s="118">
        <f t="shared" si="1"/>
        <v>-47</v>
      </c>
      <c r="L26" s="118">
        <f t="shared" si="3"/>
        <v>2177</v>
      </c>
    </row>
    <row r="27" spans="1:13" ht="42.75" customHeight="1">
      <c r="A27" s="430">
        <v>17</v>
      </c>
      <c r="B27" s="431" t="s">
        <v>1445</v>
      </c>
      <c r="C27" s="118">
        <v>1440</v>
      </c>
      <c r="D27" s="118"/>
      <c r="E27" s="118"/>
      <c r="F27" s="118"/>
      <c r="G27" s="118"/>
      <c r="H27" s="118">
        <v>1525</v>
      </c>
      <c r="I27" s="118"/>
      <c r="J27" s="118">
        <v>2146</v>
      </c>
      <c r="K27" s="118">
        <f t="shared" si="1"/>
        <v>-621</v>
      </c>
      <c r="L27" s="118">
        <f t="shared" si="3"/>
        <v>819</v>
      </c>
    </row>
    <row r="28" spans="1:13" ht="43.5" customHeight="1">
      <c r="A28" s="430">
        <v>18</v>
      </c>
      <c r="B28" s="431" t="s">
        <v>1145</v>
      </c>
      <c r="C28" s="118">
        <v>3501</v>
      </c>
      <c r="D28" s="118"/>
      <c r="E28" s="118">
        <v>250</v>
      </c>
      <c r="F28" s="118"/>
      <c r="G28" s="118"/>
      <c r="H28" s="118">
        <v>4937</v>
      </c>
      <c r="I28" s="118">
        <v>250</v>
      </c>
      <c r="J28" s="118">
        <v>6144</v>
      </c>
      <c r="K28" s="118">
        <f t="shared" si="1"/>
        <v>-1207</v>
      </c>
      <c r="L28" s="118">
        <f t="shared" si="3"/>
        <v>2294</v>
      </c>
    </row>
    <row r="29" spans="1:13" ht="115.5" customHeight="1">
      <c r="A29" s="430">
        <v>19</v>
      </c>
      <c r="B29" s="431" t="s">
        <v>1440</v>
      </c>
      <c r="C29" s="118">
        <v>8159</v>
      </c>
      <c r="D29" s="118"/>
      <c r="E29" s="118"/>
      <c r="F29" s="118"/>
      <c r="G29" s="118"/>
      <c r="H29" s="118">
        <v>29420</v>
      </c>
      <c r="I29" s="118">
        <v>0</v>
      </c>
      <c r="J29" s="118">
        <v>23282</v>
      </c>
      <c r="K29" s="118">
        <f t="shared" si="1"/>
        <v>6138</v>
      </c>
      <c r="L29" s="118">
        <f t="shared" si="3"/>
        <v>14297</v>
      </c>
    </row>
    <row r="30" spans="1:13" ht="43.5" customHeight="1">
      <c r="A30" s="435">
        <v>20</v>
      </c>
      <c r="B30" s="436" t="s">
        <v>1146</v>
      </c>
      <c r="C30" s="363">
        <v>571</v>
      </c>
      <c r="D30" s="363">
        <v>41</v>
      </c>
      <c r="E30" s="363" t="s">
        <v>1147</v>
      </c>
      <c r="F30" s="363"/>
      <c r="G30" s="363"/>
      <c r="H30" s="363">
        <v>41</v>
      </c>
      <c r="I30" s="363">
        <v>0</v>
      </c>
      <c r="J30" s="363">
        <v>52</v>
      </c>
      <c r="K30" s="363">
        <f t="shared" si="1"/>
        <v>-11</v>
      </c>
      <c r="L30" s="363">
        <f t="shared" si="3"/>
        <v>560</v>
      </c>
    </row>
    <row r="32" spans="1:13">
      <c r="E32" s="420" t="s">
        <v>1149</v>
      </c>
      <c r="F32" s="420" t="s">
        <v>1150</v>
      </c>
      <c r="H32" s="420" t="s">
        <v>1151</v>
      </c>
    </row>
    <row r="35" spans="5:9">
      <c r="E35" s="420" t="s">
        <v>1152</v>
      </c>
    </row>
    <row r="36" spans="5:9">
      <c r="H36" s="420" t="s">
        <v>1153</v>
      </c>
    </row>
    <row r="37" spans="5:9">
      <c r="I37" s="420" t="s">
        <v>1154</v>
      </c>
    </row>
    <row r="38" spans="5:9">
      <c r="I38" s="420" t="s">
        <v>1155</v>
      </c>
    </row>
    <row r="39" spans="5:9">
      <c r="G39" s="420" t="s">
        <v>1156</v>
      </c>
      <c r="H39" s="420" t="s">
        <v>1156</v>
      </c>
    </row>
  </sheetData>
  <mergeCells count="16">
    <mergeCell ref="I2:L3"/>
    <mergeCell ref="I1:L1"/>
    <mergeCell ref="C5:L5"/>
    <mergeCell ref="A6:A8"/>
    <mergeCell ref="B6:B8"/>
    <mergeCell ref="C6:C8"/>
    <mergeCell ref="D6:G6"/>
    <mergeCell ref="H6:K6"/>
    <mergeCell ref="L6:L8"/>
    <mergeCell ref="D7:E7"/>
    <mergeCell ref="F7:F8"/>
    <mergeCell ref="G7:G8"/>
    <mergeCell ref="H7:I7"/>
    <mergeCell ref="J7:J8"/>
    <mergeCell ref="K7:K8"/>
    <mergeCell ref="A4:L4"/>
  </mergeCells>
  <pageMargins left="0.7" right="0.7" top="1.02" bottom="0.55000000000000004" header="0.3" footer="0.3"/>
  <pageSetup paperSize="9" orientation="landscape" verticalDpi="0" r:id="rId1"/>
  <headerFooter>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I497"/>
  <sheetViews>
    <sheetView workbookViewId="0">
      <pane xSplit="2" ySplit="11" topLeftCell="W467" activePane="bottomRight" state="frozen"/>
      <selection pane="topRight" activeCell="C1" sqref="C1"/>
      <selection pane="bottomLeft" activeCell="A11" sqref="A11"/>
      <selection pane="bottomRight" activeCell="AD499" sqref="AD499"/>
    </sheetView>
  </sheetViews>
  <sheetFormatPr defaultRowHeight="15.75"/>
  <cols>
    <col min="1" max="1" width="3.7109375" style="342" customWidth="1"/>
    <col min="2" max="2" width="34.5703125" style="342" customWidth="1"/>
    <col min="3" max="3" width="7.140625" style="342" hidden="1" customWidth="1"/>
    <col min="4" max="4" width="3.42578125" style="342" hidden="1" customWidth="1"/>
    <col min="5" max="5" width="8" style="376" hidden="1" customWidth="1"/>
    <col min="6" max="6" width="9.28515625" style="376" hidden="1" customWidth="1"/>
    <col min="7" max="7" width="10.85546875" style="352" hidden="1" customWidth="1"/>
    <col min="8" max="9" width="10" style="352" hidden="1" customWidth="1"/>
    <col min="10" max="10" width="10.7109375" style="352" hidden="1" customWidth="1"/>
    <col min="11" max="11" width="10" style="352" hidden="1" customWidth="1"/>
    <col min="12" max="12" width="10.85546875" style="352" hidden="1" customWidth="1"/>
    <col min="13" max="13" width="10" style="352" hidden="1" customWidth="1"/>
    <col min="14" max="14" width="10.85546875" style="352" hidden="1" customWidth="1"/>
    <col min="15" max="15" width="10" style="352" hidden="1" customWidth="1"/>
    <col min="16" max="16" width="12.85546875" style="352" hidden="1" customWidth="1"/>
    <col min="17" max="17" width="12.140625" style="352" hidden="1" customWidth="1"/>
    <col min="18" max="18" width="12.5703125" style="352" hidden="1" customWidth="1"/>
    <col min="19" max="19" width="10.42578125" style="352" hidden="1" customWidth="1"/>
    <col min="20" max="20" width="10.42578125" style="352" customWidth="1"/>
    <col min="21" max="21" width="12.85546875" style="352" customWidth="1"/>
    <col min="22" max="22" width="13.140625" style="352" customWidth="1"/>
    <col min="23" max="23" width="11.85546875" style="352" customWidth="1"/>
    <col min="24" max="24" width="13.140625" style="352" customWidth="1"/>
    <col min="25" max="29" width="10.42578125" style="352" customWidth="1"/>
    <col min="30" max="30" width="10" style="353" customWidth="1"/>
    <col min="31" max="31" width="12.140625" style="353" customWidth="1"/>
    <col min="32" max="33" width="10" style="353" customWidth="1"/>
    <col min="34" max="34" width="8.140625" style="353" customWidth="1"/>
    <col min="35" max="35" width="12.28515625" style="342" customWidth="1"/>
    <col min="36" max="16384" width="9.140625" style="342"/>
  </cols>
  <sheetData>
    <row r="1" spans="1:35" ht="15" customHeight="1">
      <c r="A1" s="341"/>
      <c r="B1" s="341"/>
      <c r="C1" s="341"/>
      <c r="D1" s="341"/>
      <c r="E1" s="375"/>
      <c r="F1" s="375"/>
      <c r="G1" s="350"/>
      <c r="H1" s="371"/>
      <c r="I1" s="371"/>
      <c r="J1" s="371"/>
      <c r="K1" s="371"/>
      <c r="P1" s="371"/>
      <c r="Q1" s="468" t="s">
        <v>91</v>
      </c>
      <c r="R1" s="468"/>
      <c r="S1" s="468"/>
      <c r="T1" s="371"/>
      <c r="AA1" s="339"/>
      <c r="AD1" s="468" t="s">
        <v>91</v>
      </c>
      <c r="AE1" s="468"/>
      <c r="AF1" s="468"/>
      <c r="AG1" s="468"/>
      <c r="AH1" s="415"/>
    </row>
    <row r="2" spans="1:35" ht="15.75" customHeight="1">
      <c r="A2" s="341"/>
      <c r="B2" s="341"/>
      <c r="C2" s="341"/>
      <c r="D2" s="341"/>
      <c r="E2" s="375"/>
      <c r="F2" s="375"/>
      <c r="G2" s="350"/>
      <c r="H2" s="372"/>
      <c r="I2" s="372"/>
      <c r="J2" s="372"/>
      <c r="K2" s="372"/>
      <c r="P2" s="372"/>
      <c r="Q2" s="469" t="s">
        <v>116</v>
      </c>
      <c r="R2" s="469"/>
      <c r="S2" s="469"/>
      <c r="T2" s="372"/>
      <c r="AA2" s="340"/>
      <c r="AD2" s="469" t="s">
        <v>116</v>
      </c>
      <c r="AE2" s="469"/>
      <c r="AF2" s="469"/>
      <c r="AG2" s="469"/>
      <c r="AH2" s="416"/>
    </row>
    <row r="3" spans="1:35">
      <c r="A3" s="341"/>
      <c r="B3" s="341"/>
      <c r="C3" s="341"/>
      <c r="D3" s="341"/>
      <c r="E3" s="375"/>
      <c r="F3" s="375"/>
      <c r="G3" s="350"/>
      <c r="H3" s="372"/>
      <c r="I3" s="372"/>
      <c r="J3" s="372"/>
      <c r="K3" s="372"/>
      <c r="P3" s="372"/>
      <c r="Q3" s="469"/>
      <c r="R3" s="469"/>
      <c r="S3" s="469"/>
      <c r="T3" s="372"/>
      <c r="AA3" s="340"/>
      <c r="AD3" s="469"/>
      <c r="AE3" s="469"/>
      <c r="AF3" s="469"/>
      <c r="AG3" s="469"/>
      <c r="AH3" s="416"/>
    </row>
    <row r="4" spans="1:35" ht="26.25" customHeight="1">
      <c r="A4" s="471" t="s">
        <v>1453</v>
      </c>
      <c r="B4" s="471"/>
      <c r="C4" s="471"/>
      <c r="D4" s="471"/>
      <c r="E4" s="471"/>
      <c r="F4" s="471"/>
      <c r="G4" s="471"/>
      <c r="H4" s="471"/>
      <c r="I4" s="471"/>
      <c r="J4" s="471"/>
      <c r="K4" s="471"/>
      <c r="L4" s="471"/>
      <c r="M4" s="471"/>
      <c r="N4" s="471"/>
      <c r="O4" s="471"/>
      <c r="P4" s="471"/>
      <c r="Q4" s="471"/>
      <c r="R4" s="471"/>
      <c r="S4" s="471"/>
      <c r="T4" s="471"/>
      <c r="U4" s="471"/>
      <c r="V4" s="471"/>
      <c r="W4" s="471"/>
      <c r="X4" s="471"/>
      <c r="Y4" s="471"/>
      <c r="Z4" s="471"/>
      <c r="AA4" s="471"/>
      <c r="AB4" s="471"/>
      <c r="AC4" s="471"/>
      <c r="AD4" s="471"/>
      <c r="AE4" s="471"/>
      <c r="AF4" s="471"/>
      <c r="AG4" s="471"/>
      <c r="AH4" s="471"/>
    </row>
    <row r="5" spans="1:35">
      <c r="A5" s="341"/>
      <c r="B5" s="341"/>
      <c r="C5" s="341"/>
      <c r="D5" s="341"/>
      <c r="E5" s="375"/>
      <c r="F5" s="375"/>
      <c r="G5" s="341"/>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row>
    <row r="6" spans="1:35">
      <c r="A6" s="351"/>
      <c r="P6" s="353"/>
      <c r="Q6" s="470" t="s">
        <v>24</v>
      </c>
      <c r="R6" s="470"/>
      <c r="S6" s="470"/>
      <c r="V6" s="470"/>
      <c r="W6" s="470"/>
      <c r="X6" s="470"/>
      <c r="AF6" s="470" t="s">
        <v>24</v>
      </c>
      <c r="AG6" s="470"/>
      <c r="AH6" s="470"/>
    </row>
    <row r="7" spans="1:35" s="6" customFormat="1" ht="19.5" customHeight="1">
      <c r="A7" s="473" t="s">
        <v>1</v>
      </c>
      <c r="B7" s="473" t="s">
        <v>92</v>
      </c>
      <c r="C7" s="473" t="s">
        <v>93</v>
      </c>
      <c r="D7" s="473" t="s">
        <v>94</v>
      </c>
      <c r="E7" s="473" t="s">
        <v>95</v>
      </c>
      <c r="F7" s="483" t="s">
        <v>96</v>
      </c>
      <c r="G7" s="484"/>
      <c r="H7" s="484"/>
      <c r="I7" s="484"/>
      <c r="J7" s="484"/>
      <c r="K7" s="485"/>
      <c r="L7" s="472" t="s">
        <v>215</v>
      </c>
      <c r="M7" s="472"/>
      <c r="N7" s="472"/>
      <c r="O7" s="472"/>
      <c r="P7" s="472" t="s">
        <v>216</v>
      </c>
      <c r="Q7" s="472"/>
      <c r="R7" s="472"/>
      <c r="S7" s="472"/>
      <c r="T7" s="472" t="s">
        <v>1454</v>
      </c>
      <c r="U7" s="472"/>
      <c r="V7" s="472"/>
      <c r="W7" s="472"/>
      <c r="X7" s="472"/>
      <c r="Y7" s="472" t="s">
        <v>97</v>
      </c>
      <c r="Z7" s="472"/>
      <c r="AA7" s="472"/>
      <c r="AB7" s="472"/>
      <c r="AC7" s="472"/>
      <c r="AD7" s="473" t="s">
        <v>52</v>
      </c>
      <c r="AE7" s="473"/>
      <c r="AF7" s="473"/>
      <c r="AG7" s="473"/>
      <c r="AH7" s="473"/>
    </row>
    <row r="8" spans="1:35" s="6" customFormat="1" ht="18" customHeight="1">
      <c r="A8" s="473"/>
      <c r="B8" s="473"/>
      <c r="C8" s="473"/>
      <c r="D8" s="473"/>
      <c r="E8" s="473"/>
      <c r="F8" s="474" t="s">
        <v>98</v>
      </c>
      <c r="G8" s="477" t="s">
        <v>99</v>
      </c>
      <c r="H8" s="478"/>
      <c r="I8" s="478"/>
      <c r="J8" s="478"/>
      <c r="K8" s="479"/>
      <c r="L8" s="472"/>
      <c r="M8" s="472"/>
      <c r="N8" s="472"/>
      <c r="O8" s="472"/>
      <c r="P8" s="472"/>
      <c r="Q8" s="472"/>
      <c r="R8" s="472"/>
      <c r="S8" s="472"/>
      <c r="T8" s="472"/>
      <c r="U8" s="472"/>
      <c r="V8" s="472"/>
      <c r="W8" s="472"/>
      <c r="X8" s="472"/>
      <c r="Y8" s="472"/>
      <c r="Z8" s="472"/>
      <c r="AA8" s="472"/>
      <c r="AB8" s="472"/>
      <c r="AC8" s="472"/>
      <c r="AD8" s="473"/>
      <c r="AE8" s="473"/>
      <c r="AF8" s="473"/>
      <c r="AG8" s="473"/>
      <c r="AH8" s="473"/>
    </row>
    <row r="9" spans="1:35" s="6" customFormat="1" ht="19.5" customHeight="1">
      <c r="A9" s="473"/>
      <c r="B9" s="473"/>
      <c r="C9" s="473"/>
      <c r="D9" s="473"/>
      <c r="E9" s="473"/>
      <c r="F9" s="475"/>
      <c r="G9" s="480" t="s">
        <v>100</v>
      </c>
      <c r="H9" s="477" t="s">
        <v>22</v>
      </c>
      <c r="I9" s="478"/>
      <c r="J9" s="478"/>
      <c r="K9" s="479"/>
      <c r="L9" s="472" t="s">
        <v>0</v>
      </c>
      <c r="M9" s="472" t="s">
        <v>22</v>
      </c>
      <c r="N9" s="472"/>
      <c r="O9" s="472"/>
      <c r="P9" s="472" t="s">
        <v>0</v>
      </c>
      <c r="Q9" s="472" t="s">
        <v>22</v>
      </c>
      <c r="R9" s="472"/>
      <c r="S9" s="472"/>
      <c r="T9" s="472" t="s">
        <v>0</v>
      </c>
      <c r="U9" s="472" t="s">
        <v>22</v>
      </c>
      <c r="V9" s="472"/>
      <c r="W9" s="472"/>
      <c r="X9" s="472"/>
      <c r="Y9" s="472" t="s">
        <v>0</v>
      </c>
      <c r="Z9" s="472" t="s">
        <v>22</v>
      </c>
      <c r="AA9" s="472"/>
      <c r="AB9" s="472"/>
      <c r="AC9" s="472"/>
      <c r="AD9" s="482" t="s">
        <v>0</v>
      </c>
      <c r="AE9" s="482" t="s">
        <v>22</v>
      </c>
      <c r="AF9" s="482"/>
      <c r="AG9" s="482"/>
      <c r="AH9" s="482"/>
    </row>
    <row r="10" spans="1:35" s="6" customFormat="1" ht="49.5" customHeight="1">
      <c r="A10" s="473"/>
      <c r="B10" s="473"/>
      <c r="C10" s="473"/>
      <c r="D10" s="473"/>
      <c r="E10" s="473"/>
      <c r="F10" s="476"/>
      <c r="G10" s="481"/>
      <c r="H10" s="323" t="s">
        <v>101</v>
      </c>
      <c r="I10" s="323" t="s">
        <v>102</v>
      </c>
      <c r="J10" s="323" t="s">
        <v>217</v>
      </c>
      <c r="K10" s="323" t="s">
        <v>218</v>
      </c>
      <c r="L10" s="472"/>
      <c r="M10" s="323" t="s">
        <v>101</v>
      </c>
      <c r="N10" s="323" t="s">
        <v>219</v>
      </c>
      <c r="O10" s="323" t="s">
        <v>218</v>
      </c>
      <c r="P10" s="472"/>
      <c r="Q10" s="323" t="s">
        <v>101</v>
      </c>
      <c r="R10" s="323" t="s">
        <v>219</v>
      </c>
      <c r="S10" s="323" t="s">
        <v>218</v>
      </c>
      <c r="T10" s="472"/>
      <c r="U10" s="323" t="s">
        <v>101</v>
      </c>
      <c r="V10" s="323" t="s">
        <v>102</v>
      </c>
      <c r="W10" s="323" t="s">
        <v>217</v>
      </c>
      <c r="X10" s="323" t="s">
        <v>218</v>
      </c>
      <c r="Y10" s="472"/>
      <c r="Z10" s="323" t="s">
        <v>101</v>
      </c>
      <c r="AA10" s="323" t="s">
        <v>1195</v>
      </c>
      <c r="AB10" s="323" t="s">
        <v>217</v>
      </c>
      <c r="AC10" s="323" t="s">
        <v>218</v>
      </c>
      <c r="AD10" s="482"/>
      <c r="AE10" s="324" t="s">
        <v>101</v>
      </c>
      <c r="AF10" s="324" t="s">
        <v>102</v>
      </c>
      <c r="AG10" s="324" t="s">
        <v>217</v>
      </c>
      <c r="AH10" s="324" t="s">
        <v>218</v>
      </c>
      <c r="AI10" s="7"/>
    </row>
    <row r="11" spans="1:35" s="374" customFormat="1" ht="12.75" customHeight="1">
      <c r="A11" s="373" t="s">
        <v>3</v>
      </c>
      <c r="B11" s="373" t="s">
        <v>4</v>
      </c>
      <c r="C11" s="373">
        <v>1</v>
      </c>
      <c r="D11" s="373">
        <v>2</v>
      </c>
      <c r="E11" s="377">
        <v>3</v>
      </c>
      <c r="F11" s="377">
        <v>4</v>
      </c>
      <c r="G11" s="373">
        <v>5</v>
      </c>
      <c r="H11" s="373">
        <v>6</v>
      </c>
      <c r="I11" s="373">
        <v>7</v>
      </c>
      <c r="J11" s="373">
        <v>8</v>
      </c>
      <c r="K11" s="373">
        <v>9</v>
      </c>
      <c r="L11" s="373">
        <v>10</v>
      </c>
      <c r="M11" s="373">
        <v>11</v>
      </c>
      <c r="N11" s="373">
        <v>12</v>
      </c>
      <c r="O11" s="373">
        <v>13</v>
      </c>
      <c r="P11" s="373">
        <v>14</v>
      </c>
      <c r="Q11" s="373">
        <v>15</v>
      </c>
      <c r="R11" s="373">
        <v>16</v>
      </c>
      <c r="S11" s="373">
        <v>17</v>
      </c>
      <c r="T11" s="373">
        <v>18</v>
      </c>
      <c r="U11" s="373">
        <v>19</v>
      </c>
      <c r="V11" s="373">
        <v>20</v>
      </c>
      <c r="W11" s="373">
        <v>21</v>
      </c>
      <c r="X11" s="373">
        <v>22</v>
      </c>
      <c r="Y11" s="373">
        <v>23</v>
      </c>
      <c r="Z11" s="373">
        <v>24</v>
      </c>
      <c r="AA11" s="373">
        <v>25</v>
      </c>
      <c r="AB11" s="373">
        <v>27</v>
      </c>
      <c r="AC11" s="373">
        <v>28</v>
      </c>
      <c r="AD11" s="324" t="s">
        <v>220</v>
      </c>
      <c r="AE11" s="324" t="s">
        <v>221</v>
      </c>
      <c r="AF11" s="324" t="s">
        <v>222</v>
      </c>
      <c r="AG11" s="324" t="s">
        <v>223</v>
      </c>
      <c r="AH11" s="324" t="s">
        <v>224</v>
      </c>
    </row>
    <row r="12" spans="1:35" s="370" customFormat="1" ht="23.25" customHeight="1">
      <c r="A12" s="367"/>
      <c r="B12" s="367" t="s">
        <v>72</v>
      </c>
      <c r="C12" s="367"/>
      <c r="D12" s="367"/>
      <c r="E12" s="366"/>
      <c r="F12" s="366"/>
      <c r="G12" s="212">
        <f t="shared" ref="G12:S12" si="0">SUM(G14:G496)</f>
        <v>30343501.226461992</v>
      </c>
      <c r="H12" s="212">
        <f t="shared" si="0"/>
        <v>2881859.1277519991</v>
      </c>
      <c r="I12" s="212">
        <f t="shared" si="0"/>
        <v>6393481.5939999996</v>
      </c>
      <c r="J12" s="212">
        <f t="shared" si="0"/>
        <v>3556729</v>
      </c>
      <c r="K12" s="212">
        <f t="shared" si="0"/>
        <v>6469234.4841219969</v>
      </c>
      <c r="L12" s="212">
        <f t="shared" si="0"/>
        <v>15088890.923000008</v>
      </c>
      <c r="M12" s="212">
        <f t="shared" si="0"/>
        <v>1519292.4990000001</v>
      </c>
      <c r="N12" s="212">
        <f t="shared" si="0"/>
        <v>4842387.6979999999</v>
      </c>
      <c r="O12" s="212">
        <f t="shared" si="0"/>
        <v>3846773.0859999997</v>
      </c>
      <c r="P12" s="212">
        <f t="shared" si="0"/>
        <v>13851378.583429012</v>
      </c>
      <c r="Q12" s="212">
        <f t="shared" si="0"/>
        <v>1569099.963</v>
      </c>
      <c r="R12" s="212">
        <f t="shared" si="0"/>
        <v>5100733.6769999992</v>
      </c>
      <c r="S12" s="212">
        <f t="shared" si="0"/>
        <v>5115986.2204289958</v>
      </c>
      <c r="T12" s="212">
        <f>SUM(T14:T496)</f>
        <v>4159675.6429570005</v>
      </c>
      <c r="U12" s="212">
        <f t="shared" ref="U12:AC12" si="1">SUM(U14:U496)</f>
        <v>543199.20609300002</v>
      </c>
      <c r="V12" s="212">
        <f t="shared" si="1"/>
        <v>699094.18758700008</v>
      </c>
      <c r="W12" s="212">
        <f t="shared" si="1"/>
        <v>847200.87518300011</v>
      </c>
      <c r="X12" s="212">
        <f t="shared" si="1"/>
        <v>2070181.3740939985</v>
      </c>
      <c r="Y12" s="212">
        <f t="shared" si="1"/>
        <v>2564970.9527529986</v>
      </c>
      <c r="Z12" s="212">
        <f t="shared" si="1"/>
        <v>461969.19640100002</v>
      </c>
      <c r="AA12" s="212">
        <f t="shared" si="1"/>
        <v>538028.56810199993</v>
      </c>
      <c r="AB12" s="212">
        <f t="shared" si="1"/>
        <v>27568.056062</v>
      </c>
      <c r="AC12" s="212">
        <f t="shared" si="1"/>
        <v>1537405.1321880003</v>
      </c>
      <c r="AD12" s="368">
        <f>Y12/T12</f>
        <v>0.61662763468009985</v>
      </c>
      <c r="AE12" s="368">
        <f>Z12/U12</f>
        <v>0.85045999923996063</v>
      </c>
      <c r="AF12" s="368">
        <f>AA12/V12</f>
        <v>0.76960812670902656</v>
      </c>
      <c r="AG12" s="368">
        <f>AB12/W12</f>
        <v>3.2540164758499746E-2</v>
      </c>
      <c r="AH12" s="368">
        <f>AC12/X12</f>
        <v>0.74264272272318932</v>
      </c>
      <c r="AI12" s="369"/>
    </row>
    <row r="13" spans="1:35">
      <c r="A13" s="343">
        <v>1</v>
      </c>
      <c r="B13" s="344" t="str">
        <f>'[1]HPN+HND+Mtuy+BDT+DVVlam'!$C$30</f>
        <v>Ban Dân tộc</v>
      </c>
      <c r="C13" s="356"/>
      <c r="D13" s="356"/>
      <c r="E13" s="378"/>
      <c r="F13" s="378"/>
      <c r="G13" s="118"/>
      <c r="H13" s="118"/>
      <c r="I13" s="118"/>
      <c r="J13" s="118"/>
      <c r="K13" s="118"/>
      <c r="L13" s="118"/>
      <c r="M13" s="354"/>
      <c r="N13" s="354"/>
      <c r="O13" s="118"/>
      <c r="P13" s="118"/>
      <c r="Q13" s="118"/>
      <c r="R13" s="118"/>
      <c r="S13" s="118"/>
      <c r="T13" s="118"/>
      <c r="U13" s="118"/>
      <c r="V13" s="118"/>
      <c r="W13" s="118"/>
      <c r="X13" s="118"/>
      <c r="Y13" s="118"/>
      <c r="Z13" s="118"/>
      <c r="AA13" s="118"/>
      <c r="AB13" s="118"/>
      <c r="AC13" s="118"/>
      <c r="AD13" s="357"/>
      <c r="AE13" s="357"/>
      <c r="AF13" s="357"/>
      <c r="AG13" s="357"/>
      <c r="AH13" s="357"/>
    </row>
    <row r="14" spans="1:35" ht="31.5">
      <c r="A14" s="356" t="s">
        <v>29</v>
      </c>
      <c r="B14" s="345" t="str">
        <f>'[1]HPN+HND+Mtuy+BDT+DVVlam'!$B$30</f>
        <v>Cải tạo, sửa chữa nhà làm việc Ban Dân tộc tỉnh Quảng Nam</v>
      </c>
      <c r="C14" s="356" t="s">
        <v>225</v>
      </c>
      <c r="D14" s="356"/>
      <c r="E14" s="378" t="s">
        <v>226</v>
      </c>
      <c r="F14" s="378" t="s">
        <v>227</v>
      </c>
      <c r="G14" s="118">
        <v>1738.509</v>
      </c>
      <c r="H14" s="118"/>
      <c r="I14" s="118"/>
      <c r="J14" s="118"/>
      <c r="K14" s="118">
        <v>1738.509</v>
      </c>
      <c r="L14" s="118">
        <v>1155.6980000000001</v>
      </c>
      <c r="M14" s="118"/>
      <c r="N14" s="118"/>
      <c r="O14" s="118">
        <v>1155.6980000000001</v>
      </c>
      <c r="P14" s="118">
        <v>1700</v>
      </c>
      <c r="Q14" s="118"/>
      <c r="R14" s="118"/>
      <c r="S14" s="118">
        <v>1700</v>
      </c>
      <c r="T14" s="118">
        <v>1700</v>
      </c>
      <c r="U14" s="118"/>
      <c r="V14" s="118"/>
      <c r="W14" s="118"/>
      <c r="X14" s="118">
        <v>1700</v>
      </c>
      <c r="Y14" s="118">
        <f>'[2]TH 2017'!$N$424</f>
        <v>905.69881999999996</v>
      </c>
      <c r="Z14" s="118"/>
      <c r="AA14" s="118"/>
      <c r="AB14" s="118"/>
      <c r="AC14" s="118">
        <v>905.69881999999996</v>
      </c>
      <c r="AD14" s="357">
        <f t="shared" ref="AD14:AE75" si="2">Y14/T14</f>
        <v>0.53276401176470589</v>
      </c>
      <c r="AE14" s="357"/>
      <c r="AF14" s="357"/>
      <c r="AG14" s="357"/>
      <c r="AH14" s="357">
        <f>AC14/X14</f>
        <v>0.53276401176470589</v>
      </c>
    </row>
    <row r="15" spans="1:35" ht="47.25">
      <c r="A15" s="356" t="s">
        <v>29</v>
      </c>
      <c r="B15" s="346" t="s">
        <v>228</v>
      </c>
      <c r="C15" s="356" t="s">
        <v>229</v>
      </c>
      <c r="D15" s="356"/>
      <c r="E15" s="378" t="s">
        <v>230</v>
      </c>
      <c r="F15" s="378" t="s">
        <v>231</v>
      </c>
      <c r="G15" s="118">
        <v>1803.558</v>
      </c>
      <c r="H15" s="118"/>
      <c r="I15" s="118"/>
      <c r="J15" s="118"/>
      <c r="K15" s="118">
        <v>1803.558</v>
      </c>
      <c r="L15" s="118">
        <v>700</v>
      </c>
      <c r="M15" s="118"/>
      <c r="N15" s="118"/>
      <c r="O15" s="118">
        <v>700</v>
      </c>
      <c r="P15" s="118">
        <v>700</v>
      </c>
      <c r="Q15" s="118"/>
      <c r="R15" s="118"/>
      <c r="S15" s="118">
        <v>700</v>
      </c>
      <c r="T15" s="118">
        <v>456.31</v>
      </c>
      <c r="U15" s="118"/>
      <c r="V15" s="118"/>
      <c r="W15" s="118"/>
      <c r="X15" s="118">
        <v>456.31</v>
      </c>
      <c r="Y15" s="118">
        <v>421.97199999999998</v>
      </c>
      <c r="Z15" s="118"/>
      <c r="AA15" s="118"/>
      <c r="AB15" s="118"/>
      <c r="AC15" s="118">
        <v>421.97199999999998</v>
      </c>
      <c r="AD15" s="357">
        <f t="shared" si="2"/>
        <v>0.92474852622120918</v>
      </c>
      <c r="AE15" s="357"/>
      <c r="AF15" s="357"/>
      <c r="AG15" s="357"/>
      <c r="AH15" s="357">
        <f>AC15/X15</f>
        <v>0.92474852622120918</v>
      </c>
    </row>
    <row r="16" spans="1:35" ht="31.5">
      <c r="A16" s="343">
        <v>2</v>
      </c>
      <c r="B16" s="344" t="s">
        <v>140</v>
      </c>
      <c r="C16" s="356"/>
      <c r="D16" s="356"/>
      <c r="E16" s="378"/>
      <c r="F16" s="378"/>
      <c r="G16" s="118"/>
      <c r="H16" s="118"/>
      <c r="I16" s="118"/>
      <c r="J16" s="118"/>
      <c r="K16" s="118"/>
      <c r="L16" s="118"/>
      <c r="M16" s="118"/>
      <c r="N16" s="118"/>
      <c r="O16" s="118"/>
      <c r="P16" s="118"/>
      <c r="Q16" s="118"/>
      <c r="R16" s="118"/>
      <c r="S16" s="118"/>
      <c r="T16" s="118"/>
      <c r="U16" s="118"/>
      <c r="V16" s="118"/>
      <c r="W16" s="118"/>
      <c r="X16" s="118"/>
      <c r="Y16" s="118"/>
      <c r="Z16" s="118"/>
      <c r="AA16" s="118"/>
      <c r="AB16" s="118"/>
      <c r="AC16" s="118"/>
      <c r="AD16" s="357"/>
      <c r="AE16" s="357"/>
      <c r="AF16" s="357"/>
      <c r="AG16" s="357"/>
      <c r="AH16" s="357"/>
    </row>
    <row r="17" spans="1:34" ht="31.5">
      <c r="A17" s="356" t="s">
        <v>29</v>
      </c>
      <c r="B17" s="346" t="str">
        <f>'[2]TH 2017'!$B$134</f>
        <v>Sửa chữa, cải tạo trụ sở làm việc Hội Người cao tuổi tỉnh Quảng Nam</v>
      </c>
      <c r="C17" s="356" t="s">
        <v>225</v>
      </c>
      <c r="D17" s="356"/>
      <c r="E17" s="378"/>
      <c r="F17" s="378" t="s">
        <v>232</v>
      </c>
      <c r="G17" s="118">
        <v>1656</v>
      </c>
      <c r="H17" s="118"/>
      <c r="I17" s="118"/>
      <c r="J17" s="118"/>
      <c r="K17" s="118">
        <v>1656</v>
      </c>
      <c r="L17" s="118">
        <v>1517.421</v>
      </c>
      <c r="M17" s="118"/>
      <c r="N17" s="118"/>
      <c r="O17" s="118"/>
      <c r="P17" s="118">
        <f>1075+442.421</f>
        <v>1517.421</v>
      </c>
      <c r="Q17" s="118"/>
      <c r="R17" s="118"/>
      <c r="S17" s="118"/>
      <c r="T17" s="118">
        <f>100+342.421</f>
        <v>442.42099999999999</v>
      </c>
      <c r="U17" s="118"/>
      <c r="V17" s="118"/>
      <c r="W17" s="118"/>
      <c r="X17" s="118">
        <f>100+342.421</f>
        <v>442.42099999999999</v>
      </c>
      <c r="Y17" s="118">
        <f>100+342.421</f>
        <v>442.42099999999999</v>
      </c>
      <c r="Z17" s="118"/>
      <c r="AA17" s="118"/>
      <c r="AB17" s="118"/>
      <c r="AC17" s="118">
        <v>442.42099999999999</v>
      </c>
      <c r="AD17" s="357">
        <f t="shared" si="2"/>
        <v>1</v>
      </c>
      <c r="AE17" s="357"/>
      <c r="AF17" s="357"/>
      <c r="AG17" s="357"/>
      <c r="AH17" s="357">
        <f>AC17/X17</f>
        <v>1</v>
      </c>
    </row>
    <row r="18" spans="1:34">
      <c r="A18" s="343">
        <v>3</v>
      </c>
      <c r="B18" s="344" t="s">
        <v>233</v>
      </c>
      <c r="C18" s="356"/>
      <c r="D18" s="356"/>
      <c r="E18" s="378"/>
      <c r="F18" s="378"/>
      <c r="G18" s="118"/>
      <c r="H18" s="118"/>
      <c r="I18" s="118"/>
      <c r="J18" s="118"/>
      <c r="K18" s="118"/>
      <c r="L18" s="118"/>
      <c r="M18" s="118"/>
      <c r="N18" s="118"/>
      <c r="O18" s="118"/>
      <c r="P18" s="118"/>
      <c r="Q18" s="118"/>
      <c r="R18" s="118"/>
      <c r="S18" s="118"/>
      <c r="T18" s="118"/>
      <c r="U18" s="118"/>
      <c r="V18" s="118"/>
      <c r="W18" s="118"/>
      <c r="X18" s="118"/>
      <c r="Y18" s="118"/>
      <c r="Z18" s="118"/>
      <c r="AA18" s="118"/>
      <c r="AB18" s="118"/>
      <c r="AC18" s="118"/>
      <c r="AD18" s="357"/>
      <c r="AE18" s="357"/>
      <c r="AF18" s="357"/>
      <c r="AG18" s="357"/>
      <c r="AH18" s="357"/>
    </row>
    <row r="19" spans="1:34" ht="31.5">
      <c r="A19" s="356" t="s">
        <v>29</v>
      </c>
      <c r="B19" s="346" t="s">
        <v>234</v>
      </c>
      <c r="C19" s="356" t="s">
        <v>225</v>
      </c>
      <c r="D19" s="356"/>
      <c r="E19" s="378" t="s">
        <v>235</v>
      </c>
      <c r="F19" s="378" t="s">
        <v>236</v>
      </c>
      <c r="G19" s="118">
        <v>411211</v>
      </c>
      <c r="H19" s="118"/>
      <c r="I19" s="118">
        <v>250000</v>
      </c>
      <c r="J19" s="118"/>
      <c r="K19" s="118">
        <v>161211</v>
      </c>
      <c r="L19" s="118">
        <v>394604</v>
      </c>
      <c r="M19" s="118"/>
      <c r="N19" s="118">
        <v>250000</v>
      </c>
      <c r="O19" s="118">
        <v>144604</v>
      </c>
      <c r="P19" s="118">
        <v>388492</v>
      </c>
      <c r="Q19" s="118"/>
      <c r="R19" s="118">
        <v>250000</v>
      </c>
      <c r="S19" s="118">
        <v>138492</v>
      </c>
      <c r="T19" s="118">
        <f>908.709+274.848</f>
        <v>1183.557</v>
      </c>
      <c r="U19" s="118"/>
      <c r="V19" s="118">
        <v>908.70899999999995</v>
      </c>
      <c r="W19" s="118"/>
      <c r="X19" s="118">
        <v>274.84800000000001</v>
      </c>
      <c r="Y19" s="118">
        <v>430</v>
      </c>
      <c r="Z19" s="118"/>
      <c r="AA19" s="118">
        <v>430</v>
      </c>
      <c r="AB19" s="118"/>
      <c r="AC19" s="118"/>
      <c r="AD19" s="357">
        <f t="shared" si="2"/>
        <v>0.36331161067865764</v>
      </c>
      <c r="AE19" s="357"/>
      <c r="AF19" s="357">
        <f t="shared" ref="AF19:AF75" si="3">AA19/V19</f>
        <v>0.47319879081202015</v>
      </c>
      <c r="AG19" s="357"/>
      <c r="AH19" s="357">
        <f>AC19/X19</f>
        <v>0</v>
      </c>
    </row>
    <row r="20" spans="1:34" ht="31.5">
      <c r="A20" s="356" t="s">
        <v>29</v>
      </c>
      <c r="B20" s="346" t="s">
        <v>237</v>
      </c>
      <c r="C20" s="356" t="s">
        <v>225</v>
      </c>
      <c r="D20" s="356"/>
      <c r="E20" s="378" t="s">
        <v>238</v>
      </c>
      <c r="F20" s="378" t="s">
        <v>239</v>
      </c>
      <c r="G20" s="118">
        <v>526839</v>
      </c>
      <c r="H20" s="118">
        <v>371663</v>
      </c>
      <c r="I20" s="118">
        <v>108623</v>
      </c>
      <c r="J20" s="118"/>
      <c r="K20" s="118">
        <v>46553</v>
      </c>
      <c r="L20" s="118">
        <v>411109</v>
      </c>
      <c r="M20" s="118">
        <v>360182</v>
      </c>
      <c r="N20" s="118">
        <v>40750</v>
      </c>
      <c r="O20" s="118">
        <v>10178</v>
      </c>
      <c r="P20" s="118">
        <v>407943</v>
      </c>
      <c r="Q20" s="118">
        <v>360194</v>
      </c>
      <c r="R20" s="118">
        <v>40750</v>
      </c>
      <c r="S20" s="118">
        <v>7000</v>
      </c>
      <c r="T20" s="118">
        <v>144093.01281799999</v>
      </c>
      <c r="U20" s="118">
        <v>139040</v>
      </c>
      <c r="V20" s="118">
        <v>219</v>
      </c>
      <c r="W20" s="118"/>
      <c r="X20" s="118">
        <f>T20-U20-V20</f>
        <v>4834.0128179999883</v>
      </c>
      <c r="Y20" s="118">
        <f>SUM(Z20:AC20)</f>
        <v>142283.668638</v>
      </c>
      <c r="Z20" s="118">
        <v>139028.03760499999</v>
      </c>
      <c r="AA20" s="118">
        <v>219</v>
      </c>
      <c r="AB20" s="118"/>
      <c r="AC20" s="118">
        <v>3036.6310330000001</v>
      </c>
      <c r="AD20" s="357">
        <f t="shared" si="2"/>
        <v>0.98744322056555711</v>
      </c>
      <c r="AE20" s="357">
        <f t="shared" si="2"/>
        <v>0.99991396436277324</v>
      </c>
      <c r="AF20" s="357">
        <f t="shared" si="3"/>
        <v>1</v>
      </c>
      <c r="AG20" s="357"/>
      <c r="AH20" s="357">
        <f>AC20/X20</f>
        <v>0.6281801781105677</v>
      </c>
    </row>
    <row r="21" spans="1:34" ht="31.5">
      <c r="A21" s="356" t="s">
        <v>29</v>
      </c>
      <c r="B21" s="346" t="s">
        <v>240</v>
      </c>
      <c r="C21" s="356" t="s">
        <v>225</v>
      </c>
      <c r="D21" s="356"/>
      <c r="E21" s="378" t="s">
        <v>241</v>
      </c>
      <c r="F21" s="378" t="s">
        <v>242</v>
      </c>
      <c r="G21" s="118">
        <v>257408</v>
      </c>
      <c r="H21" s="118"/>
      <c r="I21" s="118">
        <v>195676</v>
      </c>
      <c r="J21" s="118"/>
      <c r="K21" s="118">
        <v>61732</v>
      </c>
      <c r="L21" s="118">
        <v>200260</v>
      </c>
      <c r="M21" s="118"/>
      <c r="N21" s="118">
        <v>159308</v>
      </c>
      <c r="O21" s="118">
        <v>40952</v>
      </c>
      <c r="P21" s="118">
        <v>200260</v>
      </c>
      <c r="Q21" s="118"/>
      <c r="R21" s="118">
        <v>159308</v>
      </c>
      <c r="S21" s="118">
        <v>40952</v>
      </c>
      <c r="T21" s="118">
        <v>13308.227000000001</v>
      </c>
      <c r="U21" s="118"/>
      <c r="V21" s="118">
        <v>13308.227000000001</v>
      </c>
      <c r="W21" s="118"/>
      <c r="X21" s="118"/>
      <c r="Y21" s="118">
        <f>SUM(Z21:AC21)</f>
        <v>12782.813</v>
      </c>
      <c r="Z21" s="118"/>
      <c r="AA21" s="118">
        <v>12782.813</v>
      </c>
      <c r="AB21" s="118"/>
      <c r="AC21" s="118"/>
      <c r="AD21" s="357">
        <f t="shared" si="2"/>
        <v>0.96051960941153158</v>
      </c>
      <c r="AE21" s="357"/>
      <c r="AF21" s="357">
        <f t="shared" si="3"/>
        <v>0.96051960941153158</v>
      </c>
      <c r="AG21" s="357"/>
      <c r="AH21" s="357"/>
    </row>
    <row r="22" spans="1:34" ht="63">
      <c r="A22" s="356" t="s">
        <v>29</v>
      </c>
      <c r="B22" s="346" t="s">
        <v>243</v>
      </c>
      <c r="C22" s="356" t="s">
        <v>244</v>
      </c>
      <c r="D22" s="356"/>
      <c r="E22" s="378" t="s">
        <v>238</v>
      </c>
      <c r="F22" s="378" t="s">
        <v>245</v>
      </c>
      <c r="G22" s="118">
        <v>997956</v>
      </c>
      <c r="H22" s="118"/>
      <c r="I22" s="118">
        <v>170000</v>
      </c>
      <c r="J22" s="118"/>
      <c r="K22" s="118">
        <v>827956</v>
      </c>
      <c r="L22" s="118">
        <v>549793</v>
      </c>
      <c r="M22" s="118"/>
      <c r="N22" s="118">
        <v>133000</v>
      </c>
      <c r="O22" s="118">
        <v>416793</v>
      </c>
      <c r="P22" s="118">
        <v>479355</v>
      </c>
      <c r="Q22" s="118"/>
      <c r="R22" s="118">
        <v>133000</v>
      </c>
      <c r="S22" s="118">
        <v>346355</v>
      </c>
      <c r="T22" s="118">
        <v>104247.67999999999</v>
      </c>
      <c r="U22" s="118"/>
      <c r="V22" s="118">
        <v>98</v>
      </c>
      <c r="W22" s="118"/>
      <c r="X22" s="118">
        <f>T22-V22</f>
        <v>104149.68</v>
      </c>
      <c r="Y22" s="118">
        <f>AA22+AC22</f>
        <v>100582.901</v>
      </c>
      <c r="Z22" s="118"/>
      <c r="AA22" s="118">
        <v>98</v>
      </c>
      <c r="AB22" s="118"/>
      <c r="AC22" s="118">
        <v>100484.901</v>
      </c>
      <c r="AD22" s="357">
        <f t="shared" si="2"/>
        <v>0.96484546226832102</v>
      </c>
      <c r="AE22" s="357"/>
      <c r="AF22" s="357">
        <f t="shared" si="3"/>
        <v>1</v>
      </c>
      <c r="AG22" s="357"/>
      <c r="AH22" s="357">
        <f t="shared" ref="AH22:AH50" si="4">AC22/X22</f>
        <v>0.96481238348499976</v>
      </c>
    </row>
    <row r="23" spans="1:34" ht="63">
      <c r="A23" s="356" t="s">
        <v>29</v>
      </c>
      <c r="B23" s="346" t="s">
        <v>246</v>
      </c>
      <c r="C23" s="356" t="s">
        <v>247</v>
      </c>
      <c r="D23" s="356"/>
      <c r="E23" s="378" t="s">
        <v>248</v>
      </c>
      <c r="F23" s="378" t="s">
        <v>249</v>
      </c>
      <c r="G23" s="118">
        <v>34832</v>
      </c>
      <c r="H23" s="118"/>
      <c r="I23" s="118"/>
      <c r="J23" s="118"/>
      <c r="K23" s="118">
        <v>34832</v>
      </c>
      <c r="L23" s="118">
        <v>20787</v>
      </c>
      <c r="M23" s="118"/>
      <c r="N23" s="118"/>
      <c r="O23" s="118">
        <v>20787</v>
      </c>
      <c r="P23" s="118">
        <v>20787</v>
      </c>
      <c r="Q23" s="118"/>
      <c r="R23" s="118"/>
      <c r="S23" s="118">
        <v>20787</v>
      </c>
      <c r="T23" s="118">
        <v>1301.5509999999999</v>
      </c>
      <c r="U23" s="118"/>
      <c r="V23" s="118"/>
      <c r="W23" s="118"/>
      <c r="X23" s="118">
        <v>1301.5509999999999</v>
      </c>
      <c r="Y23" s="118">
        <v>714.097938</v>
      </c>
      <c r="Z23" s="118"/>
      <c r="AA23" s="118"/>
      <c r="AB23" s="118"/>
      <c r="AC23" s="118">
        <v>714.097938</v>
      </c>
      <c r="AD23" s="357">
        <f t="shared" si="2"/>
        <v>0.54865152268332174</v>
      </c>
      <c r="AE23" s="357"/>
      <c r="AF23" s="357"/>
      <c r="AG23" s="357"/>
      <c r="AH23" s="357">
        <f t="shared" si="4"/>
        <v>0.54865152268332174</v>
      </c>
    </row>
    <row r="24" spans="1:34" ht="47.25">
      <c r="A24" s="356" t="s">
        <v>29</v>
      </c>
      <c r="B24" s="346" t="s">
        <v>250</v>
      </c>
      <c r="C24" s="356" t="s">
        <v>225</v>
      </c>
      <c r="D24" s="356"/>
      <c r="E24" s="378" t="s">
        <v>251</v>
      </c>
      <c r="F24" s="378" t="s">
        <v>252</v>
      </c>
      <c r="G24" s="118">
        <v>11478</v>
      </c>
      <c r="H24" s="118"/>
      <c r="I24" s="118"/>
      <c r="J24" s="118"/>
      <c r="K24" s="118">
        <v>11478</v>
      </c>
      <c r="L24" s="118">
        <v>11052</v>
      </c>
      <c r="M24" s="118"/>
      <c r="N24" s="118"/>
      <c r="O24" s="118">
        <v>11052</v>
      </c>
      <c r="P24" s="118">
        <v>11011</v>
      </c>
      <c r="Q24" s="118"/>
      <c r="R24" s="118"/>
      <c r="S24" s="118">
        <v>11011</v>
      </c>
      <c r="T24" s="118">
        <v>982.78200000000004</v>
      </c>
      <c r="U24" s="118"/>
      <c r="V24" s="118"/>
      <c r="W24" s="118"/>
      <c r="X24" s="118">
        <v>982.78200000000004</v>
      </c>
      <c r="Y24" s="118">
        <v>934.19100000000003</v>
      </c>
      <c r="Z24" s="118"/>
      <c r="AA24" s="118"/>
      <c r="AB24" s="118"/>
      <c r="AC24" s="118">
        <v>934.19100000000003</v>
      </c>
      <c r="AD24" s="357">
        <f t="shared" si="2"/>
        <v>0.95055770252202421</v>
      </c>
      <c r="AE24" s="357"/>
      <c r="AF24" s="357"/>
      <c r="AG24" s="357"/>
      <c r="AH24" s="357">
        <f t="shared" si="4"/>
        <v>0.95055770252202421</v>
      </c>
    </row>
    <row r="25" spans="1:34" ht="63">
      <c r="A25" s="356" t="s">
        <v>29</v>
      </c>
      <c r="B25" s="346" t="s">
        <v>253</v>
      </c>
      <c r="C25" s="356" t="s">
        <v>254</v>
      </c>
      <c r="D25" s="356"/>
      <c r="E25" s="378" t="s">
        <v>251</v>
      </c>
      <c r="F25" s="378" t="s">
        <v>255</v>
      </c>
      <c r="G25" s="118">
        <v>823270</v>
      </c>
      <c r="H25" s="118"/>
      <c r="I25" s="118">
        <v>500000</v>
      </c>
      <c r="J25" s="118"/>
      <c r="K25" s="118">
        <v>323270</v>
      </c>
      <c r="L25" s="118">
        <v>430655</v>
      </c>
      <c r="M25" s="118"/>
      <c r="N25" s="118">
        <v>159032</v>
      </c>
      <c r="O25" s="118">
        <v>271623</v>
      </c>
      <c r="P25" s="118">
        <v>393125</v>
      </c>
      <c r="Q25" s="118"/>
      <c r="R25" s="118">
        <v>159032</v>
      </c>
      <c r="S25" s="118">
        <v>234093</v>
      </c>
      <c r="T25" s="118">
        <v>53718.864000000001</v>
      </c>
      <c r="U25" s="118"/>
      <c r="V25" s="118">
        <v>50139</v>
      </c>
      <c r="W25" s="118"/>
      <c r="X25" s="118">
        <f>T25-V25</f>
        <v>3579.8640000000014</v>
      </c>
      <c r="Y25" s="118">
        <v>52158.864000000001</v>
      </c>
      <c r="Z25" s="118"/>
      <c r="AA25" s="118">
        <v>50139</v>
      </c>
      <c r="AB25" s="118"/>
      <c r="AC25" s="118">
        <v>2019.8640000000014</v>
      </c>
      <c r="AD25" s="357">
        <f t="shared" si="2"/>
        <v>0.97095992201175363</v>
      </c>
      <c r="AE25" s="357"/>
      <c r="AF25" s="357">
        <f t="shared" si="3"/>
        <v>1</v>
      </c>
      <c r="AG25" s="357"/>
      <c r="AH25" s="357">
        <f t="shared" si="4"/>
        <v>0.56422925563652715</v>
      </c>
    </row>
    <row r="26" spans="1:34" ht="31.5">
      <c r="A26" s="356" t="s">
        <v>29</v>
      </c>
      <c r="B26" s="346" t="s">
        <v>256</v>
      </c>
      <c r="C26" s="356" t="s">
        <v>225</v>
      </c>
      <c r="D26" s="356"/>
      <c r="E26" s="378" t="s">
        <v>257</v>
      </c>
      <c r="F26" s="378" t="s">
        <v>258</v>
      </c>
      <c r="G26" s="118">
        <v>101624</v>
      </c>
      <c r="H26" s="118"/>
      <c r="I26" s="118">
        <v>8000</v>
      </c>
      <c r="J26" s="118"/>
      <c r="K26" s="118">
        <v>93624</v>
      </c>
      <c r="L26" s="118">
        <v>61738</v>
      </c>
      <c r="M26" s="118"/>
      <c r="N26" s="118">
        <v>8000</v>
      </c>
      <c r="O26" s="118">
        <v>53738</v>
      </c>
      <c r="P26" s="118">
        <v>50500</v>
      </c>
      <c r="Q26" s="118"/>
      <c r="R26" s="118"/>
      <c r="S26" s="118">
        <v>50500</v>
      </c>
      <c r="T26" s="118">
        <v>2110</v>
      </c>
      <c r="U26" s="118"/>
      <c r="V26" s="118"/>
      <c r="W26" s="118"/>
      <c r="X26" s="118">
        <v>2110</v>
      </c>
      <c r="Y26" s="118">
        <v>2110</v>
      </c>
      <c r="Z26" s="118"/>
      <c r="AA26" s="118"/>
      <c r="AB26" s="118"/>
      <c r="AC26" s="118">
        <v>2110</v>
      </c>
      <c r="AD26" s="357">
        <f t="shared" si="2"/>
        <v>1</v>
      </c>
      <c r="AE26" s="357"/>
      <c r="AF26" s="357"/>
      <c r="AG26" s="357"/>
      <c r="AH26" s="357">
        <f t="shared" si="4"/>
        <v>1</v>
      </c>
    </row>
    <row r="27" spans="1:34" ht="31.5">
      <c r="A27" s="356" t="s">
        <v>29</v>
      </c>
      <c r="B27" s="346" t="s">
        <v>259</v>
      </c>
      <c r="C27" s="356" t="s">
        <v>225</v>
      </c>
      <c r="D27" s="356"/>
      <c r="E27" s="378" t="s">
        <v>260</v>
      </c>
      <c r="F27" s="378" t="s">
        <v>261</v>
      </c>
      <c r="G27" s="118">
        <v>174038</v>
      </c>
      <c r="H27" s="118"/>
      <c r="I27" s="118"/>
      <c r="J27" s="118"/>
      <c r="K27" s="118">
        <v>174038</v>
      </c>
      <c r="L27" s="118">
        <v>115592</v>
      </c>
      <c r="M27" s="118"/>
      <c r="N27" s="118"/>
      <c r="O27" s="118">
        <v>115592</v>
      </c>
      <c r="P27" s="118">
        <v>166131</v>
      </c>
      <c r="Q27" s="118"/>
      <c r="R27" s="118"/>
      <c r="S27" s="118">
        <v>166131</v>
      </c>
      <c r="T27" s="118">
        <v>7231.076</v>
      </c>
      <c r="U27" s="118"/>
      <c r="V27" s="118"/>
      <c r="W27" s="118"/>
      <c r="X27" s="118">
        <v>7231.076</v>
      </c>
      <c r="Y27" s="118">
        <v>6450.9589999999998</v>
      </c>
      <c r="Z27" s="118"/>
      <c r="AA27" s="118"/>
      <c r="AB27" s="118"/>
      <c r="AC27" s="118">
        <v>6450.9589999999998</v>
      </c>
      <c r="AD27" s="357">
        <f t="shared" si="2"/>
        <v>0.89211605575712383</v>
      </c>
      <c r="AE27" s="357"/>
      <c r="AF27" s="357"/>
      <c r="AG27" s="357"/>
      <c r="AH27" s="357">
        <f t="shared" si="4"/>
        <v>0.89211605575712383</v>
      </c>
    </row>
    <row r="28" spans="1:34" ht="47.25">
      <c r="A28" s="356" t="s">
        <v>29</v>
      </c>
      <c r="B28" s="346" t="s">
        <v>262</v>
      </c>
      <c r="C28" s="356" t="s">
        <v>263</v>
      </c>
      <c r="D28" s="356"/>
      <c r="E28" s="378" t="s">
        <v>257</v>
      </c>
      <c r="F28" s="378" t="s">
        <v>264</v>
      </c>
      <c r="G28" s="118">
        <v>100800</v>
      </c>
      <c r="H28" s="118"/>
      <c r="I28" s="118"/>
      <c r="J28" s="118"/>
      <c r="K28" s="118">
        <v>100800</v>
      </c>
      <c r="L28" s="118">
        <v>65572</v>
      </c>
      <c r="M28" s="118"/>
      <c r="N28" s="118"/>
      <c r="O28" s="118">
        <v>65572</v>
      </c>
      <c r="P28" s="118">
        <v>65572</v>
      </c>
      <c r="Q28" s="118"/>
      <c r="R28" s="118"/>
      <c r="S28" s="118">
        <v>65572</v>
      </c>
      <c r="T28" s="118">
        <v>6322.0251129999997</v>
      </c>
      <c r="U28" s="118"/>
      <c r="V28" s="118"/>
      <c r="W28" s="118"/>
      <c r="X28" s="118">
        <v>6322.0251129999997</v>
      </c>
      <c r="Y28" s="118">
        <v>6121.68</v>
      </c>
      <c r="Z28" s="118"/>
      <c r="AA28" s="118"/>
      <c r="AB28" s="118"/>
      <c r="AC28" s="118">
        <v>6121.68</v>
      </c>
      <c r="AD28" s="357">
        <f t="shared" si="2"/>
        <v>0.96830997830299204</v>
      </c>
      <c r="AE28" s="357"/>
      <c r="AF28" s="357"/>
      <c r="AG28" s="357"/>
      <c r="AH28" s="357">
        <f t="shared" si="4"/>
        <v>0.96830997830299204</v>
      </c>
    </row>
    <row r="29" spans="1:34" ht="63">
      <c r="A29" s="356" t="s">
        <v>29</v>
      </c>
      <c r="B29" s="346" t="s">
        <v>265</v>
      </c>
      <c r="C29" s="356" t="s">
        <v>225</v>
      </c>
      <c r="D29" s="356"/>
      <c r="E29" s="378" t="s">
        <v>266</v>
      </c>
      <c r="F29" s="378" t="s">
        <v>267</v>
      </c>
      <c r="G29" s="118">
        <v>1108682</v>
      </c>
      <c r="H29" s="118">
        <v>668208</v>
      </c>
      <c r="I29" s="118">
        <v>207495</v>
      </c>
      <c r="J29" s="118"/>
      <c r="K29" s="118">
        <v>232979</v>
      </c>
      <c r="L29" s="118">
        <v>323248</v>
      </c>
      <c r="M29" s="118">
        <v>268863</v>
      </c>
      <c r="N29" s="118">
        <v>22420</v>
      </c>
      <c r="O29" s="118">
        <v>31965</v>
      </c>
      <c r="P29" s="118">
        <v>308098</v>
      </c>
      <c r="Q29" s="118">
        <v>253857</v>
      </c>
      <c r="R29" s="118">
        <v>22420</v>
      </c>
      <c r="S29" s="118">
        <v>31821</v>
      </c>
      <c r="T29" s="118">
        <v>251128.258245</v>
      </c>
      <c r="U29" s="118">
        <v>212580.50544499999</v>
      </c>
      <c r="V29" s="118">
        <v>4420</v>
      </c>
      <c r="W29" s="118"/>
      <c r="X29" s="118">
        <f>T29-U29-V29</f>
        <v>34127.752800000017</v>
      </c>
      <c r="Y29" s="118">
        <v>243521.770059</v>
      </c>
      <c r="Z29" s="118">
        <v>207644.441915</v>
      </c>
      <c r="AA29" s="118">
        <v>3831.8577439999999</v>
      </c>
      <c r="AB29" s="118"/>
      <c r="AC29" s="118">
        <v>32045.470399999998</v>
      </c>
      <c r="AD29" s="357">
        <f t="shared" si="2"/>
        <v>0.96971074366876253</v>
      </c>
      <c r="AE29" s="357">
        <f t="shared" si="2"/>
        <v>0.9767802625190527</v>
      </c>
      <c r="AF29" s="357">
        <f t="shared" si="3"/>
        <v>0.86693614117647055</v>
      </c>
      <c r="AG29" s="357"/>
      <c r="AH29" s="357">
        <f t="shared" si="4"/>
        <v>0.93898565744416618</v>
      </c>
    </row>
    <row r="30" spans="1:34" ht="47.25">
      <c r="A30" s="356" t="s">
        <v>29</v>
      </c>
      <c r="B30" s="346" t="s">
        <v>268</v>
      </c>
      <c r="C30" s="356" t="s">
        <v>225</v>
      </c>
      <c r="D30" s="356"/>
      <c r="E30" s="378" t="s">
        <v>251</v>
      </c>
      <c r="F30" s="378" t="s">
        <v>269</v>
      </c>
      <c r="G30" s="118">
        <v>40167</v>
      </c>
      <c r="H30" s="118"/>
      <c r="I30" s="118"/>
      <c r="J30" s="118"/>
      <c r="K30" s="118">
        <v>40167</v>
      </c>
      <c r="L30" s="118">
        <v>39865</v>
      </c>
      <c r="M30" s="118"/>
      <c r="N30" s="118"/>
      <c r="O30" s="118">
        <v>39865</v>
      </c>
      <c r="P30" s="118">
        <v>33673</v>
      </c>
      <c r="Q30" s="118"/>
      <c r="R30" s="118"/>
      <c r="S30" s="118">
        <v>33673</v>
      </c>
      <c r="T30" s="118">
        <v>10383.808199999999</v>
      </c>
      <c r="U30" s="118"/>
      <c r="V30" s="118"/>
      <c r="W30" s="118"/>
      <c r="X30" s="118">
        <v>10383.808199999999</v>
      </c>
      <c r="Y30" s="118">
        <v>7243.8082000000004</v>
      </c>
      <c r="Z30" s="118"/>
      <c r="AA30" s="118"/>
      <c r="AB30" s="118"/>
      <c r="AC30" s="118">
        <v>7243.8082000000004</v>
      </c>
      <c r="AD30" s="357">
        <f t="shared" si="2"/>
        <v>0.69760612488971052</v>
      </c>
      <c r="AE30" s="357"/>
      <c r="AF30" s="357"/>
      <c r="AG30" s="357"/>
      <c r="AH30" s="357">
        <f t="shared" si="4"/>
        <v>0.69760612488971052</v>
      </c>
    </row>
    <row r="31" spans="1:34" ht="47.25">
      <c r="A31" s="356" t="s">
        <v>29</v>
      </c>
      <c r="B31" s="346" t="s">
        <v>270</v>
      </c>
      <c r="C31" s="356" t="s">
        <v>225</v>
      </c>
      <c r="D31" s="356"/>
      <c r="E31" s="378" t="s">
        <v>248</v>
      </c>
      <c r="F31" s="378" t="s">
        <v>271</v>
      </c>
      <c r="G31" s="118">
        <v>23946</v>
      </c>
      <c r="H31" s="118"/>
      <c r="I31" s="118"/>
      <c r="J31" s="118"/>
      <c r="K31" s="118">
        <v>23946</v>
      </c>
      <c r="L31" s="118">
        <v>22610</v>
      </c>
      <c r="M31" s="118"/>
      <c r="N31" s="118"/>
      <c r="O31" s="118">
        <v>22610</v>
      </c>
      <c r="P31" s="118">
        <v>20486</v>
      </c>
      <c r="Q31" s="118"/>
      <c r="R31" s="118"/>
      <c r="S31" s="118">
        <v>20486</v>
      </c>
      <c r="T31" s="118">
        <v>3350</v>
      </c>
      <c r="U31" s="118"/>
      <c r="V31" s="118"/>
      <c r="W31" s="118"/>
      <c r="X31" s="118">
        <v>3350</v>
      </c>
      <c r="Y31" s="118">
        <v>3350</v>
      </c>
      <c r="Z31" s="118"/>
      <c r="AA31" s="118"/>
      <c r="AB31" s="118"/>
      <c r="AC31" s="118">
        <v>3350</v>
      </c>
      <c r="AD31" s="357">
        <f t="shared" si="2"/>
        <v>1</v>
      </c>
      <c r="AE31" s="357"/>
      <c r="AF31" s="357"/>
      <c r="AG31" s="357"/>
      <c r="AH31" s="357">
        <f t="shared" si="4"/>
        <v>1</v>
      </c>
    </row>
    <row r="32" spans="1:34" ht="47.25">
      <c r="A32" s="356" t="s">
        <v>29</v>
      </c>
      <c r="B32" s="346" t="s">
        <v>272</v>
      </c>
      <c r="C32" s="356" t="s">
        <v>273</v>
      </c>
      <c r="D32" s="356"/>
      <c r="E32" s="378" t="s">
        <v>274</v>
      </c>
      <c r="F32" s="378" t="s">
        <v>275</v>
      </c>
      <c r="G32" s="118">
        <v>135380</v>
      </c>
      <c r="H32" s="118"/>
      <c r="I32" s="118">
        <v>104672</v>
      </c>
      <c r="J32" s="118"/>
      <c r="K32" s="118">
        <v>30708</v>
      </c>
      <c r="L32" s="118">
        <v>87211</v>
      </c>
      <c r="M32" s="118"/>
      <c r="N32" s="118">
        <v>68927</v>
      </c>
      <c r="O32" s="118">
        <v>18284</v>
      </c>
      <c r="P32" s="118">
        <v>68927</v>
      </c>
      <c r="Q32" s="118"/>
      <c r="R32" s="118">
        <v>68927</v>
      </c>
      <c r="S32" s="118"/>
      <c r="T32" s="118">
        <v>16309.531000000001</v>
      </c>
      <c r="U32" s="118"/>
      <c r="V32" s="118">
        <v>11109.531000000001</v>
      </c>
      <c r="W32" s="118"/>
      <c r="X32" s="118">
        <f>T32-V32</f>
        <v>5200</v>
      </c>
      <c r="Y32" s="118">
        <v>15213.999</v>
      </c>
      <c r="Z32" s="118"/>
      <c r="AA32" s="118">
        <v>10213.999</v>
      </c>
      <c r="AB32" s="118"/>
      <c r="AC32" s="118">
        <v>5000</v>
      </c>
      <c r="AD32" s="357">
        <f t="shared" si="2"/>
        <v>0.93282872450470822</v>
      </c>
      <c r="AE32" s="357"/>
      <c r="AF32" s="357">
        <f t="shared" si="3"/>
        <v>0.91939065654526719</v>
      </c>
      <c r="AG32" s="357"/>
      <c r="AH32" s="357">
        <f t="shared" si="4"/>
        <v>0.96153846153846156</v>
      </c>
    </row>
    <row r="33" spans="1:34" ht="31.5">
      <c r="A33" s="356" t="s">
        <v>29</v>
      </c>
      <c r="B33" s="346" t="s">
        <v>276</v>
      </c>
      <c r="C33" s="356" t="s">
        <v>277</v>
      </c>
      <c r="D33" s="356"/>
      <c r="E33" s="378" t="s">
        <v>278</v>
      </c>
      <c r="F33" s="378" t="s">
        <v>279</v>
      </c>
      <c r="G33" s="118">
        <v>85998</v>
      </c>
      <c r="H33" s="118"/>
      <c r="I33" s="118"/>
      <c r="J33" s="118"/>
      <c r="K33" s="118">
        <v>85998</v>
      </c>
      <c r="L33" s="118">
        <v>28817</v>
      </c>
      <c r="M33" s="118"/>
      <c r="N33" s="118"/>
      <c r="O33" s="118">
        <v>28817</v>
      </c>
      <c r="P33" s="118">
        <v>31217</v>
      </c>
      <c r="Q33" s="118"/>
      <c r="R33" s="118"/>
      <c r="S33" s="118">
        <v>31217</v>
      </c>
      <c r="T33" s="118">
        <v>13917.123</v>
      </c>
      <c r="U33" s="118"/>
      <c r="V33" s="118"/>
      <c r="W33" s="118"/>
      <c r="X33" s="118">
        <v>13917.123</v>
      </c>
      <c r="Y33" s="118">
        <v>7028.826</v>
      </c>
      <c r="Z33" s="118"/>
      <c r="AA33" s="118"/>
      <c r="AB33" s="118"/>
      <c r="AC33" s="118">
        <v>7028.826</v>
      </c>
      <c r="AD33" s="357">
        <f t="shared" si="2"/>
        <v>0.50504878055615376</v>
      </c>
      <c r="AE33" s="357"/>
      <c r="AF33" s="357"/>
      <c r="AG33" s="357"/>
      <c r="AH33" s="357">
        <f t="shared" si="4"/>
        <v>0.50504878055615376</v>
      </c>
    </row>
    <row r="34" spans="1:34" ht="31.5">
      <c r="A34" s="356" t="s">
        <v>29</v>
      </c>
      <c r="B34" s="346" t="s">
        <v>280</v>
      </c>
      <c r="C34" s="356" t="s">
        <v>225</v>
      </c>
      <c r="D34" s="356"/>
      <c r="E34" s="378">
        <v>2015</v>
      </c>
      <c r="F34" s="378" t="s">
        <v>281</v>
      </c>
      <c r="G34" s="118">
        <v>21050</v>
      </c>
      <c r="H34" s="118"/>
      <c r="I34" s="118"/>
      <c r="J34" s="118"/>
      <c r="K34" s="118">
        <v>21050</v>
      </c>
      <c r="L34" s="118">
        <v>19714</v>
      </c>
      <c r="M34" s="118"/>
      <c r="N34" s="118"/>
      <c r="O34" s="118">
        <v>19714</v>
      </c>
      <c r="P34" s="118">
        <v>19686</v>
      </c>
      <c r="Q34" s="118"/>
      <c r="R34" s="118"/>
      <c r="S34" s="118">
        <v>19686</v>
      </c>
      <c r="T34" s="118">
        <v>1860.7670000000001</v>
      </c>
      <c r="U34" s="118"/>
      <c r="V34" s="118"/>
      <c r="W34" s="118"/>
      <c r="X34" s="118">
        <v>1860.7670000000001</v>
      </c>
      <c r="Y34" s="118">
        <v>1812.2470000000001</v>
      </c>
      <c r="Z34" s="118"/>
      <c r="AA34" s="118"/>
      <c r="AB34" s="118"/>
      <c r="AC34" s="118">
        <v>1812.2470000000001</v>
      </c>
      <c r="AD34" s="357">
        <f t="shared" si="2"/>
        <v>0.97392473103832988</v>
      </c>
      <c r="AE34" s="357"/>
      <c r="AF34" s="357"/>
      <c r="AG34" s="357"/>
      <c r="AH34" s="357">
        <f t="shared" si="4"/>
        <v>0.97392473103832988</v>
      </c>
    </row>
    <row r="35" spans="1:34" ht="47.25">
      <c r="A35" s="356" t="s">
        <v>29</v>
      </c>
      <c r="B35" s="346" t="s">
        <v>282</v>
      </c>
      <c r="C35" s="356" t="s">
        <v>277</v>
      </c>
      <c r="D35" s="356"/>
      <c r="E35" s="378" t="s">
        <v>278</v>
      </c>
      <c r="F35" s="378" t="s">
        <v>283</v>
      </c>
      <c r="G35" s="118">
        <v>135650</v>
      </c>
      <c r="H35" s="118">
        <v>80399</v>
      </c>
      <c r="I35" s="118"/>
      <c r="J35" s="118"/>
      <c r="K35" s="118">
        <v>55251</v>
      </c>
      <c r="L35" s="118">
        <v>65485</v>
      </c>
      <c r="M35" s="118">
        <v>61207</v>
      </c>
      <c r="N35" s="118"/>
      <c r="O35" s="118">
        <v>4278</v>
      </c>
      <c r="P35" s="118">
        <v>80200</v>
      </c>
      <c r="Q35" s="118">
        <v>77600</v>
      </c>
      <c r="R35" s="118"/>
      <c r="S35" s="118">
        <v>2600</v>
      </c>
      <c r="T35" s="118">
        <v>23100</v>
      </c>
      <c r="U35" s="118">
        <v>20000</v>
      </c>
      <c r="V35" s="118"/>
      <c r="W35" s="118"/>
      <c r="X35" s="118">
        <f>T35-U35</f>
        <v>3100</v>
      </c>
      <c r="Y35" s="118">
        <v>6076.4072340000002</v>
      </c>
      <c r="Z35" s="118">
        <v>3606.2099149999999</v>
      </c>
      <c r="AA35" s="118"/>
      <c r="AB35" s="118"/>
      <c r="AC35" s="118">
        <v>2470.1973190000003</v>
      </c>
      <c r="AD35" s="357">
        <f t="shared" si="2"/>
        <v>0.26304793220779221</v>
      </c>
      <c r="AE35" s="357">
        <f t="shared" si="2"/>
        <v>0.18031049574999999</v>
      </c>
      <c r="AF35" s="357"/>
      <c r="AG35" s="357"/>
      <c r="AH35" s="357">
        <f t="shared" si="4"/>
        <v>0.79683784483870979</v>
      </c>
    </row>
    <row r="36" spans="1:34" ht="78.75">
      <c r="A36" s="356" t="s">
        <v>29</v>
      </c>
      <c r="B36" s="346" t="s">
        <v>284</v>
      </c>
      <c r="C36" s="356"/>
      <c r="D36" s="356"/>
      <c r="E36" s="378">
        <v>2016</v>
      </c>
      <c r="F36" s="378" t="s">
        <v>285</v>
      </c>
      <c r="G36" s="118">
        <v>1046</v>
      </c>
      <c r="H36" s="118"/>
      <c r="I36" s="118"/>
      <c r="J36" s="118"/>
      <c r="K36" s="118">
        <v>1046</v>
      </c>
      <c r="L36" s="118">
        <v>1007</v>
      </c>
      <c r="M36" s="118"/>
      <c r="N36" s="118"/>
      <c r="O36" s="118">
        <v>1007</v>
      </c>
      <c r="P36" s="118">
        <v>1006</v>
      </c>
      <c r="Q36" s="118"/>
      <c r="R36" s="118"/>
      <c r="S36" s="118">
        <v>1006</v>
      </c>
      <c r="T36" s="118">
        <v>306</v>
      </c>
      <c r="U36" s="118"/>
      <c r="V36" s="118"/>
      <c r="W36" s="118"/>
      <c r="X36" s="118">
        <v>306</v>
      </c>
      <c r="Y36" s="118">
        <v>288.64299999999997</v>
      </c>
      <c r="Z36" s="118"/>
      <c r="AA36" s="118"/>
      <c r="AB36" s="118"/>
      <c r="AC36" s="118">
        <v>288.64299999999997</v>
      </c>
      <c r="AD36" s="357">
        <f t="shared" si="2"/>
        <v>0.94327777777777766</v>
      </c>
      <c r="AE36" s="357"/>
      <c r="AF36" s="357"/>
      <c r="AG36" s="357"/>
      <c r="AH36" s="357">
        <f t="shared" si="4"/>
        <v>0.94327777777777766</v>
      </c>
    </row>
    <row r="37" spans="1:34" ht="63">
      <c r="A37" s="356" t="s">
        <v>29</v>
      </c>
      <c r="B37" s="346" t="s">
        <v>286</v>
      </c>
      <c r="C37" s="356" t="s">
        <v>287</v>
      </c>
      <c r="D37" s="356"/>
      <c r="E37" s="378" t="s">
        <v>288</v>
      </c>
      <c r="F37" s="378" t="s">
        <v>289</v>
      </c>
      <c r="G37" s="118">
        <v>207827</v>
      </c>
      <c r="H37" s="118"/>
      <c r="I37" s="118">
        <v>50000</v>
      </c>
      <c r="J37" s="118"/>
      <c r="K37" s="118">
        <v>157827</v>
      </c>
      <c r="L37" s="118">
        <v>59153</v>
      </c>
      <c r="M37" s="118"/>
      <c r="N37" s="118">
        <v>9000</v>
      </c>
      <c r="O37" s="118">
        <v>50153</v>
      </c>
      <c r="P37" s="118">
        <v>82768</v>
      </c>
      <c r="Q37" s="118"/>
      <c r="R37" s="118">
        <v>7000</v>
      </c>
      <c r="S37" s="118">
        <v>75768</v>
      </c>
      <c r="T37" s="118">
        <v>71242.119879999998</v>
      </c>
      <c r="U37" s="118"/>
      <c r="V37" s="118">
        <v>7000</v>
      </c>
      <c r="W37" s="118"/>
      <c r="X37" s="118">
        <f>T37-V37</f>
        <v>64242.119879999998</v>
      </c>
      <c r="Y37" s="118">
        <v>44348.139000000003</v>
      </c>
      <c r="Z37" s="118"/>
      <c r="AA37" s="118">
        <v>7000</v>
      </c>
      <c r="AB37" s="118"/>
      <c r="AC37" s="118">
        <v>37348.139000000003</v>
      </c>
      <c r="AD37" s="357">
        <f t="shared" si="2"/>
        <v>0.62249886829167733</v>
      </c>
      <c r="AE37" s="357"/>
      <c r="AF37" s="357">
        <f t="shared" si="3"/>
        <v>1</v>
      </c>
      <c r="AG37" s="357"/>
      <c r="AH37" s="357">
        <f t="shared" si="4"/>
        <v>0.58136529538196813</v>
      </c>
    </row>
    <row r="38" spans="1:34" ht="45">
      <c r="A38" s="356" t="s">
        <v>29</v>
      </c>
      <c r="B38" s="346" t="s">
        <v>290</v>
      </c>
      <c r="C38" s="356" t="s">
        <v>225</v>
      </c>
      <c r="D38" s="356"/>
      <c r="E38" s="378" t="s">
        <v>230</v>
      </c>
      <c r="F38" s="378" t="s">
        <v>291</v>
      </c>
      <c r="G38" s="118">
        <v>19514</v>
      </c>
      <c r="H38" s="118"/>
      <c r="I38" s="118"/>
      <c r="J38" s="118"/>
      <c r="K38" s="118">
        <v>19514</v>
      </c>
      <c r="L38" s="118">
        <v>17894</v>
      </c>
      <c r="M38" s="118"/>
      <c r="N38" s="118"/>
      <c r="O38" s="118">
        <v>17894</v>
      </c>
      <c r="P38" s="118">
        <v>13751</v>
      </c>
      <c r="Q38" s="118"/>
      <c r="R38" s="118"/>
      <c r="S38" s="118">
        <v>13751</v>
      </c>
      <c r="T38" s="118">
        <v>10440.654</v>
      </c>
      <c r="U38" s="118"/>
      <c r="V38" s="118"/>
      <c r="W38" s="118"/>
      <c r="X38" s="118">
        <v>10440.654</v>
      </c>
      <c r="Y38" s="118">
        <v>10198.654</v>
      </c>
      <c r="Z38" s="118"/>
      <c r="AA38" s="118"/>
      <c r="AB38" s="118"/>
      <c r="AC38" s="118">
        <v>10198.654</v>
      </c>
      <c r="AD38" s="357">
        <f t="shared" si="2"/>
        <v>0.97682137536594926</v>
      </c>
      <c r="AE38" s="357"/>
      <c r="AF38" s="357"/>
      <c r="AG38" s="357"/>
      <c r="AH38" s="357">
        <f t="shared" si="4"/>
        <v>0.97682137536594926</v>
      </c>
    </row>
    <row r="39" spans="1:34" ht="31.5">
      <c r="A39" s="356" t="s">
        <v>29</v>
      </c>
      <c r="B39" s="346" t="s">
        <v>292</v>
      </c>
      <c r="C39" s="356" t="s">
        <v>225</v>
      </c>
      <c r="D39" s="356"/>
      <c r="E39" s="378" t="s">
        <v>293</v>
      </c>
      <c r="F39" s="378" t="s">
        <v>294</v>
      </c>
      <c r="G39" s="118">
        <v>29878</v>
      </c>
      <c r="H39" s="118"/>
      <c r="I39" s="118"/>
      <c r="J39" s="118"/>
      <c r="K39" s="118">
        <v>29878</v>
      </c>
      <c r="L39" s="118">
        <v>27957</v>
      </c>
      <c r="M39" s="118"/>
      <c r="N39" s="118"/>
      <c r="O39" s="118">
        <v>27957</v>
      </c>
      <c r="P39" s="118">
        <v>22662</v>
      </c>
      <c r="Q39" s="118"/>
      <c r="R39" s="118"/>
      <c r="S39" s="118">
        <v>22662</v>
      </c>
      <c r="T39" s="118">
        <v>22661.705069</v>
      </c>
      <c r="U39" s="118"/>
      <c r="V39" s="118"/>
      <c r="W39" s="118"/>
      <c r="X39" s="118">
        <v>22661.705069</v>
      </c>
      <c r="Y39" s="118">
        <v>22261.705069</v>
      </c>
      <c r="Z39" s="118"/>
      <c r="AA39" s="118"/>
      <c r="AB39" s="118"/>
      <c r="AC39" s="118">
        <v>22261.705069</v>
      </c>
      <c r="AD39" s="357">
        <f t="shared" si="2"/>
        <v>0.9823490774951803</v>
      </c>
      <c r="AE39" s="357"/>
      <c r="AF39" s="357"/>
      <c r="AG39" s="357"/>
      <c r="AH39" s="357">
        <f t="shared" si="4"/>
        <v>0.9823490774951803</v>
      </c>
    </row>
    <row r="40" spans="1:34" ht="31.5">
      <c r="A40" s="356" t="s">
        <v>29</v>
      </c>
      <c r="B40" s="346" t="s">
        <v>295</v>
      </c>
      <c r="C40" s="356" t="s">
        <v>296</v>
      </c>
      <c r="D40" s="356"/>
      <c r="E40" s="378">
        <v>2017</v>
      </c>
      <c r="F40" s="378" t="s">
        <v>297</v>
      </c>
      <c r="G40" s="118">
        <v>14090</v>
      </c>
      <c r="H40" s="118"/>
      <c r="I40" s="118"/>
      <c r="J40" s="118"/>
      <c r="K40" s="118">
        <v>14090</v>
      </c>
      <c r="L40" s="118">
        <v>11850</v>
      </c>
      <c r="M40" s="118"/>
      <c r="N40" s="118"/>
      <c r="O40" s="118">
        <v>11850</v>
      </c>
      <c r="P40" s="118">
        <v>8800</v>
      </c>
      <c r="Q40" s="118"/>
      <c r="R40" s="118"/>
      <c r="S40" s="118">
        <v>8800</v>
      </c>
      <c r="T40" s="118">
        <v>8800</v>
      </c>
      <c r="U40" s="118"/>
      <c r="V40" s="118"/>
      <c r="W40" s="118"/>
      <c r="X40" s="118">
        <v>8800</v>
      </c>
      <c r="Y40" s="118">
        <v>8788.9619999999995</v>
      </c>
      <c r="Z40" s="118"/>
      <c r="AA40" s="118"/>
      <c r="AB40" s="118"/>
      <c r="AC40" s="118">
        <v>8788.9619999999995</v>
      </c>
      <c r="AD40" s="357">
        <f t="shared" si="2"/>
        <v>0.9987456818181818</v>
      </c>
      <c r="AE40" s="357"/>
      <c r="AF40" s="357"/>
      <c r="AG40" s="357"/>
      <c r="AH40" s="357">
        <f t="shared" si="4"/>
        <v>0.9987456818181818</v>
      </c>
    </row>
    <row r="41" spans="1:34" ht="63">
      <c r="A41" s="356" t="s">
        <v>29</v>
      </c>
      <c r="B41" s="346" t="s">
        <v>298</v>
      </c>
      <c r="C41" s="356" t="s">
        <v>299</v>
      </c>
      <c r="D41" s="356"/>
      <c r="E41" s="378" t="s">
        <v>226</v>
      </c>
      <c r="F41" s="378" t="s">
        <v>300</v>
      </c>
      <c r="G41" s="118">
        <v>13800</v>
      </c>
      <c r="H41" s="118"/>
      <c r="I41" s="118"/>
      <c r="J41" s="118"/>
      <c r="K41" s="118">
        <v>13800</v>
      </c>
      <c r="L41" s="118">
        <v>9660</v>
      </c>
      <c r="M41" s="118"/>
      <c r="N41" s="118"/>
      <c r="O41" s="118">
        <v>9660</v>
      </c>
      <c r="P41" s="118">
        <v>7500</v>
      </c>
      <c r="Q41" s="118"/>
      <c r="R41" s="118"/>
      <c r="S41" s="118">
        <v>7500</v>
      </c>
      <c r="T41" s="118">
        <v>7500</v>
      </c>
      <c r="U41" s="118"/>
      <c r="V41" s="118"/>
      <c r="W41" s="118"/>
      <c r="X41" s="118">
        <v>7500</v>
      </c>
      <c r="Y41" s="118">
        <v>6702</v>
      </c>
      <c r="Z41" s="118"/>
      <c r="AA41" s="118"/>
      <c r="AB41" s="118"/>
      <c r="AC41" s="118">
        <v>6702</v>
      </c>
      <c r="AD41" s="357">
        <f t="shared" si="2"/>
        <v>0.89359999999999995</v>
      </c>
      <c r="AE41" s="357"/>
      <c r="AF41" s="357"/>
      <c r="AG41" s="357"/>
      <c r="AH41" s="357">
        <f t="shared" si="4"/>
        <v>0.89359999999999995</v>
      </c>
    </row>
    <row r="42" spans="1:34" ht="63">
      <c r="A42" s="356" t="s">
        <v>29</v>
      </c>
      <c r="B42" s="346" t="s">
        <v>301</v>
      </c>
      <c r="C42" s="356" t="s">
        <v>299</v>
      </c>
      <c r="D42" s="356"/>
      <c r="E42" s="378" t="s">
        <v>302</v>
      </c>
      <c r="F42" s="378" t="s">
        <v>303</v>
      </c>
      <c r="G42" s="118">
        <v>2910</v>
      </c>
      <c r="H42" s="118"/>
      <c r="I42" s="118"/>
      <c r="J42" s="118"/>
      <c r="K42" s="118">
        <v>2910</v>
      </c>
      <c r="L42" s="118">
        <v>2567</v>
      </c>
      <c r="M42" s="118"/>
      <c r="N42" s="118"/>
      <c r="O42" s="118">
        <v>2567</v>
      </c>
      <c r="P42" s="118">
        <v>1000</v>
      </c>
      <c r="Q42" s="118"/>
      <c r="R42" s="118"/>
      <c r="S42" s="118">
        <v>1000</v>
      </c>
      <c r="T42" s="118">
        <v>1000</v>
      </c>
      <c r="U42" s="118"/>
      <c r="V42" s="118"/>
      <c r="W42" s="118"/>
      <c r="X42" s="118">
        <v>1000</v>
      </c>
      <c r="Y42" s="118">
        <v>997.37800000000004</v>
      </c>
      <c r="Z42" s="118"/>
      <c r="AA42" s="118"/>
      <c r="AB42" s="118"/>
      <c r="AC42" s="118">
        <v>997.37800000000004</v>
      </c>
      <c r="AD42" s="357">
        <f t="shared" si="2"/>
        <v>0.9973780000000001</v>
      </c>
      <c r="AE42" s="357"/>
      <c r="AF42" s="357"/>
      <c r="AG42" s="357"/>
      <c r="AH42" s="357">
        <f t="shared" si="4"/>
        <v>0.9973780000000001</v>
      </c>
    </row>
    <row r="43" spans="1:34" ht="94.5">
      <c r="A43" s="356" t="s">
        <v>29</v>
      </c>
      <c r="B43" s="346" t="s">
        <v>304</v>
      </c>
      <c r="C43" s="356" t="s">
        <v>225</v>
      </c>
      <c r="D43" s="356"/>
      <c r="E43" s="378" t="s">
        <v>302</v>
      </c>
      <c r="F43" s="378" t="s">
        <v>305</v>
      </c>
      <c r="G43" s="118">
        <v>6881</v>
      </c>
      <c r="H43" s="118"/>
      <c r="I43" s="118"/>
      <c r="J43" s="118"/>
      <c r="K43" s="118">
        <v>6881</v>
      </c>
      <c r="L43" s="118">
        <v>5367</v>
      </c>
      <c r="M43" s="118"/>
      <c r="N43" s="118"/>
      <c r="O43" s="118">
        <v>5367</v>
      </c>
      <c r="P43" s="118">
        <v>2000</v>
      </c>
      <c r="Q43" s="118"/>
      <c r="R43" s="118"/>
      <c r="S43" s="118">
        <v>2000</v>
      </c>
      <c r="T43" s="118">
        <v>2000</v>
      </c>
      <c r="U43" s="118"/>
      <c r="V43" s="118"/>
      <c r="W43" s="118"/>
      <c r="X43" s="118">
        <v>2000</v>
      </c>
      <c r="Y43" s="118">
        <v>1793.85</v>
      </c>
      <c r="Z43" s="118"/>
      <c r="AA43" s="118"/>
      <c r="AB43" s="118"/>
      <c r="AC43" s="118">
        <v>1793.85</v>
      </c>
      <c r="AD43" s="357">
        <f t="shared" si="2"/>
        <v>0.89692499999999997</v>
      </c>
      <c r="AE43" s="357"/>
      <c r="AF43" s="357"/>
      <c r="AG43" s="357"/>
      <c r="AH43" s="357">
        <f t="shared" si="4"/>
        <v>0.89692499999999997</v>
      </c>
    </row>
    <row r="44" spans="1:34" ht="31.5">
      <c r="A44" s="356" t="s">
        <v>29</v>
      </c>
      <c r="B44" s="346" t="s">
        <v>306</v>
      </c>
      <c r="C44" s="356" t="s">
        <v>296</v>
      </c>
      <c r="D44" s="356"/>
      <c r="E44" s="378" t="s">
        <v>307</v>
      </c>
      <c r="F44" s="378" t="s">
        <v>308</v>
      </c>
      <c r="G44" s="118">
        <v>69796</v>
      </c>
      <c r="H44" s="118"/>
      <c r="I44" s="118"/>
      <c r="J44" s="118"/>
      <c r="K44" s="118">
        <v>69796</v>
      </c>
      <c r="L44" s="118">
        <v>9097</v>
      </c>
      <c r="M44" s="118"/>
      <c r="N44" s="118"/>
      <c r="O44" s="118">
        <v>9097</v>
      </c>
      <c r="P44" s="118">
        <v>34600</v>
      </c>
      <c r="Q44" s="118"/>
      <c r="R44" s="118"/>
      <c r="S44" s="118">
        <v>34600</v>
      </c>
      <c r="T44" s="118">
        <v>34600</v>
      </c>
      <c r="U44" s="118"/>
      <c r="V44" s="118"/>
      <c r="W44" s="118"/>
      <c r="X44" s="118">
        <v>34600</v>
      </c>
      <c r="Y44" s="118">
        <v>8107.9120000000003</v>
      </c>
      <c r="Z44" s="118"/>
      <c r="AA44" s="118"/>
      <c r="AB44" s="118"/>
      <c r="AC44" s="118">
        <v>8107.9120000000003</v>
      </c>
      <c r="AD44" s="357">
        <f t="shared" si="2"/>
        <v>0.23433271676300579</v>
      </c>
      <c r="AE44" s="357"/>
      <c r="AF44" s="357"/>
      <c r="AG44" s="357"/>
      <c r="AH44" s="357">
        <f t="shared" si="4"/>
        <v>0.23433271676300579</v>
      </c>
    </row>
    <row r="45" spans="1:34" ht="31.5">
      <c r="A45" s="356" t="s">
        <v>29</v>
      </c>
      <c r="B45" s="346" t="s">
        <v>309</v>
      </c>
      <c r="C45" s="356" t="s">
        <v>310</v>
      </c>
      <c r="D45" s="356"/>
      <c r="E45" s="378" t="s">
        <v>302</v>
      </c>
      <c r="F45" s="378" t="s">
        <v>311</v>
      </c>
      <c r="G45" s="118">
        <v>10965</v>
      </c>
      <c r="H45" s="118"/>
      <c r="I45" s="118"/>
      <c r="J45" s="118"/>
      <c r="K45" s="118">
        <v>10965</v>
      </c>
      <c r="L45" s="118">
        <v>1452</v>
      </c>
      <c r="M45" s="118"/>
      <c r="N45" s="118"/>
      <c r="O45" s="118">
        <v>1452</v>
      </c>
      <c r="P45" s="118">
        <v>5000</v>
      </c>
      <c r="Q45" s="118"/>
      <c r="R45" s="118"/>
      <c r="S45" s="118">
        <v>5000</v>
      </c>
      <c r="T45" s="118">
        <v>5000</v>
      </c>
      <c r="U45" s="118"/>
      <c r="V45" s="118"/>
      <c r="W45" s="118"/>
      <c r="X45" s="118">
        <v>5000</v>
      </c>
      <c r="Y45" s="118">
        <v>1286.663</v>
      </c>
      <c r="Z45" s="118"/>
      <c r="AA45" s="118"/>
      <c r="AB45" s="118"/>
      <c r="AC45" s="118">
        <v>1286.663</v>
      </c>
      <c r="AD45" s="357">
        <f t="shared" si="2"/>
        <v>0.25733260000000002</v>
      </c>
      <c r="AE45" s="357"/>
      <c r="AF45" s="357"/>
      <c r="AG45" s="357"/>
      <c r="AH45" s="357">
        <f t="shared" si="4"/>
        <v>0.25733260000000002</v>
      </c>
    </row>
    <row r="46" spans="1:34" ht="31.5">
      <c r="A46" s="356" t="s">
        <v>29</v>
      </c>
      <c r="B46" s="346" t="s">
        <v>312</v>
      </c>
      <c r="C46" s="356" t="s">
        <v>277</v>
      </c>
      <c r="D46" s="356"/>
      <c r="E46" s="378" t="s">
        <v>226</v>
      </c>
      <c r="F46" s="378" t="s">
        <v>313</v>
      </c>
      <c r="G46" s="118">
        <v>49300</v>
      </c>
      <c r="H46" s="118"/>
      <c r="I46" s="118"/>
      <c r="J46" s="118"/>
      <c r="K46" s="118">
        <v>49300</v>
      </c>
      <c r="L46" s="118">
        <v>2000</v>
      </c>
      <c r="M46" s="118"/>
      <c r="N46" s="118"/>
      <c r="O46" s="118">
        <v>2000</v>
      </c>
      <c r="P46" s="118">
        <v>20500</v>
      </c>
      <c r="Q46" s="118"/>
      <c r="R46" s="118"/>
      <c r="S46" s="118">
        <v>20500</v>
      </c>
      <c r="T46" s="118">
        <v>20500</v>
      </c>
      <c r="U46" s="118"/>
      <c r="V46" s="118"/>
      <c r="W46" s="118"/>
      <c r="X46" s="118">
        <v>20500</v>
      </c>
      <c r="Y46" s="118">
        <v>1786.623</v>
      </c>
      <c r="Z46" s="118"/>
      <c r="AA46" s="118"/>
      <c r="AB46" s="118"/>
      <c r="AC46" s="118">
        <v>1786.623</v>
      </c>
      <c r="AD46" s="357">
        <f t="shared" si="2"/>
        <v>8.7152341463414634E-2</v>
      </c>
      <c r="AE46" s="357"/>
      <c r="AF46" s="357"/>
      <c r="AG46" s="357"/>
      <c r="AH46" s="357">
        <f t="shared" si="4"/>
        <v>8.7152341463414634E-2</v>
      </c>
    </row>
    <row r="47" spans="1:34" ht="63">
      <c r="A47" s="356" t="s">
        <v>29</v>
      </c>
      <c r="B47" s="346" t="s">
        <v>314</v>
      </c>
      <c r="C47" s="356" t="s">
        <v>315</v>
      </c>
      <c r="D47" s="356"/>
      <c r="E47" s="378" t="s">
        <v>302</v>
      </c>
      <c r="F47" s="378" t="s">
        <v>316</v>
      </c>
      <c r="G47" s="118">
        <v>3493</v>
      </c>
      <c r="H47" s="118"/>
      <c r="I47" s="118"/>
      <c r="J47" s="118"/>
      <c r="K47" s="118">
        <v>3493</v>
      </c>
      <c r="L47" s="118">
        <v>559</v>
      </c>
      <c r="M47" s="118"/>
      <c r="N47" s="118"/>
      <c r="O47" s="118">
        <v>559</v>
      </c>
      <c r="P47" s="118">
        <v>2000</v>
      </c>
      <c r="Q47" s="118"/>
      <c r="R47" s="118"/>
      <c r="S47" s="118">
        <v>2000</v>
      </c>
      <c r="T47" s="118">
        <v>2000</v>
      </c>
      <c r="U47" s="118"/>
      <c r="V47" s="118"/>
      <c r="W47" s="118"/>
      <c r="X47" s="118">
        <v>2000</v>
      </c>
      <c r="Y47" s="118">
        <v>515.18299999999999</v>
      </c>
      <c r="Z47" s="118"/>
      <c r="AA47" s="118"/>
      <c r="AB47" s="118"/>
      <c r="AC47" s="118">
        <v>515.18299999999999</v>
      </c>
      <c r="AD47" s="357">
        <f t="shared" si="2"/>
        <v>0.25759149999999997</v>
      </c>
      <c r="AE47" s="357"/>
      <c r="AF47" s="357"/>
      <c r="AG47" s="357"/>
      <c r="AH47" s="357">
        <f t="shared" si="4"/>
        <v>0.25759149999999997</v>
      </c>
    </row>
    <row r="48" spans="1:34" ht="63">
      <c r="A48" s="356" t="s">
        <v>29</v>
      </c>
      <c r="B48" s="346" t="s">
        <v>317</v>
      </c>
      <c r="C48" s="356" t="s">
        <v>318</v>
      </c>
      <c r="D48" s="356"/>
      <c r="E48" s="378" t="s">
        <v>302</v>
      </c>
      <c r="F48" s="378" t="s">
        <v>319</v>
      </c>
      <c r="G48" s="118">
        <v>2952</v>
      </c>
      <c r="H48" s="118"/>
      <c r="I48" s="118"/>
      <c r="J48" s="118"/>
      <c r="K48" s="118">
        <v>2952</v>
      </c>
      <c r="L48" s="118">
        <v>118</v>
      </c>
      <c r="M48" s="118"/>
      <c r="N48" s="118"/>
      <c r="O48" s="118">
        <v>118</v>
      </c>
      <c r="P48" s="118">
        <v>1000</v>
      </c>
      <c r="Q48" s="118"/>
      <c r="R48" s="118"/>
      <c r="S48" s="118">
        <v>1000</v>
      </c>
      <c r="T48" s="118">
        <v>1000</v>
      </c>
      <c r="U48" s="118"/>
      <c r="V48" s="118"/>
      <c r="W48" s="118"/>
      <c r="X48" s="118">
        <v>1000</v>
      </c>
      <c r="Y48" s="118">
        <v>100</v>
      </c>
      <c r="Z48" s="118"/>
      <c r="AA48" s="118"/>
      <c r="AB48" s="118"/>
      <c r="AC48" s="118">
        <v>100</v>
      </c>
      <c r="AD48" s="357">
        <f t="shared" si="2"/>
        <v>0.1</v>
      </c>
      <c r="AE48" s="357"/>
      <c r="AF48" s="357"/>
      <c r="AG48" s="357"/>
      <c r="AH48" s="357">
        <f t="shared" si="4"/>
        <v>0.1</v>
      </c>
    </row>
    <row r="49" spans="1:34" ht="63">
      <c r="A49" s="356" t="s">
        <v>29</v>
      </c>
      <c r="B49" s="346" t="s">
        <v>320</v>
      </c>
      <c r="C49" s="356" t="s">
        <v>321</v>
      </c>
      <c r="D49" s="356"/>
      <c r="E49" s="378" t="s">
        <v>302</v>
      </c>
      <c r="F49" s="378" t="s">
        <v>322</v>
      </c>
      <c r="G49" s="118">
        <v>4967</v>
      </c>
      <c r="H49" s="118"/>
      <c r="I49" s="118"/>
      <c r="J49" s="118"/>
      <c r="K49" s="118">
        <v>4967</v>
      </c>
      <c r="L49" s="118">
        <v>926</v>
      </c>
      <c r="M49" s="118"/>
      <c r="N49" s="118"/>
      <c r="O49" s="118">
        <v>926</v>
      </c>
      <c r="P49" s="118">
        <v>3000</v>
      </c>
      <c r="Q49" s="118"/>
      <c r="R49" s="118"/>
      <c r="S49" s="118">
        <v>3000</v>
      </c>
      <c r="T49" s="118">
        <v>3000</v>
      </c>
      <c r="U49" s="118"/>
      <c r="V49" s="118"/>
      <c r="W49" s="118"/>
      <c r="X49" s="118">
        <v>3000</v>
      </c>
      <c r="Y49" s="118">
        <v>856.52800000000002</v>
      </c>
      <c r="Z49" s="118"/>
      <c r="AA49" s="118"/>
      <c r="AB49" s="118"/>
      <c r="AC49" s="118">
        <v>856.52800000000002</v>
      </c>
      <c r="AD49" s="357">
        <f t="shared" si="2"/>
        <v>0.28550933333333334</v>
      </c>
      <c r="AE49" s="357"/>
      <c r="AF49" s="357"/>
      <c r="AG49" s="357"/>
      <c r="AH49" s="357">
        <f t="shared" si="4"/>
        <v>0.28550933333333334</v>
      </c>
    </row>
    <row r="50" spans="1:34" ht="94.5">
      <c r="A50" s="356" t="s">
        <v>29</v>
      </c>
      <c r="B50" s="346" t="s">
        <v>323</v>
      </c>
      <c r="C50" s="356" t="s">
        <v>296</v>
      </c>
      <c r="D50" s="356"/>
      <c r="E50" s="378" t="s">
        <v>302</v>
      </c>
      <c r="F50" s="378" t="s">
        <v>324</v>
      </c>
      <c r="G50" s="118">
        <v>2959</v>
      </c>
      <c r="H50" s="118"/>
      <c r="I50" s="118"/>
      <c r="J50" s="118"/>
      <c r="K50" s="118">
        <v>2959</v>
      </c>
      <c r="L50" s="118">
        <v>1081</v>
      </c>
      <c r="M50" s="118"/>
      <c r="N50" s="118"/>
      <c r="O50" s="118">
        <v>1081</v>
      </c>
      <c r="P50" s="118">
        <v>2000</v>
      </c>
      <c r="Q50" s="118"/>
      <c r="R50" s="118"/>
      <c r="S50" s="118">
        <v>2000</v>
      </c>
      <c r="T50" s="118">
        <v>2000</v>
      </c>
      <c r="U50" s="118"/>
      <c r="V50" s="118"/>
      <c r="W50" s="118"/>
      <c r="X50" s="118">
        <v>2000</v>
      </c>
      <c r="Y50" s="118">
        <v>1001.859</v>
      </c>
      <c r="Z50" s="118"/>
      <c r="AA50" s="118"/>
      <c r="AB50" s="118"/>
      <c r="AC50" s="118">
        <v>1001.859</v>
      </c>
      <c r="AD50" s="357">
        <f t="shared" si="2"/>
        <v>0.50092950000000003</v>
      </c>
      <c r="AE50" s="357"/>
      <c r="AF50" s="357"/>
      <c r="AG50" s="357"/>
      <c r="AH50" s="357">
        <f t="shared" si="4"/>
        <v>0.50092950000000003</v>
      </c>
    </row>
    <row r="51" spans="1:34" ht="31.5">
      <c r="A51" s="343">
        <v>4</v>
      </c>
      <c r="B51" s="344" t="s">
        <v>142</v>
      </c>
      <c r="C51" s="356"/>
      <c r="D51" s="356"/>
      <c r="E51" s="378"/>
      <c r="F51" s="378"/>
      <c r="G51" s="118"/>
      <c r="H51" s="118"/>
      <c r="I51" s="118"/>
      <c r="J51" s="118"/>
      <c r="K51" s="118"/>
      <c r="L51" s="118"/>
      <c r="M51" s="118"/>
      <c r="N51" s="118"/>
      <c r="O51" s="118"/>
      <c r="P51" s="118"/>
      <c r="Q51" s="118"/>
      <c r="R51" s="118"/>
      <c r="S51" s="118"/>
      <c r="T51" s="118"/>
      <c r="U51" s="118"/>
      <c r="V51" s="118"/>
      <c r="W51" s="118"/>
      <c r="X51" s="118"/>
      <c r="Y51" s="118"/>
      <c r="Z51" s="118"/>
      <c r="AA51" s="118"/>
      <c r="AB51" s="118"/>
      <c r="AC51" s="118"/>
      <c r="AD51" s="357"/>
      <c r="AE51" s="357"/>
      <c r="AF51" s="357"/>
      <c r="AG51" s="357"/>
      <c r="AH51" s="357"/>
    </row>
    <row r="52" spans="1:34" ht="47.25">
      <c r="A52" s="356" t="s">
        <v>29</v>
      </c>
      <c r="B52" s="346" t="s">
        <v>325</v>
      </c>
      <c r="C52" s="356"/>
      <c r="D52" s="356"/>
      <c r="E52" s="382" t="s">
        <v>293</v>
      </c>
      <c r="F52" s="378" t="s">
        <v>326</v>
      </c>
      <c r="G52" s="118">
        <v>151.255</v>
      </c>
      <c r="H52" s="118"/>
      <c r="I52" s="118"/>
      <c r="J52" s="118"/>
      <c r="K52" s="118">
        <f>G52</f>
        <v>151.255</v>
      </c>
      <c r="L52" s="118">
        <v>143.99799999999999</v>
      </c>
      <c r="M52" s="118"/>
      <c r="N52" s="118"/>
      <c r="O52" s="118">
        <v>143.99799999999999</v>
      </c>
      <c r="P52" s="118">
        <v>112.86499999999999</v>
      </c>
      <c r="Q52" s="118"/>
      <c r="R52" s="118"/>
      <c r="S52" s="118"/>
      <c r="T52" s="118">
        <v>7.1348550000000017</v>
      </c>
      <c r="U52" s="118"/>
      <c r="V52" s="118"/>
      <c r="W52" s="118"/>
      <c r="X52" s="118">
        <v>7.1348550000000017</v>
      </c>
      <c r="Y52" s="118">
        <v>0</v>
      </c>
      <c r="Z52" s="118"/>
      <c r="AA52" s="118"/>
      <c r="AB52" s="118"/>
      <c r="AC52" s="118"/>
      <c r="AD52" s="357">
        <f t="shared" si="2"/>
        <v>0</v>
      </c>
      <c r="AE52" s="357"/>
      <c r="AF52" s="357"/>
      <c r="AG52" s="357"/>
      <c r="AH52" s="357">
        <f>AC52/X52</f>
        <v>0</v>
      </c>
    </row>
    <row r="53" spans="1:34" s="355" customFormat="1" ht="31.5">
      <c r="A53" s="343">
        <v>5</v>
      </c>
      <c r="B53" s="344" t="s">
        <v>143</v>
      </c>
      <c r="C53" s="343"/>
      <c r="D53" s="343"/>
      <c r="E53" s="366"/>
      <c r="F53" s="366"/>
      <c r="G53" s="354"/>
      <c r="H53" s="354"/>
      <c r="I53" s="354"/>
      <c r="J53" s="354"/>
      <c r="K53" s="354"/>
      <c r="L53" s="354"/>
      <c r="M53" s="354"/>
      <c r="N53" s="354"/>
      <c r="O53" s="354"/>
      <c r="P53" s="354"/>
      <c r="Q53" s="354"/>
      <c r="R53" s="354"/>
      <c r="S53" s="354"/>
      <c r="T53" s="354"/>
      <c r="U53" s="354"/>
      <c r="V53" s="354"/>
      <c r="W53" s="354"/>
      <c r="X53" s="354"/>
      <c r="Y53" s="354"/>
      <c r="Z53" s="354"/>
      <c r="AA53" s="354"/>
      <c r="AB53" s="354"/>
      <c r="AC53" s="354"/>
      <c r="AD53" s="357"/>
      <c r="AE53" s="357"/>
      <c r="AF53" s="357"/>
      <c r="AG53" s="357"/>
      <c r="AH53" s="357"/>
    </row>
    <row r="54" spans="1:34" ht="47.25">
      <c r="A54" s="356" t="s">
        <v>29</v>
      </c>
      <c r="B54" s="346" t="s">
        <v>327</v>
      </c>
      <c r="C54" s="356"/>
      <c r="D54" s="356"/>
      <c r="E54" s="382" t="s">
        <v>328</v>
      </c>
      <c r="F54" s="378" t="s">
        <v>329</v>
      </c>
      <c r="G54" s="118">
        <v>576.99699999999996</v>
      </c>
      <c r="H54" s="118"/>
      <c r="I54" s="118"/>
      <c r="J54" s="118"/>
      <c r="K54" s="118">
        <v>576.99699999999996</v>
      </c>
      <c r="L54" s="118"/>
      <c r="M54" s="118"/>
      <c r="N54" s="118"/>
      <c r="O54" s="118"/>
      <c r="P54" s="118"/>
      <c r="Q54" s="118"/>
      <c r="R54" s="118"/>
      <c r="S54" s="118"/>
      <c r="T54" s="118">
        <v>160.20255500000002</v>
      </c>
      <c r="U54" s="118"/>
      <c r="V54" s="118"/>
      <c r="W54" s="118"/>
      <c r="X54" s="118">
        <v>160.20255500000002</v>
      </c>
      <c r="Y54" s="118">
        <v>160.20255500000002</v>
      </c>
      <c r="Z54" s="118"/>
      <c r="AA54" s="118"/>
      <c r="AB54" s="118"/>
      <c r="AC54" s="118">
        <v>160.20255500000002</v>
      </c>
      <c r="AD54" s="357">
        <f t="shared" si="2"/>
        <v>1</v>
      </c>
      <c r="AE54" s="357"/>
      <c r="AF54" s="357"/>
      <c r="AG54" s="357"/>
      <c r="AH54" s="357">
        <f>AC54/X54</f>
        <v>1</v>
      </c>
    </row>
    <row r="55" spans="1:34" s="355" customFormat="1" ht="31.5">
      <c r="A55" s="343">
        <v>6</v>
      </c>
      <c r="B55" s="344" t="s">
        <v>144</v>
      </c>
      <c r="C55" s="343"/>
      <c r="D55" s="343"/>
      <c r="E55" s="366"/>
      <c r="F55" s="366"/>
      <c r="G55" s="354"/>
      <c r="H55" s="354"/>
      <c r="I55" s="354"/>
      <c r="J55" s="354"/>
      <c r="K55" s="354"/>
      <c r="L55" s="354"/>
      <c r="M55" s="354"/>
      <c r="N55" s="354"/>
      <c r="O55" s="354"/>
      <c r="P55" s="354"/>
      <c r="Q55" s="354"/>
      <c r="R55" s="354"/>
      <c r="S55" s="354"/>
      <c r="T55" s="354"/>
      <c r="U55" s="354"/>
      <c r="V55" s="354"/>
      <c r="W55" s="354"/>
      <c r="X55" s="354"/>
      <c r="Y55" s="354"/>
      <c r="Z55" s="354"/>
      <c r="AA55" s="354"/>
      <c r="AB55" s="354"/>
      <c r="AC55" s="354"/>
      <c r="AD55" s="357"/>
      <c r="AE55" s="357"/>
      <c r="AF55" s="357"/>
      <c r="AG55" s="357"/>
      <c r="AH55" s="357"/>
    </row>
    <row r="56" spans="1:34">
      <c r="A56" s="356" t="s">
        <v>29</v>
      </c>
      <c r="B56" s="346" t="s">
        <v>330</v>
      </c>
      <c r="C56" s="356"/>
      <c r="D56" s="356"/>
      <c r="E56" s="378"/>
      <c r="F56" s="378"/>
      <c r="G56" s="118"/>
      <c r="H56" s="118"/>
      <c r="I56" s="118"/>
      <c r="J56" s="118"/>
      <c r="K56" s="118"/>
      <c r="L56" s="118"/>
      <c r="M56" s="118"/>
      <c r="N56" s="118"/>
      <c r="O56" s="118"/>
      <c r="P56" s="118"/>
      <c r="Q56" s="118"/>
      <c r="R56" s="118"/>
      <c r="S56" s="118"/>
      <c r="T56" s="118">
        <v>383.88399999999996</v>
      </c>
      <c r="U56" s="118"/>
      <c r="V56" s="118">
        <v>383.88399999999996</v>
      </c>
      <c r="W56" s="118"/>
      <c r="X56" s="118"/>
      <c r="Y56" s="118">
        <v>325.18</v>
      </c>
      <c r="Z56" s="118"/>
      <c r="AA56" s="118">
        <v>325.18</v>
      </c>
      <c r="AB56" s="118"/>
      <c r="AC56" s="118"/>
      <c r="AD56" s="357">
        <f t="shared" si="2"/>
        <v>0.847078805055694</v>
      </c>
      <c r="AE56" s="357"/>
      <c r="AF56" s="357">
        <f t="shared" si="3"/>
        <v>0.847078805055694</v>
      </c>
      <c r="AG56" s="357"/>
      <c r="AH56" s="357"/>
    </row>
    <row r="57" spans="1:34" ht="45">
      <c r="A57" s="356" t="s">
        <v>29</v>
      </c>
      <c r="B57" s="346" t="s">
        <v>331</v>
      </c>
      <c r="C57" s="356"/>
      <c r="D57" s="356"/>
      <c r="E57" s="378"/>
      <c r="F57" s="378" t="s">
        <v>332</v>
      </c>
      <c r="G57" s="118">
        <v>1802.8230000000001</v>
      </c>
      <c r="H57" s="118"/>
      <c r="I57" s="118"/>
      <c r="J57" s="118"/>
      <c r="K57" s="118">
        <v>1802.8230000000001</v>
      </c>
      <c r="L57" s="118"/>
      <c r="M57" s="118"/>
      <c r="N57" s="118"/>
      <c r="O57" s="118"/>
      <c r="P57" s="118"/>
      <c r="Q57" s="118"/>
      <c r="R57" s="118"/>
      <c r="S57" s="118"/>
      <c r="T57" s="118">
        <v>700.09400000000005</v>
      </c>
      <c r="U57" s="118"/>
      <c r="V57" s="118"/>
      <c r="W57" s="118"/>
      <c r="X57" s="118">
        <v>700.09400000000005</v>
      </c>
      <c r="Y57" s="118">
        <v>564.26649999999995</v>
      </c>
      <c r="Z57" s="118"/>
      <c r="AA57" s="118"/>
      <c r="AB57" s="118"/>
      <c r="AC57" s="118">
        <v>564.26649999999995</v>
      </c>
      <c r="AD57" s="357">
        <f t="shared" si="2"/>
        <v>0.80598676749122244</v>
      </c>
      <c r="AE57" s="357"/>
      <c r="AF57" s="357"/>
      <c r="AG57" s="357"/>
      <c r="AH57" s="357">
        <f>AC57/X57</f>
        <v>0.80598676749122244</v>
      </c>
    </row>
    <row r="58" spans="1:34" s="355" customFormat="1" ht="31.5">
      <c r="A58" s="343">
        <v>7</v>
      </c>
      <c r="B58" s="344" t="s">
        <v>145</v>
      </c>
      <c r="C58" s="343"/>
      <c r="D58" s="343"/>
      <c r="E58" s="366"/>
      <c r="F58" s="366"/>
      <c r="G58" s="354"/>
      <c r="H58" s="354"/>
      <c r="I58" s="354"/>
      <c r="J58" s="354"/>
      <c r="K58" s="354"/>
      <c r="L58" s="354"/>
      <c r="M58" s="354"/>
      <c r="N58" s="354"/>
      <c r="O58" s="354"/>
      <c r="P58" s="354"/>
      <c r="Q58" s="354"/>
      <c r="R58" s="354"/>
      <c r="S58" s="354"/>
      <c r="T58" s="354"/>
      <c r="U58" s="354"/>
      <c r="V58" s="354"/>
      <c r="W58" s="354"/>
      <c r="X58" s="354"/>
      <c r="Y58" s="354"/>
      <c r="Z58" s="354"/>
      <c r="AA58" s="354"/>
      <c r="AB58" s="354"/>
      <c r="AC58" s="354"/>
      <c r="AD58" s="357"/>
      <c r="AE58" s="357"/>
      <c r="AF58" s="357"/>
      <c r="AG58" s="357"/>
      <c r="AH58" s="357"/>
    </row>
    <row r="59" spans="1:34" ht="47.25">
      <c r="A59" s="356" t="s">
        <v>29</v>
      </c>
      <c r="B59" s="346" t="s">
        <v>333</v>
      </c>
      <c r="C59" s="356"/>
      <c r="D59" s="356"/>
      <c r="E59" s="378"/>
      <c r="F59" s="378" t="s">
        <v>334</v>
      </c>
      <c r="G59" s="118">
        <v>854.59299999999996</v>
      </c>
      <c r="H59" s="118"/>
      <c r="I59" s="118"/>
      <c r="J59" s="118"/>
      <c r="K59" s="118">
        <v>854.59299999999996</v>
      </c>
      <c r="L59" s="118"/>
      <c r="M59" s="118"/>
      <c r="N59" s="118"/>
      <c r="O59" s="118"/>
      <c r="P59" s="118"/>
      <c r="Q59" s="118"/>
      <c r="R59" s="118"/>
      <c r="S59" s="118"/>
      <c r="T59" s="118">
        <v>547.57399999999996</v>
      </c>
      <c r="U59" s="118"/>
      <c r="V59" s="118"/>
      <c r="W59" s="118"/>
      <c r="X59" s="118">
        <v>547.57399999999996</v>
      </c>
      <c r="Y59" s="118">
        <v>482.58839999999998</v>
      </c>
      <c r="Z59" s="118"/>
      <c r="AA59" s="118"/>
      <c r="AB59" s="118"/>
      <c r="AC59" s="118">
        <v>482.58839999999998</v>
      </c>
      <c r="AD59" s="357">
        <f t="shared" si="2"/>
        <v>0.8813208808307188</v>
      </c>
      <c r="AE59" s="357"/>
      <c r="AF59" s="357"/>
      <c r="AG59" s="357"/>
      <c r="AH59" s="357">
        <f>AC59/X59</f>
        <v>0.8813208808307188</v>
      </c>
    </row>
    <row r="60" spans="1:34" s="355" customFormat="1" ht="31.5">
      <c r="A60" s="343">
        <v>8</v>
      </c>
      <c r="B60" s="344" t="s">
        <v>146</v>
      </c>
      <c r="C60" s="343"/>
      <c r="D60" s="343"/>
      <c r="E60" s="366"/>
      <c r="F60" s="366"/>
      <c r="G60" s="354"/>
      <c r="H60" s="354"/>
      <c r="I60" s="354"/>
      <c r="J60" s="354"/>
      <c r="K60" s="354"/>
      <c r="L60" s="354"/>
      <c r="M60" s="354"/>
      <c r="N60" s="354"/>
      <c r="O60" s="354"/>
      <c r="P60" s="354"/>
      <c r="Q60" s="354"/>
      <c r="R60" s="354"/>
      <c r="S60" s="354"/>
      <c r="T60" s="354"/>
      <c r="U60" s="354"/>
      <c r="V60" s="354"/>
      <c r="W60" s="354"/>
      <c r="X60" s="354"/>
      <c r="Y60" s="354"/>
      <c r="Z60" s="354"/>
      <c r="AA60" s="354"/>
      <c r="AB60" s="354"/>
      <c r="AC60" s="354"/>
      <c r="AD60" s="357"/>
      <c r="AE60" s="357"/>
      <c r="AF60" s="357"/>
      <c r="AG60" s="357"/>
      <c r="AH60" s="357"/>
    </row>
    <row r="61" spans="1:34">
      <c r="A61" s="356" t="s">
        <v>29</v>
      </c>
      <c r="B61" s="346" t="s">
        <v>335</v>
      </c>
      <c r="C61" s="356"/>
      <c r="D61" s="356"/>
      <c r="E61" s="378"/>
      <c r="F61" s="378"/>
      <c r="G61" s="118"/>
      <c r="H61" s="118"/>
      <c r="I61" s="118"/>
      <c r="J61" s="118"/>
      <c r="K61" s="118"/>
      <c r="L61" s="118"/>
      <c r="M61" s="118"/>
      <c r="N61" s="118"/>
      <c r="O61" s="118"/>
      <c r="P61" s="118"/>
      <c r="Q61" s="118"/>
      <c r="R61" s="118"/>
      <c r="S61" s="118"/>
      <c r="T61" s="118">
        <v>341.66</v>
      </c>
      <c r="U61" s="118"/>
      <c r="V61" s="118">
        <v>341.66</v>
      </c>
      <c r="W61" s="118"/>
      <c r="X61" s="118"/>
      <c r="Y61" s="118">
        <v>70.555228</v>
      </c>
      <c r="Z61" s="118"/>
      <c r="AA61" s="118">
        <v>70.555228</v>
      </c>
      <c r="AB61" s="118"/>
      <c r="AC61" s="118"/>
      <c r="AD61" s="357">
        <f t="shared" si="2"/>
        <v>0.20650713574899021</v>
      </c>
      <c r="AE61" s="357"/>
      <c r="AF61" s="357">
        <f t="shared" si="3"/>
        <v>0.20650713574899021</v>
      </c>
      <c r="AG61" s="357"/>
      <c r="AH61" s="357"/>
    </row>
    <row r="62" spans="1:34" ht="31.5">
      <c r="A62" s="356" t="s">
        <v>29</v>
      </c>
      <c r="B62" s="346" t="s">
        <v>336</v>
      </c>
      <c r="C62" s="356"/>
      <c r="D62" s="356"/>
      <c r="E62" s="378"/>
      <c r="F62" s="378" t="s">
        <v>337</v>
      </c>
      <c r="G62" s="118">
        <v>1276.374</v>
      </c>
      <c r="H62" s="118"/>
      <c r="I62" s="118"/>
      <c r="J62" s="118"/>
      <c r="K62" s="118">
        <v>1276.374</v>
      </c>
      <c r="L62" s="118"/>
      <c r="M62" s="118"/>
      <c r="N62" s="118"/>
      <c r="O62" s="118"/>
      <c r="P62" s="118"/>
      <c r="Q62" s="118"/>
      <c r="R62" s="118"/>
      <c r="S62" s="118"/>
      <c r="T62" s="118">
        <v>1000</v>
      </c>
      <c r="U62" s="118"/>
      <c r="V62" s="118"/>
      <c r="W62" s="118"/>
      <c r="X62" s="118">
        <v>1000</v>
      </c>
      <c r="Y62" s="118">
        <v>0</v>
      </c>
      <c r="Z62" s="118"/>
      <c r="AA62" s="118"/>
      <c r="AB62" s="118"/>
      <c r="AC62" s="118"/>
      <c r="AD62" s="357">
        <f t="shared" si="2"/>
        <v>0</v>
      </c>
      <c r="AE62" s="357"/>
      <c r="AF62" s="357"/>
      <c r="AG62" s="357"/>
      <c r="AH62" s="357">
        <f>AC62/X62</f>
        <v>0</v>
      </c>
    </row>
    <row r="63" spans="1:34" s="355" customFormat="1" ht="31.5">
      <c r="A63" s="343">
        <v>9</v>
      </c>
      <c r="B63" s="344" t="s">
        <v>147</v>
      </c>
      <c r="C63" s="343"/>
      <c r="D63" s="343"/>
      <c r="E63" s="366"/>
      <c r="F63" s="366"/>
      <c r="G63" s="354"/>
      <c r="H63" s="354"/>
      <c r="I63" s="354"/>
      <c r="J63" s="354"/>
      <c r="K63" s="354"/>
      <c r="L63" s="354"/>
      <c r="M63" s="354"/>
      <c r="N63" s="354"/>
      <c r="O63" s="354"/>
      <c r="P63" s="354"/>
      <c r="Q63" s="354"/>
      <c r="R63" s="354"/>
      <c r="S63" s="354"/>
      <c r="T63" s="354"/>
      <c r="U63" s="354"/>
      <c r="V63" s="354"/>
      <c r="W63" s="354"/>
      <c r="X63" s="354"/>
      <c r="Y63" s="354"/>
      <c r="Z63" s="354"/>
      <c r="AA63" s="354"/>
      <c r="AB63" s="354"/>
      <c r="AC63" s="354"/>
      <c r="AD63" s="357"/>
      <c r="AE63" s="357"/>
      <c r="AF63" s="357"/>
      <c r="AG63" s="357"/>
      <c r="AH63" s="357"/>
    </row>
    <row r="64" spans="1:34" ht="47.25">
      <c r="A64" s="356" t="s">
        <v>29</v>
      </c>
      <c r="B64" s="346" t="s">
        <v>338</v>
      </c>
      <c r="C64" s="356"/>
      <c r="D64" s="356"/>
      <c r="E64" s="378"/>
      <c r="F64" s="378" t="s">
        <v>339</v>
      </c>
      <c r="G64" s="118">
        <v>1120.635</v>
      </c>
      <c r="H64" s="118"/>
      <c r="I64" s="118"/>
      <c r="J64" s="118"/>
      <c r="K64" s="118">
        <v>1120.635</v>
      </c>
      <c r="L64" s="118"/>
      <c r="M64" s="118"/>
      <c r="N64" s="118"/>
      <c r="O64" s="118"/>
      <c r="P64" s="118"/>
      <c r="Q64" s="118"/>
      <c r="R64" s="118"/>
      <c r="S64" s="118"/>
      <c r="T64" s="118">
        <v>335.21140000000003</v>
      </c>
      <c r="U64" s="118"/>
      <c r="V64" s="118"/>
      <c r="W64" s="118"/>
      <c r="X64" s="118">
        <v>335.21140000000003</v>
      </c>
      <c r="Y64" s="118">
        <v>329.21140000000003</v>
      </c>
      <c r="Z64" s="118"/>
      <c r="AA64" s="118"/>
      <c r="AB64" s="118"/>
      <c r="AC64" s="118">
        <v>329.21140000000003</v>
      </c>
      <c r="AD64" s="357">
        <f t="shared" si="2"/>
        <v>0.98210084740554771</v>
      </c>
      <c r="AE64" s="357"/>
      <c r="AF64" s="357"/>
      <c r="AG64" s="357"/>
      <c r="AH64" s="357">
        <f>AC64/X64</f>
        <v>0.98210084740554771</v>
      </c>
    </row>
    <row r="65" spans="1:34" s="355" customFormat="1" ht="31.5">
      <c r="A65" s="343">
        <v>10</v>
      </c>
      <c r="B65" s="344" t="s">
        <v>148</v>
      </c>
      <c r="C65" s="343"/>
      <c r="D65" s="343"/>
      <c r="E65" s="366"/>
      <c r="F65" s="366"/>
      <c r="G65" s="354"/>
      <c r="H65" s="354"/>
      <c r="I65" s="354"/>
      <c r="J65" s="354"/>
      <c r="K65" s="354"/>
      <c r="L65" s="354"/>
      <c r="M65" s="354"/>
      <c r="N65" s="354"/>
      <c r="O65" s="354"/>
      <c r="P65" s="354"/>
      <c r="Q65" s="354"/>
      <c r="R65" s="354"/>
      <c r="S65" s="354"/>
      <c r="T65" s="354"/>
      <c r="U65" s="354"/>
      <c r="V65" s="354"/>
      <c r="W65" s="354"/>
      <c r="X65" s="354"/>
      <c r="Y65" s="354"/>
      <c r="Z65" s="354"/>
      <c r="AA65" s="354"/>
      <c r="AB65" s="354"/>
      <c r="AC65" s="354"/>
      <c r="AD65" s="357"/>
      <c r="AE65" s="357"/>
      <c r="AF65" s="357"/>
      <c r="AG65" s="357"/>
      <c r="AH65" s="357"/>
    </row>
    <row r="66" spans="1:34">
      <c r="A66" s="356" t="s">
        <v>29</v>
      </c>
      <c r="B66" s="346" t="s">
        <v>340</v>
      </c>
      <c r="C66" s="356"/>
      <c r="D66" s="356"/>
      <c r="E66" s="378"/>
      <c r="F66" s="378"/>
      <c r="G66" s="118"/>
      <c r="H66" s="118"/>
      <c r="I66" s="118"/>
      <c r="J66" s="118"/>
      <c r="K66" s="118"/>
      <c r="L66" s="118"/>
      <c r="M66" s="118"/>
      <c r="N66" s="118"/>
      <c r="O66" s="118"/>
      <c r="P66" s="118"/>
      <c r="Q66" s="118"/>
      <c r="R66" s="118"/>
      <c r="S66" s="118"/>
      <c r="T66" s="118">
        <f>417.723+67.3</f>
        <v>485.02300000000002</v>
      </c>
      <c r="U66" s="118"/>
      <c r="V66" s="118">
        <f>417.723+67.3</f>
        <v>485.02300000000002</v>
      </c>
      <c r="W66" s="118"/>
      <c r="X66" s="118"/>
      <c r="Y66" s="118">
        <v>129.45099999999999</v>
      </c>
      <c r="Z66" s="118"/>
      <c r="AA66" s="118">
        <v>129.45099999999999</v>
      </c>
      <c r="AB66" s="118"/>
      <c r="AC66" s="118"/>
      <c r="AD66" s="357">
        <f t="shared" si="2"/>
        <v>0.26689662139733578</v>
      </c>
      <c r="AE66" s="357"/>
      <c r="AF66" s="357">
        <f t="shared" si="3"/>
        <v>0.26689662139733578</v>
      </c>
      <c r="AG66" s="357"/>
      <c r="AH66" s="357"/>
    </row>
    <row r="67" spans="1:34" ht="31.5">
      <c r="A67" s="356" t="s">
        <v>29</v>
      </c>
      <c r="B67" s="346" t="s">
        <v>341</v>
      </c>
      <c r="C67" s="356"/>
      <c r="D67" s="356"/>
      <c r="E67" s="378"/>
      <c r="F67" s="378" t="s">
        <v>342</v>
      </c>
      <c r="G67" s="118">
        <v>414.91800000000001</v>
      </c>
      <c r="H67" s="118"/>
      <c r="I67" s="118"/>
      <c r="J67" s="118"/>
      <c r="K67" s="118">
        <v>414.91800000000001</v>
      </c>
      <c r="L67" s="118"/>
      <c r="M67" s="118"/>
      <c r="N67" s="118"/>
      <c r="O67" s="118"/>
      <c r="P67" s="118"/>
      <c r="Q67" s="118"/>
      <c r="R67" s="118"/>
      <c r="S67" s="118"/>
      <c r="T67" s="118">
        <v>330</v>
      </c>
      <c r="U67" s="118"/>
      <c r="V67" s="118"/>
      <c r="W67" s="118"/>
      <c r="X67" s="118">
        <v>330</v>
      </c>
      <c r="Y67" s="118">
        <v>302.22680000000003</v>
      </c>
      <c r="Z67" s="118"/>
      <c r="AA67" s="118"/>
      <c r="AB67" s="118"/>
      <c r="AC67" s="118">
        <v>302.22680000000003</v>
      </c>
      <c r="AD67" s="357">
        <f t="shared" si="2"/>
        <v>0.91583878787878792</v>
      </c>
      <c r="AE67" s="357"/>
      <c r="AF67" s="357"/>
      <c r="AG67" s="357"/>
      <c r="AH67" s="357">
        <f>AC67/X67</f>
        <v>0.91583878787878792</v>
      </c>
    </row>
    <row r="68" spans="1:34" ht="47.25">
      <c r="A68" s="356" t="s">
        <v>29</v>
      </c>
      <c r="B68" s="346" t="s">
        <v>343</v>
      </c>
      <c r="C68" s="356"/>
      <c r="D68" s="356"/>
      <c r="E68" s="378"/>
      <c r="F68" s="378"/>
      <c r="G68" s="118"/>
      <c r="H68" s="118"/>
      <c r="I68" s="118"/>
      <c r="J68" s="118"/>
      <c r="K68" s="118"/>
      <c r="L68" s="118"/>
      <c r="M68" s="118"/>
      <c r="N68" s="118"/>
      <c r="O68" s="118"/>
      <c r="P68" s="118"/>
      <c r="Q68" s="118"/>
      <c r="R68" s="118"/>
      <c r="S68" s="118"/>
      <c r="T68" s="118">
        <v>186.2183</v>
      </c>
      <c r="U68" s="118"/>
      <c r="V68" s="118"/>
      <c r="W68" s="118"/>
      <c r="X68" s="118">
        <v>186.2183</v>
      </c>
      <c r="Y68" s="118">
        <v>175.88977700000001</v>
      </c>
      <c r="Z68" s="118"/>
      <c r="AA68" s="118"/>
      <c r="AB68" s="118"/>
      <c r="AC68" s="118">
        <v>175.88977700000001</v>
      </c>
      <c r="AD68" s="357">
        <f t="shared" si="2"/>
        <v>0.94453540280412829</v>
      </c>
      <c r="AE68" s="357"/>
      <c r="AF68" s="357"/>
      <c r="AG68" s="357"/>
      <c r="AH68" s="357">
        <f>AC68/X68</f>
        <v>0.94453540280412829</v>
      </c>
    </row>
    <row r="69" spans="1:34" s="355" customFormat="1" ht="31.5">
      <c r="A69" s="343">
        <v>11</v>
      </c>
      <c r="B69" s="344" t="s">
        <v>149</v>
      </c>
      <c r="C69" s="343"/>
      <c r="D69" s="343"/>
      <c r="E69" s="366"/>
      <c r="F69" s="366"/>
      <c r="G69" s="354"/>
      <c r="H69" s="354"/>
      <c r="I69" s="354"/>
      <c r="J69" s="354"/>
      <c r="K69" s="354"/>
      <c r="L69" s="354"/>
      <c r="M69" s="354"/>
      <c r="N69" s="354"/>
      <c r="O69" s="354"/>
      <c r="P69" s="354"/>
      <c r="Q69" s="354"/>
      <c r="R69" s="354"/>
      <c r="S69" s="354"/>
      <c r="T69" s="354"/>
      <c r="U69" s="354"/>
      <c r="V69" s="354"/>
      <c r="W69" s="354"/>
      <c r="X69" s="354"/>
      <c r="Y69" s="354"/>
      <c r="Z69" s="354"/>
      <c r="AA69" s="354"/>
      <c r="AB69" s="354"/>
      <c r="AC69" s="354"/>
      <c r="AD69" s="357"/>
      <c r="AE69" s="357"/>
      <c r="AF69" s="357"/>
      <c r="AG69" s="357"/>
      <c r="AH69" s="357"/>
    </row>
    <row r="70" spans="1:34">
      <c r="A70" s="356" t="s">
        <v>29</v>
      </c>
      <c r="B70" s="346" t="s">
        <v>344</v>
      </c>
      <c r="C70" s="356"/>
      <c r="D70" s="356"/>
      <c r="E70" s="378"/>
      <c r="F70" s="378"/>
      <c r="G70" s="118"/>
      <c r="H70" s="118"/>
      <c r="I70" s="118"/>
      <c r="J70" s="118"/>
      <c r="K70" s="118"/>
      <c r="L70" s="118"/>
      <c r="M70" s="118"/>
      <c r="N70" s="118"/>
      <c r="O70" s="118"/>
      <c r="P70" s="118"/>
      <c r="Q70" s="118"/>
      <c r="R70" s="118"/>
      <c r="S70" s="118"/>
      <c r="T70" s="118">
        <v>0.14900000000000091</v>
      </c>
      <c r="U70" s="118"/>
      <c r="V70" s="118">
        <v>0.14900000000000091</v>
      </c>
      <c r="W70" s="118"/>
      <c r="X70" s="118"/>
      <c r="Y70" s="118">
        <v>0.14899999999999999</v>
      </c>
      <c r="Z70" s="118"/>
      <c r="AA70" s="118">
        <v>0.14899999999999999</v>
      </c>
      <c r="AB70" s="118"/>
      <c r="AC70" s="118"/>
      <c r="AD70" s="357">
        <f t="shared" si="2"/>
        <v>0.99999999999999389</v>
      </c>
      <c r="AE70" s="357"/>
      <c r="AF70" s="357">
        <f t="shared" si="3"/>
        <v>0.99999999999999389</v>
      </c>
      <c r="AG70" s="357"/>
      <c r="AH70" s="357"/>
    </row>
    <row r="71" spans="1:34" ht="31.5">
      <c r="A71" s="356" t="s">
        <v>29</v>
      </c>
      <c r="B71" s="346" t="s">
        <v>345</v>
      </c>
      <c r="C71" s="356"/>
      <c r="D71" s="356"/>
      <c r="E71" s="378"/>
      <c r="F71" s="378" t="s">
        <v>346</v>
      </c>
      <c r="G71" s="118">
        <v>1427.164</v>
      </c>
      <c r="H71" s="118"/>
      <c r="I71" s="118"/>
      <c r="J71" s="118"/>
      <c r="K71" s="118">
        <v>1427.164</v>
      </c>
      <c r="L71" s="118"/>
      <c r="M71" s="118"/>
      <c r="N71" s="118"/>
      <c r="O71" s="118"/>
      <c r="P71" s="118"/>
      <c r="Q71" s="118"/>
      <c r="R71" s="118"/>
      <c r="S71" s="118"/>
      <c r="T71" s="118">
        <v>437.87900000000002</v>
      </c>
      <c r="U71" s="118"/>
      <c r="V71" s="118"/>
      <c r="W71" s="118"/>
      <c r="X71" s="118">
        <v>437.87900000000002</v>
      </c>
      <c r="Y71" s="118">
        <v>427.83199999999999</v>
      </c>
      <c r="Z71" s="118"/>
      <c r="AA71" s="118"/>
      <c r="AB71" s="118"/>
      <c r="AC71" s="118">
        <v>427.83199999999999</v>
      </c>
      <c r="AD71" s="357">
        <f t="shared" si="2"/>
        <v>0.9770553052327241</v>
      </c>
      <c r="AE71" s="357"/>
      <c r="AF71" s="357"/>
      <c r="AG71" s="357"/>
      <c r="AH71" s="357">
        <f>AC71/X71</f>
        <v>0.9770553052327241</v>
      </c>
    </row>
    <row r="72" spans="1:34" s="355" customFormat="1" ht="31.5">
      <c r="A72" s="343">
        <v>12</v>
      </c>
      <c r="B72" s="344" t="s">
        <v>150</v>
      </c>
      <c r="C72" s="343"/>
      <c r="D72" s="343"/>
      <c r="E72" s="366"/>
      <c r="F72" s="366"/>
      <c r="G72" s="354"/>
      <c r="H72" s="354"/>
      <c r="I72" s="354"/>
      <c r="J72" s="354"/>
      <c r="K72" s="354"/>
      <c r="L72" s="354"/>
      <c r="M72" s="354"/>
      <c r="N72" s="354"/>
      <c r="O72" s="354"/>
      <c r="P72" s="354"/>
      <c r="Q72" s="354"/>
      <c r="R72" s="354"/>
      <c r="S72" s="354"/>
      <c r="T72" s="354"/>
      <c r="U72" s="354"/>
      <c r="V72" s="354"/>
      <c r="W72" s="354"/>
      <c r="X72" s="354"/>
      <c r="Y72" s="354"/>
      <c r="Z72" s="354"/>
      <c r="AA72" s="354"/>
      <c r="AB72" s="354"/>
      <c r="AC72" s="354"/>
      <c r="AD72" s="357"/>
      <c r="AE72" s="357"/>
      <c r="AF72" s="357"/>
      <c r="AG72" s="357"/>
      <c r="AH72" s="357"/>
    </row>
    <row r="73" spans="1:34" ht="47.25">
      <c r="A73" s="356" t="s">
        <v>29</v>
      </c>
      <c r="B73" s="346" t="s">
        <v>347</v>
      </c>
      <c r="C73" s="356"/>
      <c r="D73" s="356"/>
      <c r="E73" s="378"/>
      <c r="F73" s="378" t="s">
        <v>348</v>
      </c>
      <c r="G73" s="118">
        <v>2372.7820000000002</v>
      </c>
      <c r="H73" s="118"/>
      <c r="I73" s="118"/>
      <c r="J73" s="118"/>
      <c r="K73" s="118">
        <v>2372.7820000000002</v>
      </c>
      <c r="L73" s="118">
        <v>1900</v>
      </c>
      <c r="M73" s="118"/>
      <c r="N73" s="118"/>
      <c r="O73" s="118">
        <v>1900</v>
      </c>
      <c r="P73" s="118">
        <v>1900</v>
      </c>
      <c r="Q73" s="118"/>
      <c r="R73" s="118"/>
      <c r="S73" s="118"/>
      <c r="T73" s="118">
        <v>1900</v>
      </c>
      <c r="U73" s="118"/>
      <c r="V73" s="118"/>
      <c r="W73" s="118"/>
      <c r="X73" s="118">
        <v>1900</v>
      </c>
      <c r="Y73" s="118">
        <v>1560.7128</v>
      </c>
      <c r="Z73" s="118"/>
      <c r="AA73" s="118"/>
      <c r="AB73" s="118"/>
      <c r="AC73" s="118">
        <v>1560.7128</v>
      </c>
      <c r="AD73" s="357">
        <f t="shared" si="2"/>
        <v>0.82142778947368422</v>
      </c>
      <c r="AE73" s="357"/>
      <c r="AF73" s="357"/>
      <c r="AG73" s="357"/>
      <c r="AH73" s="357">
        <f>AC73/X73</f>
        <v>0.82142778947368422</v>
      </c>
    </row>
    <row r="74" spans="1:34" s="355" customFormat="1" ht="31.5">
      <c r="A74" s="343">
        <v>13</v>
      </c>
      <c r="B74" s="344" t="s">
        <v>151</v>
      </c>
      <c r="C74" s="343"/>
      <c r="D74" s="343"/>
      <c r="E74" s="366"/>
      <c r="F74" s="366"/>
      <c r="G74" s="354"/>
      <c r="H74" s="354"/>
      <c r="I74" s="354"/>
      <c r="J74" s="354"/>
      <c r="K74" s="354"/>
      <c r="L74" s="354"/>
      <c r="M74" s="354"/>
      <c r="N74" s="354"/>
      <c r="O74" s="354"/>
      <c r="P74" s="354"/>
      <c r="Q74" s="354"/>
      <c r="R74" s="354"/>
      <c r="S74" s="354"/>
      <c r="T74" s="354"/>
      <c r="U74" s="354"/>
      <c r="V74" s="354"/>
      <c r="W74" s="354"/>
      <c r="X74" s="354"/>
      <c r="Y74" s="354"/>
      <c r="Z74" s="354"/>
      <c r="AA74" s="354"/>
      <c r="AB74" s="354"/>
      <c r="AC74" s="354"/>
      <c r="AD74" s="357"/>
      <c r="AE74" s="357"/>
      <c r="AF74" s="357"/>
      <c r="AG74" s="357"/>
      <c r="AH74" s="357"/>
    </row>
    <row r="75" spans="1:34">
      <c r="A75" s="356" t="s">
        <v>29</v>
      </c>
      <c r="B75" s="346" t="s">
        <v>349</v>
      </c>
      <c r="C75" s="356"/>
      <c r="D75" s="356"/>
      <c r="E75" s="378"/>
      <c r="F75" s="378"/>
      <c r="G75" s="118"/>
      <c r="H75" s="118"/>
      <c r="I75" s="118"/>
      <c r="J75" s="118"/>
      <c r="K75" s="118"/>
      <c r="L75" s="118"/>
      <c r="M75" s="118"/>
      <c r="N75" s="118"/>
      <c r="O75" s="118"/>
      <c r="P75" s="118"/>
      <c r="Q75" s="118"/>
      <c r="R75" s="118"/>
      <c r="S75" s="118"/>
      <c r="T75" s="118">
        <v>613.6</v>
      </c>
      <c r="U75" s="118"/>
      <c r="V75" s="118">
        <v>613.6</v>
      </c>
      <c r="W75" s="118"/>
      <c r="X75" s="118"/>
      <c r="Y75" s="118">
        <v>301.63850000000002</v>
      </c>
      <c r="Z75" s="118"/>
      <c r="AA75" s="118">
        <v>301.63850000000002</v>
      </c>
      <c r="AB75" s="118"/>
      <c r="AC75" s="118"/>
      <c r="AD75" s="357">
        <f t="shared" si="2"/>
        <v>0.49158816818774448</v>
      </c>
      <c r="AE75" s="357"/>
      <c r="AF75" s="357">
        <f t="shared" si="3"/>
        <v>0.49158816818774448</v>
      </c>
      <c r="AG75" s="357"/>
      <c r="AH75" s="357"/>
    </row>
    <row r="76" spans="1:34" s="355" customFormat="1" ht="31.5">
      <c r="A76" s="343">
        <v>14</v>
      </c>
      <c r="B76" s="344" t="s">
        <v>152</v>
      </c>
      <c r="C76" s="343"/>
      <c r="D76" s="343"/>
      <c r="E76" s="366"/>
      <c r="F76" s="366"/>
      <c r="G76" s="354"/>
      <c r="H76" s="354"/>
      <c r="I76" s="354"/>
      <c r="J76" s="354"/>
      <c r="K76" s="354"/>
      <c r="L76" s="354"/>
      <c r="M76" s="354"/>
      <c r="N76" s="354"/>
      <c r="O76" s="354"/>
      <c r="P76" s="354"/>
      <c r="Q76" s="354"/>
      <c r="R76" s="354"/>
      <c r="S76" s="354"/>
      <c r="T76" s="354"/>
      <c r="U76" s="354"/>
      <c r="V76" s="354"/>
      <c r="W76" s="354"/>
      <c r="X76" s="354"/>
      <c r="Y76" s="354"/>
      <c r="Z76" s="354"/>
      <c r="AA76" s="354"/>
      <c r="AB76" s="354"/>
      <c r="AC76" s="354"/>
      <c r="AD76" s="357"/>
      <c r="AE76" s="357"/>
      <c r="AF76" s="357"/>
      <c r="AG76" s="357"/>
      <c r="AH76" s="357"/>
    </row>
    <row r="77" spans="1:34">
      <c r="A77" s="356" t="s">
        <v>29</v>
      </c>
      <c r="B77" s="346" t="s">
        <v>350</v>
      </c>
      <c r="C77" s="356"/>
      <c r="D77" s="356"/>
      <c r="E77" s="378"/>
      <c r="F77" s="378"/>
      <c r="G77" s="118"/>
      <c r="H77" s="118"/>
      <c r="I77" s="118"/>
      <c r="J77" s="118"/>
      <c r="K77" s="118"/>
      <c r="L77" s="118"/>
      <c r="M77" s="118"/>
      <c r="N77" s="118"/>
      <c r="O77" s="118"/>
      <c r="P77" s="118"/>
      <c r="Q77" s="118"/>
      <c r="R77" s="118"/>
      <c r="S77" s="118"/>
      <c r="T77" s="118">
        <v>304.60000000000002</v>
      </c>
      <c r="U77" s="118"/>
      <c r="V77" s="118">
        <v>304.60000000000002</v>
      </c>
      <c r="W77" s="118"/>
      <c r="X77" s="118"/>
      <c r="Y77" s="118">
        <v>0</v>
      </c>
      <c r="Z77" s="118"/>
      <c r="AA77" s="118"/>
      <c r="AB77" s="118"/>
      <c r="AC77" s="118"/>
      <c r="AD77" s="357">
        <f t="shared" ref="AD77:AE141" si="5">Y77/T77</f>
        <v>0</v>
      </c>
      <c r="AE77" s="357"/>
      <c r="AF77" s="357">
        <f t="shared" ref="AF77:AF138" si="6">AA77/V77</f>
        <v>0</v>
      </c>
      <c r="AG77" s="357"/>
      <c r="AH77" s="357"/>
    </row>
    <row r="78" spans="1:34" s="355" customFormat="1" ht="31.5">
      <c r="A78" s="343">
        <v>15</v>
      </c>
      <c r="B78" s="344" t="s">
        <v>153</v>
      </c>
      <c r="C78" s="343"/>
      <c r="D78" s="343"/>
      <c r="E78" s="366"/>
      <c r="F78" s="366"/>
      <c r="G78" s="354"/>
      <c r="H78" s="354"/>
      <c r="I78" s="354"/>
      <c r="J78" s="354"/>
      <c r="K78" s="354"/>
      <c r="L78" s="354"/>
      <c r="M78" s="354"/>
      <c r="N78" s="354"/>
      <c r="O78" s="354"/>
      <c r="P78" s="354"/>
      <c r="Q78" s="354"/>
      <c r="R78" s="354"/>
      <c r="S78" s="354"/>
      <c r="T78" s="354"/>
      <c r="U78" s="354"/>
      <c r="V78" s="354"/>
      <c r="W78" s="354"/>
      <c r="X78" s="354"/>
      <c r="Y78" s="354"/>
      <c r="Z78" s="354"/>
      <c r="AA78" s="354"/>
      <c r="AB78" s="354"/>
      <c r="AC78" s="354"/>
      <c r="AD78" s="357"/>
      <c r="AE78" s="357"/>
      <c r="AF78" s="357"/>
      <c r="AG78" s="357"/>
      <c r="AH78" s="357"/>
    </row>
    <row r="79" spans="1:34">
      <c r="A79" s="356" t="s">
        <v>29</v>
      </c>
      <c r="B79" s="346" t="s">
        <v>351</v>
      </c>
      <c r="C79" s="356"/>
      <c r="D79" s="356"/>
      <c r="E79" s="378"/>
      <c r="F79" s="378"/>
      <c r="G79" s="118"/>
      <c r="H79" s="118"/>
      <c r="I79" s="118"/>
      <c r="J79" s="118"/>
      <c r="K79" s="118"/>
      <c r="L79" s="118"/>
      <c r="M79" s="118"/>
      <c r="N79" s="118"/>
      <c r="O79" s="118"/>
      <c r="P79" s="118"/>
      <c r="Q79" s="118"/>
      <c r="R79" s="118"/>
      <c r="S79" s="118"/>
      <c r="T79" s="118">
        <v>216.97807000000012</v>
      </c>
      <c r="U79" s="118"/>
      <c r="V79" s="118">
        <v>216.97807000000012</v>
      </c>
      <c r="W79" s="118"/>
      <c r="X79" s="118"/>
      <c r="Y79" s="118">
        <v>0</v>
      </c>
      <c r="Z79" s="118"/>
      <c r="AA79" s="118"/>
      <c r="AB79" s="118"/>
      <c r="AC79" s="118"/>
      <c r="AD79" s="357">
        <f t="shared" si="5"/>
        <v>0</v>
      </c>
      <c r="AE79" s="357"/>
      <c r="AF79" s="357">
        <f t="shared" si="6"/>
        <v>0</v>
      </c>
      <c r="AG79" s="357"/>
      <c r="AH79" s="357"/>
    </row>
    <row r="80" spans="1:34" s="355" customFormat="1" ht="31.5">
      <c r="A80" s="343">
        <v>16</v>
      </c>
      <c r="B80" s="344" t="s">
        <v>154</v>
      </c>
      <c r="C80" s="343"/>
      <c r="D80" s="343"/>
      <c r="E80" s="366"/>
      <c r="F80" s="366"/>
      <c r="G80" s="354"/>
      <c r="H80" s="354"/>
      <c r="I80" s="354"/>
      <c r="J80" s="354"/>
      <c r="K80" s="354"/>
      <c r="L80" s="354"/>
      <c r="M80" s="354"/>
      <c r="N80" s="354"/>
      <c r="O80" s="354"/>
      <c r="P80" s="354"/>
      <c r="Q80" s="354"/>
      <c r="R80" s="354"/>
      <c r="S80" s="354"/>
      <c r="T80" s="354"/>
      <c r="U80" s="354"/>
      <c r="V80" s="354"/>
      <c r="W80" s="354"/>
      <c r="X80" s="354"/>
      <c r="Y80" s="354"/>
      <c r="Z80" s="354"/>
      <c r="AA80" s="354"/>
      <c r="AB80" s="354"/>
      <c r="AC80" s="354"/>
      <c r="AD80" s="357"/>
      <c r="AE80" s="357"/>
      <c r="AF80" s="357"/>
      <c r="AG80" s="357"/>
      <c r="AH80" s="357"/>
    </row>
    <row r="81" spans="1:34">
      <c r="A81" s="356"/>
      <c r="B81" s="346" t="s">
        <v>352</v>
      </c>
      <c r="C81" s="356"/>
      <c r="D81" s="356"/>
      <c r="E81" s="378"/>
      <c r="F81" s="378"/>
      <c r="G81" s="118"/>
      <c r="H81" s="118"/>
      <c r="I81" s="118"/>
      <c r="J81" s="118"/>
      <c r="K81" s="118"/>
      <c r="L81" s="118"/>
      <c r="M81" s="118"/>
      <c r="N81" s="118"/>
      <c r="O81" s="118"/>
      <c r="P81" s="118"/>
      <c r="Q81" s="118"/>
      <c r="R81" s="118"/>
      <c r="S81" s="118"/>
      <c r="T81" s="118">
        <v>2011.8150000000001</v>
      </c>
      <c r="U81" s="118"/>
      <c r="V81" s="118">
        <v>2011.8150000000001</v>
      </c>
      <c r="W81" s="118"/>
      <c r="X81" s="118"/>
      <c r="Y81" s="118">
        <v>307.45999999999998</v>
      </c>
      <c r="Z81" s="118"/>
      <c r="AA81" s="118">
        <v>307.45999999999998</v>
      </c>
      <c r="AB81" s="118"/>
      <c r="AC81" s="118"/>
      <c r="AD81" s="357">
        <f t="shared" si="5"/>
        <v>0.15282717347270997</v>
      </c>
      <c r="AE81" s="357"/>
      <c r="AF81" s="357">
        <f t="shared" si="6"/>
        <v>0.15282717347270997</v>
      </c>
      <c r="AG81" s="357"/>
      <c r="AH81" s="357"/>
    </row>
    <row r="82" spans="1:34" s="355" customFormat="1" ht="31.5">
      <c r="A82" s="343">
        <v>17</v>
      </c>
      <c r="B82" s="344" t="s">
        <v>155</v>
      </c>
      <c r="C82" s="343"/>
      <c r="D82" s="343"/>
      <c r="E82" s="366"/>
      <c r="F82" s="366"/>
      <c r="G82" s="354"/>
      <c r="H82" s="354"/>
      <c r="I82" s="354"/>
      <c r="J82" s="354"/>
      <c r="K82" s="354"/>
      <c r="L82" s="354"/>
      <c r="M82" s="354"/>
      <c r="N82" s="354"/>
      <c r="O82" s="354"/>
      <c r="P82" s="354"/>
      <c r="Q82" s="354"/>
      <c r="R82" s="354"/>
      <c r="S82" s="354"/>
      <c r="T82" s="354"/>
      <c r="U82" s="354"/>
      <c r="V82" s="354"/>
      <c r="W82" s="354"/>
      <c r="X82" s="354"/>
      <c r="Y82" s="354"/>
      <c r="Z82" s="354"/>
      <c r="AA82" s="354"/>
      <c r="AB82" s="354"/>
      <c r="AC82" s="354"/>
      <c r="AD82" s="357"/>
      <c r="AE82" s="357"/>
      <c r="AF82" s="357"/>
      <c r="AG82" s="357"/>
      <c r="AH82" s="357"/>
    </row>
    <row r="83" spans="1:34" ht="31.5">
      <c r="A83" s="356" t="s">
        <v>29</v>
      </c>
      <c r="B83" s="346" t="s">
        <v>353</v>
      </c>
      <c r="C83" s="356"/>
      <c r="D83" s="356"/>
      <c r="E83" s="378"/>
      <c r="F83" s="378"/>
      <c r="G83" s="118"/>
      <c r="H83" s="118"/>
      <c r="I83" s="118"/>
      <c r="J83" s="118"/>
      <c r="K83" s="118"/>
      <c r="L83" s="118"/>
      <c r="M83" s="118"/>
      <c r="N83" s="118"/>
      <c r="O83" s="118"/>
      <c r="P83" s="118"/>
      <c r="Q83" s="118"/>
      <c r="R83" s="118"/>
      <c r="S83" s="118"/>
      <c r="T83" s="118">
        <v>421.37659999999994</v>
      </c>
      <c r="U83" s="118"/>
      <c r="V83" s="118">
        <v>421.37659999999994</v>
      </c>
      <c r="W83" s="118"/>
      <c r="X83" s="118"/>
      <c r="Y83" s="118">
        <v>0</v>
      </c>
      <c r="Z83" s="118"/>
      <c r="AA83" s="118"/>
      <c r="AB83" s="118"/>
      <c r="AC83" s="118"/>
      <c r="AD83" s="357">
        <f t="shared" si="5"/>
        <v>0</v>
      </c>
      <c r="AE83" s="357"/>
      <c r="AF83" s="357">
        <f t="shared" si="6"/>
        <v>0</v>
      </c>
      <c r="AG83" s="357"/>
      <c r="AH83" s="357"/>
    </row>
    <row r="84" spans="1:34" s="355" customFormat="1" ht="31.5">
      <c r="A84" s="343">
        <v>18</v>
      </c>
      <c r="B84" s="344" t="s">
        <v>156</v>
      </c>
      <c r="C84" s="343"/>
      <c r="D84" s="343"/>
      <c r="E84" s="366"/>
      <c r="F84" s="366"/>
      <c r="G84" s="354"/>
      <c r="H84" s="354"/>
      <c r="I84" s="354"/>
      <c r="J84" s="354"/>
      <c r="K84" s="354"/>
      <c r="L84" s="354"/>
      <c r="M84" s="354"/>
      <c r="N84" s="354"/>
      <c r="O84" s="354"/>
      <c r="P84" s="354"/>
      <c r="Q84" s="354"/>
      <c r="R84" s="354"/>
      <c r="S84" s="354"/>
      <c r="T84" s="354"/>
      <c r="U84" s="354"/>
      <c r="V84" s="354"/>
      <c r="W84" s="354"/>
      <c r="X84" s="354"/>
      <c r="Y84" s="354"/>
      <c r="Z84" s="354"/>
      <c r="AA84" s="354"/>
      <c r="AB84" s="354"/>
      <c r="AC84" s="354"/>
      <c r="AD84" s="357"/>
      <c r="AE84" s="357"/>
      <c r="AF84" s="357"/>
      <c r="AG84" s="357"/>
      <c r="AH84" s="357"/>
    </row>
    <row r="85" spans="1:34">
      <c r="A85" s="356" t="s">
        <v>29</v>
      </c>
      <c r="B85" s="346" t="s">
        <v>354</v>
      </c>
      <c r="C85" s="356"/>
      <c r="D85" s="356"/>
      <c r="E85" s="378"/>
      <c r="F85" s="378"/>
      <c r="G85" s="118"/>
      <c r="H85" s="118"/>
      <c r="I85" s="118"/>
      <c r="J85" s="118"/>
      <c r="K85" s="118"/>
      <c r="L85" s="118"/>
      <c r="M85" s="118"/>
      <c r="N85" s="118"/>
      <c r="O85" s="118"/>
      <c r="P85" s="118"/>
      <c r="Q85" s="118"/>
      <c r="R85" s="118"/>
      <c r="S85" s="118"/>
      <c r="T85" s="118">
        <v>1.95</v>
      </c>
      <c r="U85" s="118"/>
      <c r="V85" s="118">
        <v>1.95</v>
      </c>
      <c r="W85" s="118"/>
      <c r="X85" s="118"/>
      <c r="Y85" s="118">
        <v>0</v>
      </c>
      <c r="Z85" s="118"/>
      <c r="AA85" s="118"/>
      <c r="AB85" s="118"/>
      <c r="AC85" s="118"/>
      <c r="AD85" s="357">
        <f t="shared" si="5"/>
        <v>0</v>
      </c>
      <c r="AE85" s="357"/>
      <c r="AF85" s="357">
        <f t="shared" si="6"/>
        <v>0</v>
      </c>
      <c r="AG85" s="357"/>
      <c r="AH85" s="357"/>
    </row>
    <row r="86" spans="1:34" s="355" customFormat="1" ht="31.5">
      <c r="A86" s="343">
        <v>19</v>
      </c>
      <c r="B86" s="344" t="s">
        <v>157</v>
      </c>
      <c r="C86" s="343"/>
      <c r="D86" s="343"/>
      <c r="E86" s="366"/>
      <c r="F86" s="366"/>
      <c r="G86" s="354"/>
      <c r="H86" s="354"/>
      <c r="I86" s="354"/>
      <c r="J86" s="354"/>
      <c r="K86" s="354"/>
      <c r="L86" s="354"/>
      <c r="M86" s="354"/>
      <c r="N86" s="354"/>
      <c r="O86" s="354"/>
      <c r="P86" s="354"/>
      <c r="Q86" s="354"/>
      <c r="R86" s="354"/>
      <c r="S86" s="354"/>
      <c r="T86" s="354"/>
      <c r="U86" s="354"/>
      <c r="V86" s="354"/>
      <c r="W86" s="354"/>
      <c r="X86" s="354"/>
      <c r="Y86" s="354"/>
      <c r="Z86" s="354"/>
      <c r="AA86" s="354"/>
      <c r="AB86" s="354"/>
      <c r="AC86" s="354"/>
      <c r="AD86" s="357"/>
      <c r="AE86" s="357"/>
      <c r="AF86" s="357"/>
      <c r="AG86" s="357"/>
      <c r="AH86" s="357"/>
    </row>
    <row r="87" spans="1:34">
      <c r="A87" s="356" t="s">
        <v>29</v>
      </c>
      <c r="B87" s="346" t="s">
        <v>355</v>
      </c>
      <c r="C87" s="356"/>
      <c r="D87" s="356"/>
      <c r="E87" s="378"/>
      <c r="F87" s="378"/>
      <c r="G87" s="118"/>
      <c r="H87" s="118"/>
      <c r="I87" s="118"/>
      <c r="J87" s="118"/>
      <c r="K87" s="118"/>
      <c r="L87" s="118"/>
      <c r="M87" s="118"/>
      <c r="N87" s="118"/>
      <c r="O87" s="118"/>
      <c r="P87" s="118"/>
      <c r="Q87" s="118"/>
      <c r="R87" s="118"/>
      <c r="S87" s="118"/>
      <c r="T87" s="118">
        <v>403.75200000000001</v>
      </c>
      <c r="U87" s="118"/>
      <c r="V87" s="118">
        <v>403.75200000000001</v>
      </c>
      <c r="W87" s="118"/>
      <c r="X87" s="118"/>
      <c r="Y87" s="118">
        <v>0</v>
      </c>
      <c r="Z87" s="118"/>
      <c r="AA87" s="118"/>
      <c r="AB87" s="118"/>
      <c r="AC87" s="118"/>
      <c r="AD87" s="357">
        <f t="shared" si="5"/>
        <v>0</v>
      </c>
      <c r="AE87" s="357"/>
      <c r="AF87" s="357">
        <f t="shared" si="6"/>
        <v>0</v>
      </c>
      <c r="AG87" s="357"/>
      <c r="AH87" s="357"/>
    </row>
    <row r="88" spans="1:34" s="355" customFormat="1" ht="31.5">
      <c r="A88" s="343">
        <v>20</v>
      </c>
      <c r="B88" s="344" t="s">
        <v>158</v>
      </c>
      <c r="C88" s="343"/>
      <c r="D88" s="343"/>
      <c r="E88" s="366"/>
      <c r="F88" s="366"/>
      <c r="G88" s="354"/>
      <c r="H88" s="354"/>
      <c r="I88" s="354"/>
      <c r="J88" s="354"/>
      <c r="K88" s="354"/>
      <c r="L88" s="354"/>
      <c r="M88" s="354"/>
      <c r="N88" s="354"/>
      <c r="O88" s="354"/>
      <c r="P88" s="354"/>
      <c r="Q88" s="354"/>
      <c r="R88" s="354"/>
      <c r="S88" s="354"/>
      <c r="T88" s="354"/>
      <c r="U88" s="354"/>
      <c r="V88" s="354"/>
      <c r="W88" s="354"/>
      <c r="X88" s="354"/>
      <c r="Y88" s="354"/>
      <c r="Z88" s="354"/>
      <c r="AA88" s="354"/>
      <c r="AB88" s="354"/>
      <c r="AC88" s="354"/>
      <c r="AD88" s="357"/>
      <c r="AE88" s="357"/>
      <c r="AF88" s="357"/>
      <c r="AG88" s="357"/>
      <c r="AH88" s="357"/>
    </row>
    <row r="89" spans="1:34">
      <c r="A89" s="356" t="s">
        <v>29</v>
      </c>
      <c r="B89" s="346" t="s">
        <v>356</v>
      </c>
      <c r="C89" s="356"/>
      <c r="D89" s="356"/>
      <c r="E89" s="378"/>
      <c r="F89" s="378"/>
      <c r="G89" s="118"/>
      <c r="H89" s="118"/>
      <c r="I89" s="118"/>
      <c r="J89" s="118"/>
      <c r="K89" s="118"/>
      <c r="L89" s="118"/>
      <c r="M89" s="118"/>
      <c r="N89" s="118"/>
      <c r="O89" s="118"/>
      <c r="P89" s="118"/>
      <c r="Q89" s="118"/>
      <c r="R89" s="118"/>
      <c r="S89" s="118"/>
      <c r="T89" s="118">
        <v>94.50001199999997</v>
      </c>
      <c r="U89" s="118"/>
      <c r="V89" s="118">
        <v>94.50001199999997</v>
      </c>
      <c r="W89" s="118"/>
      <c r="X89" s="118"/>
      <c r="Y89" s="118">
        <v>0</v>
      </c>
      <c r="Z89" s="118"/>
      <c r="AA89" s="118"/>
      <c r="AB89" s="118"/>
      <c r="AC89" s="118"/>
      <c r="AD89" s="357">
        <f t="shared" si="5"/>
        <v>0</v>
      </c>
      <c r="AE89" s="357"/>
      <c r="AF89" s="357">
        <f t="shared" si="6"/>
        <v>0</v>
      </c>
      <c r="AG89" s="357"/>
      <c r="AH89" s="357"/>
    </row>
    <row r="90" spans="1:34" s="355" customFormat="1">
      <c r="A90" s="343">
        <v>21</v>
      </c>
      <c r="B90" s="344" t="s">
        <v>159</v>
      </c>
      <c r="C90" s="343"/>
      <c r="D90" s="343"/>
      <c r="E90" s="366"/>
      <c r="F90" s="366"/>
      <c r="G90" s="354"/>
      <c r="H90" s="354"/>
      <c r="I90" s="354"/>
      <c r="J90" s="354"/>
      <c r="K90" s="354"/>
      <c r="L90" s="354"/>
      <c r="M90" s="354"/>
      <c r="N90" s="354"/>
      <c r="O90" s="354"/>
      <c r="P90" s="354"/>
      <c r="Q90" s="354"/>
      <c r="R90" s="354"/>
      <c r="S90" s="354"/>
      <c r="T90" s="354"/>
      <c r="U90" s="354"/>
      <c r="V90" s="354"/>
      <c r="W90" s="354"/>
      <c r="X90" s="354"/>
      <c r="Y90" s="354"/>
      <c r="Z90" s="354"/>
      <c r="AA90" s="354"/>
      <c r="AB90" s="354"/>
      <c r="AC90" s="354"/>
      <c r="AD90" s="357"/>
      <c r="AE90" s="357"/>
      <c r="AF90" s="357"/>
      <c r="AG90" s="357"/>
      <c r="AH90" s="357"/>
    </row>
    <row r="91" spans="1:34" ht="47.25">
      <c r="A91" s="356" t="s">
        <v>29</v>
      </c>
      <c r="B91" s="346" t="s">
        <v>357</v>
      </c>
      <c r="C91" s="356" t="s">
        <v>225</v>
      </c>
      <c r="D91" s="356"/>
      <c r="E91" s="378" t="s">
        <v>358</v>
      </c>
      <c r="F91" s="378" t="s">
        <v>359</v>
      </c>
      <c r="G91" s="118" t="s">
        <v>360</v>
      </c>
      <c r="H91" s="118"/>
      <c r="I91" s="118"/>
      <c r="J91" s="118"/>
      <c r="K91" s="118" t="s">
        <v>360</v>
      </c>
      <c r="L91" s="118" t="s">
        <v>361</v>
      </c>
      <c r="M91" s="118"/>
      <c r="N91" s="118"/>
      <c r="O91" s="118" t="s">
        <v>361</v>
      </c>
      <c r="P91" s="118">
        <v>1400</v>
      </c>
      <c r="Q91" s="118"/>
      <c r="R91" s="118"/>
      <c r="S91" s="118">
        <v>1400</v>
      </c>
      <c r="T91" s="118">
        <v>1400</v>
      </c>
      <c r="U91" s="118"/>
      <c r="V91" s="118"/>
      <c r="W91" s="118"/>
      <c r="X91" s="118">
        <v>1400</v>
      </c>
      <c r="Y91" s="118">
        <v>1357.7075</v>
      </c>
      <c r="Z91" s="118"/>
      <c r="AA91" s="118"/>
      <c r="AB91" s="118"/>
      <c r="AC91" s="118">
        <v>1357.7075</v>
      </c>
      <c r="AD91" s="357">
        <f t="shared" si="5"/>
        <v>0.96979107142857146</v>
      </c>
      <c r="AE91" s="357"/>
      <c r="AF91" s="357"/>
      <c r="AG91" s="357"/>
      <c r="AH91" s="357">
        <f>AC91/X91</f>
        <v>0.96979107142857146</v>
      </c>
    </row>
    <row r="92" spans="1:34" s="355" customFormat="1">
      <c r="A92" s="343">
        <v>22</v>
      </c>
      <c r="B92" s="344" t="s">
        <v>160</v>
      </c>
      <c r="C92" s="343"/>
      <c r="D92" s="343"/>
      <c r="E92" s="366"/>
      <c r="F92" s="366"/>
      <c r="G92" s="354"/>
      <c r="H92" s="354"/>
      <c r="I92" s="354"/>
      <c r="J92" s="354"/>
      <c r="K92" s="354"/>
      <c r="L92" s="354"/>
      <c r="M92" s="354"/>
      <c r="N92" s="354"/>
      <c r="O92" s="354"/>
      <c r="P92" s="354"/>
      <c r="Q92" s="354"/>
      <c r="R92" s="354"/>
      <c r="S92" s="354"/>
      <c r="T92" s="354"/>
      <c r="U92" s="354"/>
      <c r="V92" s="354"/>
      <c r="W92" s="354"/>
      <c r="X92" s="354"/>
      <c r="Y92" s="354"/>
      <c r="Z92" s="354"/>
      <c r="AA92" s="354"/>
      <c r="AB92" s="354"/>
      <c r="AC92" s="354"/>
      <c r="AD92" s="357"/>
      <c r="AE92" s="357"/>
      <c r="AF92" s="357"/>
      <c r="AG92" s="357"/>
      <c r="AH92" s="357"/>
    </row>
    <row r="93" spans="1:34" ht="31.5">
      <c r="A93" s="356" t="s">
        <v>29</v>
      </c>
      <c r="B93" s="346" t="s">
        <v>362</v>
      </c>
      <c r="C93" s="356" t="s">
        <v>363</v>
      </c>
      <c r="D93" s="356"/>
      <c r="E93" s="378" t="s">
        <v>364</v>
      </c>
      <c r="F93" s="378" t="s">
        <v>365</v>
      </c>
      <c r="G93" s="118">
        <v>136394</v>
      </c>
      <c r="H93" s="118"/>
      <c r="I93" s="118"/>
      <c r="J93" s="118"/>
      <c r="K93" s="118">
        <v>25224</v>
      </c>
      <c r="L93" s="118">
        <v>72575</v>
      </c>
      <c r="M93" s="118"/>
      <c r="N93" s="118"/>
      <c r="O93" s="118">
        <v>25224</v>
      </c>
      <c r="P93" s="118">
        <v>1900</v>
      </c>
      <c r="Q93" s="118"/>
      <c r="R93" s="118"/>
      <c r="S93" s="118">
        <v>1900</v>
      </c>
      <c r="T93" s="118">
        <v>4804</v>
      </c>
      <c r="U93" s="118"/>
      <c r="V93" s="118"/>
      <c r="W93" s="118"/>
      <c r="X93" s="118">
        <v>4804</v>
      </c>
      <c r="Y93" s="118">
        <v>4804</v>
      </c>
      <c r="Z93" s="118"/>
      <c r="AA93" s="118"/>
      <c r="AB93" s="118"/>
      <c r="AC93" s="118">
        <v>4804</v>
      </c>
      <c r="AD93" s="357">
        <f t="shared" si="5"/>
        <v>1</v>
      </c>
      <c r="AE93" s="357"/>
      <c r="AF93" s="357"/>
      <c r="AG93" s="357"/>
      <c r="AH93" s="357">
        <f t="shared" ref="AH93:AH98" si="7">AC93/X93</f>
        <v>1</v>
      </c>
    </row>
    <row r="94" spans="1:34" ht="31.5">
      <c r="A94" s="356" t="s">
        <v>29</v>
      </c>
      <c r="B94" s="346" t="s">
        <v>366</v>
      </c>
      <c r="C94" s="356" t="s">
        <v>367</v>
      </c>
      <c r="D94" s="356"/>
      <c r="E94" s="378" t="s">
        <v>368</v>
      </c>
      <c r="F94" s="378" t="s">
        <v>369</v>
      </c>
      <c r="G94" s="118">
        <v>5213</v>
      </c>
      <c r="H94" s="118"/>
      <c r="I94" s="118"/>
      <c r="J94" s="118"/>
      <c r="K94" s="118">
        <v>5213</v>
      </c>
      <c r="L94" s="118">
        <v>5213</v>
      </c>
      <c r="M94" s="118"/>
      <c r="N94" s="118"/>
      <c r="O94" s="118">
        <v>5213</v>
      </c>
      <c r="P94" s="118">
        <v>2710</v>
      </c>
      <c r="Q94" s="118"/>
      <c r="R94" s="118"/>
      <c r="S94" s="118">
        <v>2710</v>
      </c>
      <c r="T94" s="118">
        <v>1077.7717359999999</v>
      </c>
      <c r="U94" s="118"/>
      <c r="V94" s="118"/>
      <c r="W94" s="118"/>
      <c r="X94" s="118">
        <v>1077.7717359999999</v>
      </c>
      <c r="Y94" s="118">
        <v>1055.4627359999999</v>
      </c>
      <c r="Z94" s="118"/>
      <c r="AA94" s="118"/>
      <c r="AB94" s="118"/>
      <c r="AC94" s="118">
        <v>1055.4627359999999</v>
      </c>
      <c r="AD94" s="357">
        <f t="shared" si="5"/>
        <v>0.9793008118000972</v>
      </c>
      <c r="AE94" s="357"/>
      <c r="AF94" s="357"/>
      <c r="AG94" s="357"/>
      <c r="AH94" s="357">
        <f t="shared" si="7"/>
        <v>0.9793008118000972</v>
      </c>
    </row>
    <row r="95" spans="1:34" ht="31.5">
      <c r="A95" s="356" t="s">
        <v>29</v>
      </c>
      <c r="B95" s="346" t="s">
        <v>370</v>
      </c>
      <c r="C95" s="356"/>
      <c r="D95" s="356"/>
      <c r="E95" s="378" t="s">
        <v>371</v>
      </c>
      <c r="F95" s="378" t="s">
        <v>372</v>
      </c>
      <c r="G95" s="118">
        <v>20800</v>
      </c>
      <c r="H95" s="118"/>
      <c r="I95" s="118">
        <v>14900</v>
      </c>
      <c r="J95" s="118"/>
      <c r="K95" s="118">
        <v>5900</v>
      </c>
      <c r="L95" s="118">
        <v>19017</v>
      </c>
      <c r="M95" s="118"/>
      <c r="N95" s="118">
        <v>14900</v>
      </c>
      <c r="O95" s="118">
        <v>4117</v>
      </c>
      <c r="P95" s="118">
        <v>16400</v>
      </c>
      <c r="Q95" s="118"/>
      <c r="R95" s="118">
        <v>14900</v>
      </c>
      <c r="S95" s="118">
        <v>1500</v>
      </c>
      <c r="T95" s="118">
        <v>700</v>
      </c>
      <c r="U95" s="118"/>
      <c r="V95" s="118"/>
      <c r="W95" s="118"/>
      <c r="X95" s="118">
        <v>700</v>
      </c>
      <c r="Y95" s="118">
        <v>700</v>
      </c>
      <c r="Z95" s="118"/>
      <c r="AA95" s="118"/>
      <c r="AB95" s="118"/>
      <c r="AC95" s="118">
        <v>700</v>
      </c>
      <c r="AD95" s="357">
        <f t="shared" si="5"/>
        <v>1</v>
      </c>
      <c r="AE95" s="357"/>
      <c r="AF95" s="357"/>
      <c r="AG95" s="357"/>
      <c r="AH95" s="357">
        <f t="shared" si="7"/>
        <v>1</v>
      </c>
    </row>
    <row r="96" spans="1:34" ht="31.5">
      <c r="A96" s="356" t="s">
        <v>29</v>
      </c>
      <c r="B96" s="346" t="s">
        <v>373</v>
      </c>
      <c r="C96" s="356" t="s">
        <v>374</v>
      </c>
      <c r="D96" s="356"/>
      <c r="E96" s="378" t="s">
        <v>375</v>
      </c>
      <c r="F96" s="378" t="s">
        <v>376</v>
      </c>
      <c r="G96" s="118">
        <v>2575</v>
      </c>
      <c r="H96" s="118"/>
      <c r="I96" s="118"/>
      <c r="J96" s="118"/>
      <c r="K96" s="118">
        <v>2575</v>
      </c>
      <c r="L96" s="118">
        <v>1999</v>
      </c>
      <c r="M96" s="118"/>
      <c r="N96" s="118"/>
      <c r="O96" s="118">
        <v>1999</v>
      </c>
      <c r="P96" s="118">
        <v>1940</v>
      </c>
      <c r="Q96" s="118"/>
      <c r="R96" s="118"/>
      <c r="S96" s="118">
        <v>1940</v>
      </c>
      <c r="T96" s="118">
        <v>68.944999999999993</v>
      </c>
      <c r="U96" s="118"/>
      <c r="V96" s="118"/>
      <c r="W96" s="118"/>
      <c r="X96" s="118">
        <v>68.944999999999993</v>
      </c>
      <c r="Y96" s="118">
        <v>68.944999999999993</v>
      </c>
      <c r="Z96" s="118"/>
      <c r="AA96" s="118"/>
      <c r="AB96" s="118"/>
      <c r="AC96" s="118">
        <v>68.944999999999993</v>
      </c>
      <c r="AD96" s="357">
        <f t="shared" si="5"/>
        <v>1</v>
      </c>
      <c r="AE96" s="357"/>
      <c r="AF96" s="357"/>
      <c r="AG96" s="357"/>
      <c r="AH96" s="357">
        <f t="shared" si="7"/>
        <v>1</v>
      </c>
    </row>
    <row r="97" spans="1:34" ht="31.5">
      <c r="A97" s="356" t="s">
        <v>29</v>
      </c>
      <c r="B97" s="346" t="s">
        <v>377</v>
      </c>
      <c r="C97" s="356" t="s">
        <v>299</v>
      </c>
      <c r="D97" s="356"/>
      <c r="E97" s="378" t="s">
        <v>378</v>
      </c>
      <c r="F97" s="378" t="s">
        <v>379</v>
      </c>
      <c r="G97" s="118">
        <v>552</v>
      </c>
      <c r="H97" s="118"/>
      <c r="I97" s="118"/>
      <c r="J97" s="118"/>
      <c r="K97" s="118">
        <v>552</v>
      </c>
      <c r="L97" s="118">
        <v>517</v>
      </c>
      <c r="M97" s="118"/>
      <c r="N97" s="118"/>
      <c r="O97" s="118">
        <v>517</v>
      </c>
      <c r="P97" s="118">
        <v>481</v>
      </c>
      <c r="Q97" s="118"/>
      <c r="R97" s="118"/>
      <c r="S97" s="118">
        <v>481</v>
      </c>
      <c r="T97" s="118">
        <v>36.499000000000002</v>
      </c>
      <c r="U97" s="118"/>
      <c r="V97" s="118"/>
      <c r="W97" s="118"/>
      <c r="X97" s="118">
        <v>36.499000000000002</v>
      </c>
      <c r="Y97" s="118">
        <v>36.499000000000002</v>
      </c>
      <c r="Z97" s="118"/>
      <c r="AA97" s="118"/>
      <c r="AB97" s="118"/>
      <c r="AC97" s="118">
        <v>36.499000000000002</v>
      </c>
      <c r="AD97" s="357">
        <f t="shared" si="5"/>
        <v>1</v>
      </c>
      <c r="AE97" s="357"/>
      <c r="AF97" s="357"/>
      <c r="AG97" s="357"/>
      <c r="AH97" s="357">
        <f t="shared" si="7"/>
        <v>1</v>
      </c>
    </row>
    <row r="98" spans="1:34" ht="31.5">
      <c r="A98" s="356" t="s">
        <v>29</v>
      </c>
      <c r="B98" s="346" t="s">
        <v>380</v>
      </c>
      <c r="C98" s="356" t="s">
        <v>363</v>
      </c>
      <c r="D98" s="356"/>
      <c r="E98" s="378" t="s">
        <v>381</v>
      </c>
      <c r="F98" s="378" t="s">
        <v>382</v>
      </c>
      <c r="G98" s="118">
        <v>6893</v>
      </c>
      <c r="H98" s="118"/>
      <c r="I98" s="118"/>
      <c r="J98" s="118"/>
      <c r="K98" s="118">
        <v>6893</v>
      </c>
      <c r="L98" s="118">
        <v>6320</v>
      </c>
      <c r="M98" s="118"/>
      <c r="N98" s="118"/>
      <c r="O98" s="118">
        <v>6320</v>
      </c>
      <c r="P98" s="118">
        <v>5100</v>
      </c>
      <c r="Q98" s="118"/>
      <c r="R98" s="118"/>
      <c r="S98" s="118">
        <v>5100</v>
      </c>
      <c r="T98" s="118">
        <v>1220</v>
      </c>
      <c r="U98" s="118"/>
      <c r="V98" s="118"/>
      <c r="W98" s="118"/>
      <c r="X98" s="118">
        <v>1220</v>
      </c>
      <c r="Y98" s="118">
        <v>1220</v>
      </c>
      <c r="Z98" s="118"/>
      <c r="AA98" s="118"/>
      <c r="AB98" s="118"/>
      <c r="AC98" s="118">
        <v>1220</v>
      </c>
      <c r="AD98" s="357">
        <f t="shared" si="5"/>
        <v>1</v>
      </c>
      <c r="AE98" s="357"/>
      <c r="AF98" s="357"/>
      <c r="AG98" s="357"/>
      <c r="AH98" s="357">
        <f t="shared" si="7"/>
        <v>1</v>
      </c>
    </row>
    <row r="99" spans="1:34" ht="47.25">
      <c r="A99" s="356" t="s">
        <v>29</v>
      </c>
      <c r="B99" s="346" t="s">
        <v>383</v>
      </c>
      <c r="C99" s="356" t="s">
        <v>310</v>
      </c>
      <c r="D99" s="356"/>
      <c r="E99" s="378" t="s">
        <v>375</v>
      </c>
      <c r="F99" s="378" t="s">
        <v>384</v>
      </c>
      <c r="G99" s="118">
        <v>75366</v>
      </c>
      <c r="H99" s="118"/>
      <c r="I99" s="118">
        <v>75366</v>
      </c>
      <c r="J99" s="118"/>
      <c r="K99" s="118"/>
      <c r="L99" s="118">
        <v>61374</v>
      </c>
      <c r="M99" s="118"/>
      <c r="N99" s="118">
        <v>61374</v>
      </c>
      <c r="O99" s="118"/>
      <c r="P99" s="118">
        <v>60763</v>
      </c>
      <c r="Q99" s="118"/>
      <c r="R99" s="118">
        <v>60763</v>
      </c>
      <c r="S99" s="118"/>
      <c r="T99" s="118">
        <v>2035.355</v>
      </c>
      <c r="U99" s="118"/>
      <c r="V99" s="118">
        <v>2035.355</v>
      </c>
      <c r="W99" s="118"/>
      <c r="X99" s="118">
        <f>T99-V99</f>
        <v>0</v>
      </c>
      <c r="Y99" s="118">
        <v>699</v>
      </c>
      <c r="Z99" s="118"/>
      <c r="AA99" s="118">
        <v>699</v>
      </c>
      <c r="AB99" s="118"/>
      <c r="AC99" s="118"/>
      <c r="AD99" s="357">
        <f t="shared" si="5"/>
        <v>0.34342903326446739</v>
      </c>
      <c r="AE99" s="357"/>
      <c r="AF99" s="357">
        <f t="shared" si="6"/>
        <v>0.34342903326446739</v>
      </c>
      <c r="AG99" s="357"/>
      <c r="AH99" s="357"/>
    </row>
    <row r="100" spans="1:34" ht="47.25">
      <c r="A100" s="356" t="s">
        <v>29</v>
      </c>
      <c r="B100" s="346" t="s">
        <v>383</v>
      </c>
      <c r="C100" s="356" t="s">
        <v>363</v>
      </c>
      <c r="D100" s="356"/>
      <c r="E100" s="378" t="s">
        <v>230</v>
      </c>
      <c r="F100" s="378" t="s">
        <v>385</v>
      </c>
      <c r="G100" s="118">
        <v>80838</v>
      </c>
      <c r="H100" s="118"/>
      <c r="I100" s="118">
        <v>79758</v>
      </c>
      <c r="J100" s="118"/>
      <c r="K100" s="118">
        <v>1080</v>
      </c>
      <c r="L100" s="118">
        <v>30000</v>
      </c>
      <c r="M100" s="118"/>
      <c r="N100" s="118">
        <v>28920</v>
      </c>
      <c r="O100" s="118">
        <v>1080</v>
      </c>
      <c r="P100" s="118">
        <v>10080</v>
      </c>
      <c r="Q100" s="118"/>
      <c r="R100" s="118">
        <v>9000</v>
      </c>
      <c r="S100" s="118">
        <v>1080</v>
      </c>
      <c r="T100" s="118">
        <v>16742.631000000001</v>
      </c>
      <c r="U100" s="118"/>
      <c r="V100" s="118">
        <f>T100-X100</f>
        <v>16442.631000000001</v>
      </c>
      <c r="W100" s="118"/>
      <c r="X100" s="118">
        <v>300</v>
      </c>
      <c r="Y100" s="118">
        <v>16565.397000000001</v>
      </c>
      <c r="Z100" s="118"/>
      <c r="AA100" s="118">
        <v>16265.397000000001</v>
      </c>
      <c r="AB100" s="118"/>
      <c r="AC100" s="118">
        <v>300</v>
      </c>
      <c r="AD100" s="357">
        <f t="shared" si="5"/>
        <v>0.98941420855539364</v>
      </c>
      <c r="AE100" s="357"/>
      <c r="AF100" s="357">
        <f t="shared" si="6"/>
        <v>0.98922106808819099</v>
      </c>
      <c r="AG100" s="357"/>
      <c r="AH100" s="357">
        <f>AC100/X100</f>
        <v>1</v>
      </c>
    </row>
    <row r="101" spans="1:34" ht="63">
      <c r="A101" s="356" t="s">
        <v>29</v>
      </c>
      <c r="B101" s="346" t="s">
        <v>386</v>
      </c>
      <c r="C101" s="356" t="s">
        <v>387</v>
      </c>
      <c r="D101" s="356"/>
      <c r="E101" s="378" t="s">
        <v>381</v>
      </c>
      <c r="F101" s="378" t="s">
        <v>388</v>
      </c>
      <c r="G101" s="118">
        <v>5813</v>
      </c>
      <c r="H101" s="118"/>
      <c r="I101" s="118"/>
      <c r="J101" s="118"/>
      <c r="K101" s="118">
        <v>5813</v>
      </c>
      <c r="L101" s="118">
        <v>5668</v>
      </c>
      <c r="M101" s="118"/>
      <c r="N101" s="118"/>
      <c r="O101" s="118">
        <v>5668</v>
      </c>
      <c r="P101" s="118">
        <v>4499</v>
      </c>
      <c r="Q101" s="118"/>
      <c r="R101" s="118"/>
      <c r="S101" s="118">
        <v>4499</v>
      </c>
      <c r="T101" s="118">
        <v>1180</v>
      </c>
      <c r="U101" s="118"/>
      <c r="V101" s="118"/>
      <c r="W101" s="118"/>
      <c r="X101" s="118">
        <v>1180</v>
      </c>
      <c r="Y101" s="118">
        <v>1168.7719999999999</v>
      </c>
      <c r="Z101" s="118"/>
      <c r="AA101" s="118"/>
      <c r="AB101" s="118"/>
      <c r="AC101" s="118">
        <v>1168.7719999999999</v>
      </c>
      <c r="AD101" s="357">
        <f t="shared" si="5"/>
        <v>0.99048474576271184</v>
      </c>
      <c r="AE101" s="357"/>
      <c r="AF101" s="357"/>
      <c r="AG101" s="357"/>
      <c r="AH101" s="357">
        <f>AC101/X101</f>
        <v>0.99048474576271184</v>
      </c>
    </row>
    <row r="102" spans="1:34" ht="47.25">
      <c r="A102" s="356" t="s">
        <v>29</v>
      </c>
      <c r="B102" s="346" t="s">
        <v>389</v>
      </c>
      <c r="C102" s="356" t="s">
        <v>277</v>
      </c>
      <c r="D102" s="356"/>
      <c r="E102" s="378" t="s">
        <v>390</v>
      </c>
      <c r="F102" s="378" t="s">
        <v>391</v>
      </c>
      <c r="G102" s="118">
        <v>11099</v>
      </c>
      <c r="H102" s="118"/>
      <c r="I102" s="118">
        <v>11099</v>
      </c>
      <c r="J102" s="118"/>
      <c r="K102" s="118"/>
      <c r="L102" s="118">
        <v>11017</v>
      </c>
      <c r="M102" s="118"/>
      <c r="N102" s="118">
        <v>11017</v>
      </c>
      <c r="O102" s="118"/>
      <c r="P102" s="118">
        <v>7700</v>
      </c>
      <c r="Q102" s="118"/>
      <c r="R102" s="118">
        <v>7700</v>
      </c>
      <c r="S102" s="118"/>
      <c r="T102" s="118">
        <v>2452.0549999999998</v>
      </c>
      <c r="U102" s="118"/>
      <c r="V102" s="118">
        <v>2321</v>
      </c>
      <c r="W102" s="118"/>
      <c r="X102" s="118">
        <f>T102-V102</f>
        <v>131.05499999999984</v>
      </c>
      <c r="Y102" s="118">
        <v>2452.0549999999998</v>
      </c>
      <c r="Z102" s="118"/>
      <c r="AA102" s="118">
        <v>2321</v>
      </c>
      <c r="AB102" s="118"/>
      <c r="AC102" s="118">
        <v>131.05499999999984</v>
      </c>
      <c r="AD102" s="357">
        <f t="shared" si="5"/>
        <v>1</v>
      </c>
      <c r="AE102" s="357"/>
      <c r="AF102" s="357">
        <f t="shared" si="6"/>
        <v>1</v>
      </c>
      <c r="AG102" s="357"/>
      <c r="AH102" s="357">
        <f>AC102/X102</f>
        <v>1</v>
      </c>
    </row>
    <row r="103" spans="1:34" ht="31.5">
      <c r="A103" s="356" t="s">
        <v>29</v>
      </c>
      <c r="B103" s="346" t="s">
        <v>392</v>
      </c>
      <c r="C103" s="356" t="s">
        <v>363</v>
      </c>
      <c r="D103" s="356"/>
      <c r="E103" s="378" t="s">
        <v>293</v>
      </c>
      <c r="F103" s="378" t="s">
        <v>393</v>
      </c>
      <c r="G103" s="118">
        <v>9446</v>
      </c>
      <c r="H103" s="118"/>
      <c r="I103" s="118"/>
      <c r="J103" s="118"/>
      <c r="K103" s="118">
        <v>9446</v>
      </c>
      <c r="L103" s="118">
        <v>7450</v>
      </c>
      <c r="M103" s="118"/>
      <c r="N103" s="118"/>
      <c r="O103" s="118">
        <v>7450</v>
      </c>
      <c r="P103" s="118">
        <v>2500</v>
      </c>
      <c r="Q103" s="118"/>
      <c r="R103" s="118"/>
      <c r="S103" s="118">
        <v>2500</v>
      </c>
      <c r="T103" s="118">
        <f>3400+232.617</f>
        <v>3632.6170000000002</v>
      </c>
      <c r="U103" s="118"/>
      <c r="V103" s="118"/>
      <c r="W103" s="118"/>
      <c r="X103" s="118">
        <f>3400+232.617</f>
        <v>3632.6170000000002</v>
      </c>
      <c r="Y103" s="118">
        <f>3400+232.617</f>
        <v>3632.6170000000002</v>
      </c>
      <c r="Z103" s="118"/>
      <c r="AA103" s="118"/>
      <c r="AB103" s="118"/>
      <c r="AC103" s="118">
        <v>3632.6170000000002</v>
      </c>
      <c r="AD103" s="357">
        <f t="shared" si="5"/>
        <v>1</v>
      </c>
      <c r="AE103" s="357"/>
      <c r="AF103" s="357"/>
      <c r="AG103" s="357"/>
      <c r="AH103" s="357">
        <f>AC103/X103</f>
        <v>1</v>
      </c>
    </row>
    <row r="104" spans="1:34" ht="31.5">
      <c r="A104" s="356" t="s">
        <v>29</v>
      </c>
      <c r="B104" s="346" t="s">
        <v>394</v>
      </c>
      <c r="C104" s="356" t="s">
        <v>395</v>
      </c>
      <c r="D104" s="356"/>
      <c r="E104" s="378" t="s">
        <v>293</v>
      </c>
      <c r="F104" s="378" t="s">
        <v>396</v>
      </c>
      <c r="G104" s="118">
        <v>1741</v>
      </c>
      <c r="H104" s="118"/>
      <c r="I104" s="118"/>
      <c r="J104" s="118"/>
      <c r="K104" s="118">
        <v>1741</v>
      </c>
      <c r="L104" s="118">
        <v>1651</v>
      </c>
      <c r="M104" s="118"/>
      <c r="N104" s="118"/>
      <c r="O104" s="118">
        <v>1651</v>
      </c>
      <c r="P104" s="118">
        <v>700</v>
      </c>
      <c r="Q104" s="118"/>
      <c r="R104" s="118"/>
      <c r="S104" s="118">
        <v>700</v>
      </c>
      <c r="T104" s="118">
        <v>300</v>
      </c>
      <c r="U104" s="118"/>
      <c r="V104" s="118"/>
      <c r="W104" s="118"/>
      <c r="X104" s="118">
        <v>300</v>
      </c>
      <c r="Y104" s="118">
        <v>300</v>
      </c>
      <c r="Z104" s="118"/>
      <c r="AA104" s="118"/>
      <c r="AB104" s="118"/>
      <c r="AC104" s="118">
        <v>300</v>
      </c>
      <c r="AD104" s="357">
        <f t="shared" si="5"/>
        <v>1</v>
      </c>
      <c r="AE104" s="357"/>
      <c r="AF104" s="357"/>
      <c r="AG104" s="357"/>
      <c r="AH104" s="357">
        <f>AC104/X104</f>
        <v>1</v>
      </c>
    </row>
    <row r="105" spans="1:34" ht="31.5">
      <c r="A105" s="356" t="s">
        <v>29</v>
      </c>
      <c r="B105" s="346" t="s">
        <v>397</v>
      </c>
      <c r="C105" s="356"/>
      <c r="D105" s="356"/>
      <c r="E105" s="378"/>
      <c r="F105" s="378"/>
      <c r="G105" s="118"/>
      <c r="H105" s="118"/>
      <c r="I105" s="118"/>
      <c r="J105" s="118"/>
      <c r="K105" s="118"/>
      <c r="L105" s="118"/>
      <c r="M105" s="118"/>
      <c r="N105" s="118"/>
      <c r="O105" s="118"/>
      <c r="P105" s="118"/>
      <c r="Q105" s="118"/>
      <c r="R105" s="118"/>
      <c r="S105" s="118"/>
      <c r="T105" s="118">
        <v>1</v>
      </c>
      <c r="U105" s="118"/>
      <c r="V105" s="118"/>
      <c r="W105" s="118">
        <v>1</v>
      </c>
      <c r="X105" s="118"/>
      <c r="Y105" s="118">
        <v>1</v>
      </c>
      <c r="Z105" s="118"/>
      <c r="AA105" s="118"/>
      <c r="AB105" s="118">
        <v>1</v>
      </c>
      <c r="AC105" s="118"/>
      <c r="AD105" s="357">
        <f t="shared" si="5"/>
        <v>1</v>
      </c>
      <c r="AE105" s="357"/>
      <c r="AF105" s="357"/>
      <c r="AG105" s="357">
        <f>AB105/W105</f>
        <v>1</v>
      </c>
      <c r="AH105" s="357"/>
    </row>
    <row r="106" spans="1:34" s="355" customFormat="1">
      <c r="A106" s="343">
        <v>23</v>
      </c>
      <c r="B106" s="344" t="s">
        <v>161</v>
      </c>
      <c r="C106" s="343"/>
      <c r="D106" s="343"/>
      <c r="E106" s="366"/>
      <c r="F106" s="366"/>
      <c r="G106" s="354"/>
      <c r="H106" s="354"/>
      <c r="I106" s="354"/>
      <c r="J106" s="354"/>
      <c r="K106" s="354"/>
      <c r="L106" s="354"/>
      <c r="M106" s="354"/>
      <c r="N106" s="354"/>
      <c r="O106" s="354"/>
      <c r="P106" s="354"/>
      <c r="Q106" s="354"/>
      <c r="R106" s="354"/>
      <c r="S106" s="354"/>
      <c r="T106" s="354"/>
      <c r="U106" s="354"/>
      <c r="V106" s="354"/>
      <c r="W106" s="354"/>
      <c r="X106" s="354"/>
      <c r="Y106" s="354"/>
      <c r="Z106" s="354"/>
      <c r="AA106" s="354"/>
      <c r="AB106" s="354"/>
      <c r="AC106" s="354"/>
      <c r="AD106" s="357"/>
      <c r="AE106" s="357"/>
      <c r="AF106" s="357"/>
      <c r="AG106" s="357"/>
      <c r="AH106" s="357"/>
    </row>
    <row r="107" spans="1:34" ht="31.5">
      <c r="A107" s="356" t="s">
        <v>29</v>
      </c>
      <c r="B107" s="346" t="s">
        <v>398</v>
      </c>
      <c r="C107" s="356" t="s">
        <v>225</v>
      </c>
      <c r="D107" s="356"/>
      <c r="E107" s="378">
        <v>2016</v>
      </c>
      <c r="F107" s="378" t="s">
        <v>399</v>
      </c>
      <c r="G107" s="118">
        <v>2477</v>
      </c>
      <c r="H107" s="118"/>
      <c r="I107" s="118"/>
      <c r="J107" s="118"/>
      <c r="K107" s="118">
        <v>2477</v>
      </c>
      <c r="L107" s="118">
        <v>700</v>
      </c>
      <c r="M107" s="118"/>
      <c r="N107" s="118"/>
      <c r="O107" s="118">
        <v>700</v>
      </c>
      <c r="P107" s="118">
        <v>1800</v>
      </c>
      <c r="Q107" s="118"/>
      <c r="R107" s="118"/>
      <c r="S107" s="118">
        <v>1800</v>
      </c>
      <c r="T107" s="118">
        <v>700</v>
      </c>
      <c r="U107" s="118"/>
      <c r="V107" s="118"/>
      <c r="W107" s="118"/>
      <c r="X107" s="118">
        <v>700</v>
      </c>
      <c r="Y107" s="118">
        <v>700</v>
      </c>
      <c r="Z107" s="118"/>
      <c r="AA107" s="118"/>
      <c r="AB107" s="118"/>
      <c r="AC107" s="118">
        <v>700</v>
      </c>
      <c r="AD107" s="357">
        <f t="shared" si="5"/>
        <v>1</v>
      </c>
      <c r="AE107" s="357"/>
      <c r="AF107" s="357"/>
      <c r="AG107" s="357"/>
      <c r="AH107" s="357">
        <f>AC107/X107</f>
        <v>1</v>
      </c>
    </row>
    <row r="108" spans="1:34" s="355" customFormat="1">
      <c r="A108" s="343">
        <v>24</v>
      </c>
      <c r="B108" s="344" t="s">
        <v>162</v>
      </c>
      <c r="C108" s="343"/>
      <c r="D108" s="343"/>
      <c r="E108" s="366"/>
      <c r="F108" s="366"/>
      <c r="G108" s="354"/>
      <c r="H108" s="354"/>
      <c r="I108" s="354"/>
      <c r="J108" s="354"/>
      <c r="K108" s="354"/>
      <c r="L108" s="354"/>
      <c r="M108" s="354"/>
      <c r="N108" s="354"/>
      <c r="O108" s="354"/>
      <c r="P108" s="354"/>
      <c r="Q108" s="354"/>
      <c r="R108" s="354"/>
      <c r="S108" s="354"/>
      <c r="T108" s="354"/>
      <c r="U108" s="354"/>
      <c r="V108" s="354"/>
      <c r="W108" s="354"/>
      <c r="X108" s="354"/>
      <c r="Y108" s="354"/>
      <c r="Z108" s="354"/>
      <c r="AA108" s="354"/>
      <c r="AB108" s="354"/>
      <c r="AC108" s="354"/>
      <c r="AD108" s="357"/>
      <c r="AE108" s="357"/>
      <c r="AF108" s="357"/>
      <c r="AG108" s="357"/>
      <c r="AH108" s="357"/>
    </row>
    <row r="109" spans="1:34" ht="31.5">
      <c r="A109" s="356" t="s">
        <v>29</v>
      </c>
      <c r="B109" s="346" t="s">
        <v>400</v>
      </c>
      <c r="C109" s="356" t="s">
        <v>277</v>
      </c>
      <c r="D109" s="356"/>
      <c r="E109" s="378" t="s">
        <v>401</v>
      </c>
      <c r="F109" s="378" t="s">
        <v>402</v>
      </c>
      <c r="G109" s="118">
        <v>490017</v>
      </c>
      <c r="H109" s="118"/>
      <c r="I109" s="118">
        <v>490017</v>
      </c>
      <c r="J109" s="118"/>
      <c r="K109" s="118"/>
      <c r="L109" s="118">
        <v>321187</v>
      </c>
      <c r="M109" s="118"/>
      <c r="N109" s="118">
        <v>321187</v>
      </c>
      <c r="O109" s="118"/>
      <c r="P109" s="118">
        <v>316176</v>
      </c>
      <c r="Q109" s="118"/>
      <c r="R109" s="118">
        <v>316176</v>
      </c>
      <c r="S109" s="118"/>
      <c r="T109" s="118">
        <f>15000+11850</f>
        <v>26850</v>
      </c>
      <c r="U109" s="118"/>
      <c r="V109" s="118">
        <f>15000+11850</f>
        <v>26850</v>
      </c>
      <c r="W109" s="118"/>
      <c r="X109" s="118"/>
      <c r="Y109" s="118">
        <f>15000+8893.08</f>
        <v>23893.08</v>
      </c>
      <c r="Z109" s="118"/>
      <c r="AA109" s="118">
        <v>23893.08</v>
      </c>
      <c r="AB109" s="118"/>
      <c r="AC109" s="118"/>
      <c r="AD109" s="357">
        <f t="shared" si="5"/>
        <v>0.88987262569832404</v>
      </c>
      <c r="AE109" s="357"/>
      <c r="AF109" s="357">
        <f t="shared" si="6"/>
        <v>0.88987262569832404</v>
      </c>
      <c r="AG109" s="357"/>
      <c r="AH109" s="357"/>
    </row>
    <row r="110" spans="1:34" ht="47.25">
      <c r="A110" s="356"/>
      <c r="B110" s="346" t="s">
        <v>1079</v>
      </c>
      <c r="C110" s="356" t="s">
        <v>612</v>
      </c>
      <c r="D110" s="356"/>
      <c r="E110" s="378"/>
      <c r="F110" s="378" t="s">
        <v>1080</v>
      </c>
      <c r="G110" s="118">
        <v>17945</v>
      </c>
      <c r="H110" s="118"/>
      <c r="I110" s="118">
        <f>+G110-K110</f>
        <v>11200</v>
      </c>
      <c r="J110" s="118"/>
      <c r="K110" s="118">
        <v>6745</v>
      </c>
      <c r="L110" s="118">
        <f>14700+3216</f>
        <v>17916</v>
      </c>
      <c r="M110" s="118"/>
      <c r="N110" s="118">
        <f>+L110-O110</f>
        <v>11200</v>
      </c>
      <c r="O110" s="118">
        <f>3500+3216</f>
        <v>6716</v>
      </c>
      <c r="P110" s="118">
        <f>14700+3216</f>
        <v>17916</v>
      </c>
      <c r="Q110" s="118"/>
      <c r="R110" s="118">
        <f>+P110-S110</f>
        <v>11200</v>
      </c>
      <c r="S110" s="118">
        <f>3500+3216</f>
        <v>6716</v>
      </c>
      <c r="T110" s="118">
        <f>SUM(U110:X110)</f>
        <v>3216</v>
      </c>
      <c r="U110" s="118"/>
      <c r="V110" s="118"/>
      <c r="W110" s="118"/>
      <c r="X110" s="118">
        <v>3216</v>
      </c>
      <c r="Y110" s="118">
        <f>SUM(Z110:AC110)</f>
        <v>3216</v>
      </c>
      <c r="Z110" s="118"/>
      <c r="AA110" s="118"/>
      <c r="AB110" s="118"/>
      <c r="AC110" s="118">
        <v>3216</v>
      </c>
      <c r="AD110" s="357">
        <f t="shared" si="5"/>
        <v>1</v>
      </c>
      <c r="AE110" s="357"/>
      <c r="AF110" s="357"/>
      <c r="AG110" s="357"/>
      <c r="AH110" s="357">
        <f>AC110/X110</f>
        <v>1</v>
      </c>
    </row>
    <row r="111" spans="1:34" ht="47.25">
      <c r="A111" s="356" t="s">
        <v>29</v>
      </c>
      <c r="B111" s="346" t="s">
        <v>403</v>
      </c>
      <c r="C111" s="356" t="s">
        <v>321</v>
      </c>
      <c r="D111" s="356"/>
      <c r="E111" s="378" t="s">
        <v>235</v>
      </c>
      <c r="F111" s="378" t="s">
        <v>404</v>
      </c>
      <c r="G111" s="118">
        <v>230767</v>
      </c>
      <c r="H111" s="118"/>
      <c r="I111" s="118">
        <v>223346</v>
      </c>
      <c r="J111" s="118"/>
      <c r="K111" s="118">
        <v>7421</v>
      </c>
      <c r="L111" s="118">
        <v>67421</v>
      </c>
      <c r="M111" s="118"/>
      <c r="N111" s="118">
        <v>60000</v>
      </c>
      <c r="O111" s="118">
        <v>7421</v>
      </c>
      <c r="P111" s="118">
        <v>67421</v>
      </c>
      <c r="Q111" s="118"/>
      <c r="R111" s="118">
        <v>60000</v>
      </c>
      <c r="S111" s="118">
        <v>7421</v>
      </c>
      <c r="T111" s="118">
        <f>12000+62.462672</f>
        <v>12062.462672</v>
      </c>
      <c r="U111" s="118"/>
      <c r="V111" s="118">
        <v>12000</v>
      </c>
      <c r="W111" s="118"/>
      <c r="X111" s="118">
        <f>T111-V111</f>
        <v>62.462671999999657</v>
      </c>
      <c r="Y111" s="118">
        <v>11928.262672000001</v>
      </c>
      <c r="Z111" s="118"/>
      <c r="AA111" s="118">
        <v>11865.8</v>
      </c>
      <c r="AB111" s="118"/>
      <c r="AC111" s="118">
        <v>62.462672000001476</v>
      </c>
      <c r="AD111" s="357">
        <f t="shared" si="5"/>
        <v>0.98887457697079462</v>
      </c>
      <c r="AE111" s="357"/>
      <c r="AF111" s="357"/>
      <c r="AG111" s="357"/>
      <c r="AH111" s="357">
        <f>AC111/X111</f>
        <v>1.0000000000000291</v>
      </c>
    </row>
    <row r="112" spans="1:34" ht="31.5">
      <c r="A112" s="356" t="s">
        <v>29</v>
      </c>
      <c r="B112" s="346" t="s">
        <v>405</v>
      </c>
      <c r="C112" s="356" t="s">
        <v>374</v>
      </c>
      <c r="D112" s="356"/>
      <c r="E112" s="378" t="s">
        <v>235</v>
      </c>
      <c r="F112" s="378" t="s">
        <v>406</v>
      </c>
      <c r="G112" s="118">
        <v>26290</v>
      </c>
      <c r="H112" s="118"/>
      <c r="I112" s="118"/>
      <c r="J112" s="118"/>
      <c r="K112" s="118">
        <v>26290</v>
      </c>
      <c r="L112" s="118">
        <v>21941</v>
      </c>
      <c r="M112" s="118"/>
      <c r="N112" s="118"/>
      <c r="O112" s="118">
        <v>21941</v>
      </c>
      <c r="P112" s="118">
        <v>21941</v>
      </c>
      <c r="Q112" s="118"/>
      <c r="R112" s="118"/>
      <c r="S112" s="118">
        <v>21941</v>
      </c>
      <c r="T112" s="118">
        <v>2000</v>
      </c>
      <c r="U112" s="118"/>
      <c r="V112" s="118"/>
      <c r="W112" s="118"/>
      <c r="X112" s="118">
        <v>2000</v>
      </c>
      <c r="Y112" s="118">
        <v>1894.23</v>
      </c>
      <c r="Z112" s="118"/>
      <c r="AA112" s="118"/>
      <c r="AB112" s="118"/>
      <c r="AC112" s="118">
        <v>1894.23</v>
      </c>
      <c r="AD112" s="357">
        <f t="shared" si="5"/>
        <v>0.94711500000000004</v>
      </c>
      <c r="AE112" s="357"/>
      <c r="AF112" s="357"/>
      <c r="AG112" s="357"/>
      <c r="AH112" s="357">
        <f>AC112/X112</f>
        <v>0.94711500000000004</v>
      </c>
    </row>
    <row r="113" spans="1:34" ht="47.25">
      <c r="A113" s="356" t="s">
        <v>29</v>
      </c>
      <c r="B113" s="346" t="s">
        <v>407</v>
      </c>
      <c r="C113" s="356" t="s">
        <v>408</v>
      </c>
      <c r="D113" s="356"/>
      <c r="E113" s="378" t="s">
        <v>375</v>
      </c>
      <c r="F113" s="378" t="s">
        <v>409</v>
      </c>
      <c r="G113" s="118">
        <v>31776</v>
      </c>
      <c r="H113" s="118"/>
      <c r="I113" s="118">
        <v>31776</v>
      </c>
      <c r="J113" s="118"/>
      <c r="K113" s="118"/>
      <c r="L113" s="118">
        <v>13000</v>
      </c>
      <c r="M113" s="118"/>
      <c r="N113" s="118">
        <v>13000</v>
      </c>
      <c r="O113" s="118"/>
      <c r="P113" s="118">
        <v>11000</v>
      </c>
      <c r="Q113" s="118"/>
      <c r="R113" s="118">
        <v>11000</v>
      </c>
      <c r="S113" s="118"/>
      <c r="T113" s="118">
        <v>2000</v>
      </c>
      <c r="U113" s="118"/>
      <c r="V113" s="118">
        <v>2000</v>
      </c>
      <c r="W113" s="118"/>
      <c r="X113" s="118"/>
      <c r="Y113" s="118">
        <v>1937.58</v>
      </c>
      <c r="Z113" s="118"/>
      <c r="AA113" s="118">
        <v>1937.58</v>
      </c>
      <c r="AB113" s="118"/>
      <c r="AC113" s="118"/>
      <c r="AD113" s="357">
        <f t="shared" si="5"/>
        <v>0.96878999999999993</v>
      </c>
      <c r="AE113" s="357"/>
      <c r="AF113" s="357">
        <f t="shared" si="6"/>
        <v>0.96878999999999993</v>
      </c>
      <c r="AG113" s="357"/>
      <c r="AH113" s="357"/>
    </row>
    <row r="114" spans="1:34" ht="47.25">
      <c r="A114" s="356" t="s">
        <v>29</v>
      </c>
      <c r="B114" s="346" t="s">
        <v>410</v>
      </c>
      <c r="C114" s="356" t="s">
        <v>411</v>
      </c>
      <c r="D114" s="356"/>
      <c r="E114" s="378" t="s">
        <v>390</v>
      </c>
      <c r="F114" s="378" t="s">
        <v>412</v>
      </c>
      <c r="G114" s="118">
        <v>4000</v>
      </c>
      <c r="H114" s="118"/>
      <c r="I114" s="118"/>
      <c r="J114" s="118"/>
      <c r="K114" s="118">
        <v>4000</v>
      </c>
      <c r="L114" s="118">
        <v>3898</v>
      </c>
      <c r="M114" s="118"/>
      <c r="N114" s="118"/>
      <c r="O114" s="118">
        <v>3898</v>
      </c>
      <c r="P114" s="118">
        <v>3898</v>
      </c>
      <c r="Q114" s="118"/>
      <c r="R114" s="118"/>
      <c r="S114" s="118">
        <v>3898</v>
      </c>
      <c r="T114" s="118">
        <v>1100</v>
      </c>
      <c r="U114" s="118"/>
      <c r="V114" s="118"/>
      <c r="W114" s="118"/>
      <c r="X114" s="118">
        <v>1100</v>
      </c>
      <c r="Y114" s="118">
        <v>1100</v>
      </c>
      <c r="Z114" s="118"/>
      <c r="AA114" s="118"/>
      <c r="AB114" s="118"/>
      <c r="AC114" s="118">
        <v>1100</v>
      </c>
      <c r="AD114" s="357">
        <f t="shared" si="5"/>
        <v>1</v>
      </c>
      <c r="AE114" s="357"/>
      <c r="AF114" s="357"/>
      <c r="AG114" s="357"/>
      <c r="AH114" s="357">
        <f>AC114/X114</f>
        <v>1</v>
      </c>
    </row>
    <row r="115" spans="1:34" ht="47.25">
      <c r="A115" s="356" t="s">
        <v>29</v>
      </c>
      <c r="B115" s="346" t="s">
        <v>413</v>
      </c>
      <c r="C115" s="356" t="s">
        <v>273</v>
      </c>
      <c r="D115" s="356"/>
      <c r="E115" s="378" t="s">
        <v>390</v>
      </c>
      <c r="F115" s="378" t="s">
        <v>414</v>
      </c>
      <c r="G115" s="118">
        <v>3668</v>
      </c>
      <c r="H115" s="118"/>
      <c r="I115" s="118"/>
      <c r="J115" s="118"/>
      <c r="K115" s="118">
        <v>3668</v>
      </c>
      <c r="L115" s="118">
        <v>3438</v>
      </c>
      <c r="M115" s="118"/>
      <c r="N115" s="118"/>
      <c r="O115" s="118">
        <v>3438</v>
      </c>
      <c r="P115" s="118">
        <v>3438</v>
      </c>
      <c r="Q115" s="118"/>
      <c r="R115" s="118"/>
      <c r="S115" s="118">
        <v>3438</v>
      </c>
      <c r="T115" s="118">
        <v>223.25165000000001</v>
      </c>
      <c r="U115" s="118"/>
      <c r="V115" s="118"/>
      <c r="W115" s="118"/>
      <c r="X115" s="118">
        <v>223.25165000000001</v>
      </c>
      <c r="Y115" s="118">
        <v>223.25165000000001</v>
      </c>
      <c r="Z115" s="118"/>
      <c r="AA115" s="118"/>
      <c r="AB115" s="118"/>
      <c r="AC115" s="118">
        <v>223.25165000000001</v>
      </c>
      <c r="AD115" s="357">
        <f t="shared" si="5"/>
        <v>1</v>
      </c>
      <c r="AE115" s="357"/>
      <c r="AF115" s="357"/>
      <c r="AG115" s="357"/>
      <c r="AH115" s="357">
        <f>AC115/X115</f>
        <v>1</v>
      </c>
    </row>
    <row r="116" spans="1:34" ht="47.25">
      <c r="A116" s="356" t="s">
        <v>29</v>
      </c>
      <c r="B116" s="346" t="s">
        <v>415</v>
      </c>
      <c r="C116" s="356" t="s">
        <v>225</v>
      </c>
      <c r="D116" s="356"/>
      <c r="E116" s="378"/>
      <c r="F116" s="378"/>
      <c r="G116" s="118">
        <v>9419.4</v>
      </c>
      <c r="H116" s="118"/>
      <c r="I116" s="118"/>
      <c r="J116" s="118"/>
      <c r="K116" s="118">
        <v>9419.4</v>
      </c>
      <c r="L116" s="118"/>
      <c r="M116" s="118"/>
      <c r="N116" s="118"/>
      <c r="O116" s="118"/>
      <c r="P116" s="118"/>
      <c r="Q116" s="118"/>
      <c r="R116" s="118"/>
      <c r="S116" s="118"/>
      <c r="T116" s="118">
        <v>1299.6290289999999</v>
      </c>
      <c r="U116" s="118"/>
      <c r="V116" s="118"/>
      <c r="W116" s="118"/>
      <c r="X116" s="118">
        <v>1299.6290289999999</v>
      </c>
      <c r="Y116" s="118">
        <v>130.054</v>
      </c>
      <c r="Z116" s="118"/>
      <c r="AA116" s="118"/>
      <c r="AB116" s="118"/>
      <c r="AC116" s="118">
        <v>130.054</v>
      </c>
      <c r="AD116" s="357">
        <f t="shared" si="5"/>
        <v>0.10007009469469154</v>
      </c>
      <c r="AE116" s="357"/>
      <c r="AF116" s="357"/>
      <c r="AG116" s="357"/>
      <c r="AH116" s="357">
        <f>AC116/X116</f>
        <v>0.10007009469469154</v>
      </c>
    </row>
    <row r="117" spans="1:34" ht="47.25">
      <c r="A117" s="356" t="s">
        <v>29</v>
      </c>
      <c r="B117" s="346" t="s">
        <v>416</v>
      </c>
      <c r="C117" s="356" t="s">
        <v>417</v>
      </c>
      <c r="D117" s="356"/>
      <c r="E117" s="378" t="s">
        <v>293</v>
      </c>
      <c r="F117" s="378" t="s">
        <v>418</v>
      </c>
      <c r="G117" s="118">
        <v>4453</v>
      </c>
      <c r="H117" s="118"/>
      <c r="I117" s="118"/>
      <c r="J117" s="118"/>
      <c r="K117" s="118">
        <v>4453</v>
      </c>
      <c r="L117" s="118">
        <v>4220</v>
      </c>
      <c r="M117" s="118"/>
      <c r="N117" s="118"/>
      <c r="O117" s="118">
        <v>4220</v>
      </c>
      <c r="P117" s="118">
        <v>3500</v>
      </c>
      <c r="Q117" s="118"/>
      <c r="R117" s="118"/>
      <c r="S117" s="118">
        <v>3500</v>
      </c>
      <c r="T117" s="118">
        <v>2072.6</v>
      </c>
      <c r="U117" s="118"/>
      <c r="V117" s="118"/>
      <c r="W117" s="118"/>
      <c r="X117" s="118">
        <v>2072.6</v>
      </c>
      <c r="Y117" s="118">
        <v>2072.6</v>
      </c>
      <c r="Z117" s="118"/>
      <c r="AA117" s="118"/>
      <c r="AB117" s="118"/>
      <c r="AC117" s="118">
        <v>2072.6</v>
      </c>
      <c r="AD117" s="357">
        <f t="shared" si="5"/>
        <v>1</v>
      </c>
      <c r="AE117" s="357"/>
      <c r="AF117" s="357"/>
      <c r="AG117" s="357"/>
      <c r="AH117" s="357">
        <f>AC117/X117</f>
        <v>1</v>
      </c>
    </row>
    <row r="118" spans="1:34" ht="47.25">
      <c r="A118" s="356" t="s">
        <v>29</v>
      </c>
      <c r="B118" s="346" t="s">
        <v>419</v>
      </c>
      <c r="C118" s="356"/>
      <c r="D118" s="356"/>
      <c r="E118" s="378"/>
      <c r="F118" s="378"/>
      <c r="G118" s="118">
        <v>1783.025979</v>
      </c>
      <c r="H118" s="118"/>
      <c r="I118" s="118"/>
      <c r="J118" s="118"/>
      <c r="K118" s="118">
        <v>1783.025979</v>
      </c>
      <c r="L118" s="118"/>
      <c r="M118" s="118"/>
      <c r="N118" s="118"/>
      <c r="O118" s="118"/>
      <c r="P118" s="118"/>
      <c r="Q118" s="118"/>
      <c r="R118" s="118"/>
      <c r="S118" s="118"/>
      <c r="T118" s="118">
        <v>21.160799999999998</v>
      </c>
      <c r="U118" s="118"/>
      <c r="V118" s="118"/>
      <c r="W118" s="118"/>
      <c r="X118" s="118">
        <v>21.160799999999998</v>
      </c>
      <c r="Y118" s="118">
        <v>0</v>
      </c>
      <c r="Z118" s="118"/>
      <c r="AA118" s="118"/>
      <c r="AB118" s="118"/>
      <c r="AC118" s="118"/>
      <c r="AD118" s="357">
        <f t="shared" si="5"/>
        <v>0</v>
      </c>
      <c r="AE118" s="357"/>
      <c r="AF118" s="357"/>
      <c r="AG118" s="357"/>
      <c r="AH118" s="357">
        <f>AC118/X118</f>
        <v>0</v>
      </c>
    </row>
    <row r="119" spans="1:34" s="355" customFormat="1">
      <c r="A119" s="343">
        <v>25</v>
      </c>
      <c r="B119" s="344" t="s">
        <v>163</v>
      </c>
      <c r="C119" s="343"/>
      <c r="D119" s="343"/>
      <c r="E119" s="366"/>
      <c r="F119" s="366"/>
      <c r="G119" s="354"/>
      <c r="H119" s="354"/>
      <c r="I119" s="354"/>
      <c r="J119" s="354"/>
      <c r="K119" s="354"/>
      <c r="L119" s="354"/>
      <c r="M119" s="354"/>
      <c r="N119" s="354"/>
      <c r="O119" s="354"/>
      <c r="P119" s="354"/>
      <c r="Q119" s="354"/>
      <c r="R119" s="354"/>
      <c r="S119" s="354"/>
      <c r="T119" s="354"/>
      <c r="U119" s="354"/>
      <c r="V119" s="354"/>
      <c r="W119" s="354"/>
      <c r="X119" s="354"/>
      <c r="Y119" s="354"/>
      <c r="Z119" s="354"/>
      <c r="AA119" s="354"/>
      <c r="AB119" s="354"/>
      <c r="AC119" s="354"/>
      <c r="AD119" s="357"/>
      <c r="AE119" s="357"/>
      <c r="AF119" s="357"/>
      <c r="AG119" s="357"/>
      <c r="AH119" s="357"/>
    </row>
    <row r="120" spans="1:34" ht="47.25">
      <c r="A120" s="356" t="s">
        <v>29</v>
      </c>
      <c r="B120" s="346" t="s">
        <v>420</v>
      </c>
      <c r="C120" s="356" t="s">
        <v>225</v>
      </c>
      <c r="D120" s="356"/>
      <c r="E120" s="378" t="s">
        <v>375</v>
      </c>
      <c r="F120" s="378" t="s">
        <v>421</v>
      </c>
      <c r="G120" s="118">
        <v>7402</v>
      </c>
      <c r="H120" s="118"/>
      <c r="I120" s="118"/>
      <c r="J120" s="118"/>
      <c r="K120" s="118">
        <v>7402</v>
      </c>
      <c r="L120" s="118">
        <v>7085</v>
      </c>
      <c r="M120" s="118"/>
      <c r="N120" s="118"/>
      <c r="O120" s="118">
        <v>7085</v>
      </c>
      <c r="P120" s="118">
        <v>7085</v>
      </c>
      <c r="Q120" s="118"/>
      <c r="R120" s="118"/>
      <c r="S120" s="118">
        <v>7085</v>
      </c>
      <c r="T120" s="118">
        <v>2085</v>
      </c>
      <c r="U120" s="118"/>
      <c r="V120" s="118"/>
      <c r="W120" s="118"/>
      <c r="X120" s="118">
        <v>2085</v>
      </c>
      <c r="Y120" s="118">
        <v>2085</v>
      </c>
      <c r="Z120" s="118"/>
      <c r="AA120" s="118"/>
      <c r="AB120" s="118"/>
      <c r="AC120" s="118">
        <v>2085</v>
      </c>
      <c r="AD120" s="357">
        <f t="shared" si="5"/>
        <v>1</v>
      </c>
      <c r="AE120" s="357"/>
      <c r="AF120" s="357"/>
      <c r="AG120" s="357"/>
      <c r="AH120" s="357">
        <f>AC120/X120</f>
        <v>1</v>
      </c>
    </row>
    <row r="121" spans="1:34" ht="31.5">
      <c r="A121" s="356" t="s">
        <v>29</v>
      </c>
      <c r="B121" s="346" t="s">
        <v>422</v>
      </c>
      <c r="C121" s="356" t="s">
        <v>225</v>
      </c>
      <c r="D121" s="356"/>
      <c r="E121" s="378" t="s">
        <v>375</v>
      </c>
      <c r="F121" s="378" t="s">
        <v>423</v>
      </c>
      <c r="G121" s="118">
        <v>2530</v>
      </c>
      <c r="H121" s="118"/>
      <c r="I121" s="118"/>
      <c r="J121" s="118"/>
      <c r="K121" s="118">
        <v>2530</v>
      </c>
      <c r="L121" s="118">
        <v>2346</v>
      </c>
      <c r="M121" s="118"/>
      <c r="N121" s="118"/>
      <c r="O121" s="118">
        <v>2346</v>
      </c>
      <c r="P121" s="118">
        <v>2347</v>
      </c>
      <c r="Q121" s="118"/>
      <c r="R121" s="118"/>
      <c r="S121" s="118">
        <v>2347</v>
      </c>
      <c r="T121" s="118">
        <v>76.349999999999994</v>
      </c>
      <c r="U121" s="118"/>
      <c r="V121" s="118"/>
      <c r="W121" s="118"/>
      <c r="X121" s="118">
        <v>76.349999999999994</v>
      </c>
      <c r="Y121" s="118">
        <v>13.206</v>
      </c>
      <c r="Z121" s="118"/>
      <c r="AA121" s="118"/>
      <c r="AB121" s="118"/>
      <c r="AC121" s="118">
        <v>13.206</v>
      </c>
      <c r="AD121" s="357">
        <f t="shared" si="5"/>
        <v>0.17296660117878193</v>
      </c>
      <c r="AE121" s="357"/>
      <c r="AF121" s="357"/>
      <c r="AG121" s="357"/>
      <c r="AH121" s="357">
        <f>AC121/X121</f>
        <v>0.17296660117878193</v>
      </c>
    </row>
    <row r="122" spans="1:34" s="355" customFormat="1" ht="31.5">
      <c r="A122" s="343">
        <v>26</v>
      </c>
      <c r="B122" s="344" t="s">
        <v>164</v>
      </c>
      <c r="C122" s="343"/>
      <c r="D122" s="343"/>
      <c r="E122" s="366"/>
      <c r="F122" s="366"/>
      <c r="G122" s="354"/>
      <c r="H122" s="354"/>
      <c r="I122" s="354"/>
      <c r="J122" s="354"/>
      <c r="K122" s="354"/>
      <c r="L122" s="354"/>
      <c r="M122" s="354"/>
      <c r="N122" s="354"/>
      <c r="O122" s="354"/>
      <c r="P122" s="354"/>
      <c r="Q122" s="354"/>
      <c r="R122" s="354"/>
      <c r="S122" s="354"/>
      <c r="T122" s="354"/>
      <c r="U122" s="354"/>
      <c r="V122" s="354"/>
      <c r="W122" s="354"/>
      <c r="X122" s="354"/>
      <c r="Y122" s="354"/>
      <c r="Z122" s="354"/>
      <c r="AA122" s="354"/>
      <c r="AB122" s="354"/>
      <c r="AC122" s="354"/>
      <c r="AD122" s="357"/>
      <c r="AE122" s="357"/>
      <c r="AF122" s="357"/>
      <c r="AG122" s="357"/>
      <c r="AH122" s="357"/>
    </row>
    <row r="123" spans="1:34" ht="31.5">
      <c r="A123" s="356" t="s">
        <v>29</v>
      </c>
      <c r="B123" s="346" t="s">
        <v>424</v>
      </c>
      <c r="C123" s="356" t="s">
        <v>273</v>
      </c>
      <c r="D123" s="356"/>
      <c r="E123" s="378" t="s">
        <v>226</v>
      </c>
      <c r="F123" s="378" t="s">
        <v>425</v>
      </c>
      <c r="G123" s="118">
        <v>39814</v>
      </c>
      <c r="H123" s="118"/>
      <c r="I123" s="118"/>
      <c r="J123" s="118"/>
      <c r="K123" s="118">
        <v>20000</v>
      </c>
      <c r="L123" s="118">
        <v>36631</v>
      </c>
      <c r="M123" s="118"/>
      <c r="N123" s="118"/>
      <c r="O123" s="118">
        <v>20000</v>
      </c>
      <c r="P123" s="118">
        <v>20000</v>
      </c>
      <c r="Q123" s="118"/>
      <c r="R123" s="118"/>
      <c r="S123" s="118">
        <v>20000</v>
      </c>
      <c r="T123" s="118">
        <v>20000</v>
      </c>
      <c r="U123" s="118"/>
      <c r="V123" s="118"/>
      <c r="W123" s="118"/>
      <c r="X123" s="118">
        <v>20000</v>
      </c>
      <c r="Y123" s="118">
        <v>1935.2750000000001</v>
      </c>
      <c r="Z123" s="118"/>
      <c r="AA123" s="118"/>
      <c r="AB123" s="118"/>
      <c r="AC123" s="118">
        <v>1935.2750000000001</v>
      </c>
      <c r="AD123" s="357">
        <f t="shared" si="5"/>
        <v>9.6763750000000009E-2</v>
      </c>
      <c r="AE123" s="357"/>
      <c r="AF123" s="357"/>
      <c r="AG123" s="357"/>
      <c r="AH123" s="357">
        <f>AC123/X123</f>
        <v>9.6763750000000009E-2</v>
      </c>
    </row>
    <row r="124" spans="1:34" ht="47.25">
      <c r="A124" s="356" t="s">
        <v>29</v>
      </c>
      <c r="B124" s="346" t="s">
        <v>426</v>
      </c>
      <c r="C124" s="356" t="s">
        <v>273</v>
      </c>
      <c r="D124" s="356"/>
      <c r="E124" s="378" t="s">
        <v>241</v>
      </c>
      <c r="F124" s="378" t="s">
        <v>427</v>
      </c>
      <c r="G124" s="118">
        <v>2376</v>
      </c>
      <c r="H124" s="118"/>
      <c r="I124" s="118"/>
      <c r="J124" s="118"/>
      <c r="K124" s="118">
        <v>2376</v>
      </c>
      <c r="L124" s="118">
        <v>2072</v>
      </c>
      <c r="M124" s="118"/>
      <c r="N124" s="118"/>
      <c r="O124" s="118">
        <v>2072</v>
      </c>
      <c r="P124" s="118">
        <v>1891</v>
      </c>
      <c r="Q124" s="118"/>
      <c r="R124" s="118"/>
      <c r="S124" s="118">
        <v>1891</v>
      </c>
      <c r="T124" s="118">
        <v>784</v>
      </c>
      <c r="U124" s="118"/>
      <c r="V124" s="118"/>
      <c r="W124" s="118"/>
      <c r="X124" s="118">
        <v>784</v>
      </c>
      <c r="Y124" s="118">
        <v>776.58</v>
      </c>
      <c r="Z124" s="118"/>
      <c r="AA124" s="118"/>
      <c r="AB124" s="118"/>
      <c r="AC124" s="118">
        <v>776.58</v>
      </c>
      <c r="AD124" s="357">
        <f t="shared" si="5"/>
        <v>0.9905357142857143</v>
      </c>
      <c r="AE124" s="357"/>
      <c r="AF124" s="357"/>
      <c r="AG124" s="357"/>
      <c r="AH124" s="357">
        <f>AC124/X124</f>
        <v>0.9905357142857143</v>
      </c>
    </row>
    <row r="125" spans="1:34" ht="31.5">
      <c r="A125" s="356" t="s">
        <v>29</v>
      </c>
      <c r="B125" s="346" t="s">
        <v>428</v>
      </c>
      <c r="C125" s="356" t="s">
        <v>273</v>
      </c>
      <c r="D125" s="356"/>
      <c r="E125" s="378" t="s">
        <v>226</v>
      </c>
      <c r="F125" s="378" t="s">
        <v>429</v>
      </c>
      <c r="G125" s="118">
        <v>3529</v>
      </c>
      <c r="H125" s="118"/>
      <c r="I125" s="118"/>
      <c r="J125" s="118"/>
      <c r="K125" s="118">
        <v>3529</v>
      </c>
      <c r="L125" s="118">
        <v>3080</v>
      </c>
      <c r="M125" s="118"/>
      <c r="N125" s="118"/>
      <c r="O125" s="118">
        <v>3080</v>
      </c>
      <c r="P125" s="118">
        <v>3000</v>
      </c>
      <c r="Q125" s="118"/>
      <c r="R125" s="118"/>
      <c r="S125" s="118">
        <v>3000</v>
      </c>
      <c r="T125" s="118">
        <v>3000</v>
      </c>
      <c r="U125" s="118"/>
      <c r="V125" s="118"/>
      <c r="W125" s="118"/>
      <c r="X125" s="118">
        <v>3000</v>
      </c>
      <c r="Y125" s="118">
        <v>2792.0075000000002</v>
      </c>
      <c r="Z125" s="118"/>
      <c r="AA125" s="118"/>
      <c r="AB125" s="118"/>
      <c r="AC125" s="118">
        <v>2792.0075000000002</v>
      </c>
      <c r="AD125" s="357">
        <f t="shared" si="5"/>
        <v>0.93066916666666677</v>
      </c>
      <c r="AE125" s="357"/>
      <c r="AF125" s="357"/>
      <c r="AG125" s="357"/>
      <c r="AH125" s="357">
        <f>AC125/X125</f>
        <v>0.93066916666666677</v>
      </c>
    </row>
    <row r="126" spans="1:34" s="355" customFormat="1">
      <c r="A126" s="343">
        <v>27</v>
      </c>
      <c r="B126" s="344" t="s">
        <v>165</v>
      </c>
      <c r="C126" s="343"/>
      <c r="D126" s="343"/>
      <c r="E126" s="366"/>
      <c r="F126" s="366"/>
      <c r="G126" s="354"/>
      <c r="H126" s="354"/>
      <c r="I126" s="354"/>
      <c r="J126" s="354"/>
      <c r="K126" s="354"/>
      <c r="L126" s="354"/>
      <c r="M126" s="354"/>
      <c r="N126" s="354"/>
      <c r="O126" s="354"/>
      <c r="P126" s="354"/>
      <c r="Q126" s="354"/>
      <c r="R126" s="354"/>
      <c r="S126" s="354"/>
      <c r="T126" s="354"/>
      <c r="U126" s="354"/>
      <c r="V126" s="354"/>
      <c r="W126" s="354"/>
      <c r="X126" s="354"/>
      <c r="Y126" s="354"/>
      <c r="Z126" s="354"/>
      <c r="AA126" s="354"/>
      <c r="AB126" s="354"/>
      <c r="AC126" s="354"/>
      <c r="AD126" s="357"/>
      <c r="AE126" s="357"/>
      <c r="AF126" s="357"/>
      <c r="AG126" s="357"/>
      <c r="AH126" s="357"/>
    </row>
    <row r="127" spans="1:34" ht="63">
      <c r="A127" s="356" t="s">
        <v>29</v>
      </c>
      <c r="B127" s="346" t="s">
        <v>430</v>
      </c>
      <c r="C127" s="356" t="s">
        <v>225</v>
      </c>
      <c r="D127" s="356"/>
      <c r="E127" s="378" t="s">
        <v>302</v>
      </c>
      <c r="F127" s="378" t="s">
        <v>431</v>
      </c>
      <c r="G127" s="118">
        <v>4015</v>
      </c>
      <c r="H127" s="118"/>
      <c r="I127" s="118"/>
      <c r="J127" s="118"/>
      <c r="K127" s="118">
        <v>4015</v>
      </c>
      <c r="L127" s="118">
        <v>628</v>
      </c>
      <c r="M127" s="118"/>
      <c r="N127" s="118"/>
      <c r="O127" s="118">
        <v>628</v>
      </c>
      <c r="P127" s="118">
        <v>1300</v>
      </c>
      <c r="Q127" s="118"/>
      <c r="R127" s="118"/>
      <c r="S127" s="118">
        <v>628</v>
      </c>
      <c r="T127" s="118">
        <v>1300</v>
      </c>
      <c r="U127" s="118"/>
      <c r="V127" s="118"/>
      <c r="W127" s="118"/>
      <c r="X127" s="118">
        <v>1300</v>
      </c>
      <c r="Y127" s="118">
        <v>600</v>
      </c>
      <c r="Z127" s="118"/>
      <c r="AA127" s="118"/>
      <c r="AB127" s="118"/>
      <c r="AC127" s="118">
        <v>600</v>
      </c>
      <c r="AD127" s="357">
        <f t="shared" si="5"/>
        <v>0.46153846153846156</v>
      </c>
      <c r="AE127" s="357"/>
      <c r="AF127" s="357"/>
      <c r="AG127" s="357"/>
      <c r="AH127" s="357">
        <f>AC127/X127</f>
        <v>0.46153846153846156</v>
      </c>
    </row>
    <row r="128" spans="1:34" s="355" customFormat="1" ht="31.5">
      <c r="A128" s="343">
        <v>28</v>
      </c>
      <c r="B128" s="344" t="s">
        <v>166</v>
      </c>
      <c r="C128" s="343"/>
      <c r="D128" s="343"/>
      <c r="E128" s="366"/>
      <c r="F128" s="366"/>
      <c r="G128" s="354"/>
      <c r="H128" s="354"/>
      <c r="I128" s="354"/>
      <c r="J128" s="354"/>
      <c r="K128" s="354"/>
      <c r="L128" s="354"/>
      <c r="M128" s="354"/>
      <c r="N128" s="354"/>
      <c r="O128" s="354"/>
      <c r="P128" s="354"/>
      <c r="Q128" s="354"/>
      <c r="R128" s="354"/>
      <c r="S128" s="354"/>
      <c r="T128" s="354"/>
      <c r="U128" s="354"/>
      <c r="V128" s="354"/>
      <c r="W128" s="354"/>
      <c r="X128" s="354"/>
      <c r="Y128" s="354"/>
      <c r="Z128" s="354"/>
      <c r="AA128" s="354"/>
      <c r="AB128" s="354"/>
      <c r="AC128" s="354"/>
      <c r="AD128" s="357"/>
      <c r="AE128" s="357"/>
      <c r="AF128" s="357"/>
      <c r="AG128" s="357"/>
      <c r="AH128" s="357"/>
    </row>
    <row r="129" spans="1:34" ht="63">
      <c r="A129" s="356" t="s">
        <v>29</v>
      </c>
      <c r="B129" s="346" t="s">
        <v>432</v>
      </c>
      <c r="C129" s="356" t="s">
        <v>408</v>
      </c>
      <c r="D129" s="356"/>
      <c r="E129" s="378" t="s">
        <v>433</v>
      </c>
      <c r="F129" s="378" t="s">
        <v>434</v>
      </c>
      <c r="G129" s="118">
        <v>232150</v>
      </c>
      <c r="H129" s="118">
        <v>205000</v>
      </c>
      <c r="I129" s="118"/>
      <c r="J129" s="118"/>
      <c r="K129" s="118">
        <v>27150</v>
      </c>
      <c r="L129" s="118">
        <v>4697</v>
      </c>
      <c r="M129" s="118"/>
      <c r="N129" s="118"/>
      <c r="O129" s="118">
        <v>4697</v>
      </c>
      <c r="P129" s="118">
        <v>40000</v>
      </c>
      <c r="Q129" s="118">
        <v>26000</v>
      </c>
      <c r="R129" s="118"/>
      <c r="S129" s="118">
        <v>14000</v>
      </c>
      <c r="T129" s="118">
        <v>40000</v>
      </c>
      <c r="U129" s="118">
        <v>26000</v>
      </c>
      <c r="V129" s="118"/>
      <c r="W129" s="118"/>
      <c r="X129" s="118">
        <v>14000</v>
      </c>
      <c r="Y129" s="118">
        <v>784.08500000000004</v>
      </c>
      <c r="Z129" s="118"/>
      <c r="AA129" s="118"/>
      <c r="AB129" s="118"/>
      <c r="AC129" s="118">
        <v>784.08500000000004</v>
      </c>
      <c r="AD129" s="357">
        <f t="shared" si="5"/>
        <v>1.9602125000000001E-2</v>
      </c>
      <c r="AE129" s="357">
        <f t="shared" si="5"/>
        <v>0</v>
      </c>
      <c r="AF129" s="357"/>
      <c r="AG129" s="357"/>
      <c r="AH129" s="357">
        <f>AC129/X129</f>
        <v>5.6006071428571433E-2</v>
      </c>
    </row>
    <row r="130" spans="1:34" ht="63">
      <c r="A130" s="356" t="s">
        <v>29</v>
      </c>
      <c r="B130" s="346" t="s">
        <v>435</v>
      </c>
      <c r="C130" s="356" t="s">
        <v>296</v>
      </c>
      <c r="D130" s="356"/>
      <c r="E130" s="378">
        <v>2017</v>
      </c>
      <c r="F130" s="378" t="s">
        <v>402</v>
      </c>
      <c r="G130" s="118">
        <v>100000</v>
      </c>
      <c r="H130" s="118"/>
      <c r="I130" s="118"/>
      <c r="J130" s="118"/>
      <c r="K130" s="118">
        <v>100000</v>
      </c>
      <c r="L130" s="118">
        <v>361</v>
      </c>
      <c r="M130" s="118"/>
      <c r="N130" s="118"/>
      <c r="O130" s="118">
        <v>361</v>
      </c>
      <c r="P130" s="118">
        <v>20000</v>
      </c>
      <c r="Q130" s="118"/>
      <c r="R130" s="118"/>
      <c r="S130" s="118">
        <v>20000</v>
      </c>
      <c r="T130" s="118">
        <v>20000</v>
      </c>
      <c r="U130" s="118"/>
      <c r="V130" s="118"/>
      <c r="W130" s="118"/>
      <c r="X130" s="118">
        <v>20000</v>
      </c>
      <c r="Y130" s="118">
        <v>279.42</v>
      </c>
      <c r="Z130" s="118"/>
      <c r="AA130" s="118"/>
      <c r="AB130" s="118"/>
      <c r="AC130" s="118">
        <v>279.42</v>
      </c>
      <c r="AD130" s="357">
        <f t="shared" si="5"/>
        <v>1.3971000000000001E-2</v>
      </c>
      <c r="AE130" s="357"/>
      <c r="AF130" s="357"/>
      <c r="AG130" s="357"/>
      <c r="AH130" s="357">
        <f>AC130/X130</f>
        <v>1.3971000000000001E-2</v>
      </c>
    </row>
    <row r="131" spans="1:34" ht="31.5">
      <c r="A131" s="356" t="s">
        <v>29</v>
      </c>
      <c r="B131" s="346" t="s">
        <v>436</v>
      </c>
      <c r="C131" s="356" t="s">
        <v>296</v>
      </c>
      <c r="D131" s="356"/>
      <c r="E131" s="378">
        <v>2017</v>
      </c>
      <c r="F131" s="378" t="s">
        <v>437</v>
      </c>
      <c r="G131" s="118">
        <v>34977</v>
      </c>
      <c r="H131" s="118"/>
      <c r="I131" s="118"/>
      <c r="J131" s="118"/>
      <c r="K131" s="118">
        <v>34977</v>
      </c>
      <c r="L131" s="118">
        <v>33914</v>
      </c>
      <c r="M131" s="118"/>
      <c r="N131" s="118"/>
      <c r="O131" s="118">
        <v>33914</v>
      </c>
      <c r="P131" s="118">
        <v>28000</v>
      </c>
      <c r="Q131" s="118"/>
      <c r="R131" s="118"/>
      <c r="S131" s="118">
        <v>28000</v>
      </c>
      <c r="T131" s="118">
        <v>28000</v>
      </c>
      <c r="U131" s="118"/>
      <c r="V131" s="118"/>
      <c r="W131" s="118"/>
      <c r="X131" s="118">
        <v>28000</v>
      </c>
      <c r="Y131" s="118">
        <v>27325.7</v>
      </c>
      <c r="Z131" s="118"/>
      <c r="AA131" s="118"/>
      <c r="AB131" s="118"/>
      <c r="AC131" s="118">
        <v>27325.7</v>
      </c>
      <c r="AD131" s="357">
        <f t="shared" si="5"/>
        <v>0.97591785714285717</v>
      </c>
      <c r="AE131" s="357"/>
      <c r="AF131" s="357"/>
      <c r="AG131" s="357"/>
      <c r="AH131" s="357">
        <f>AC131/X131</f>
        <v>0.97591785714285717</v>
      </c>
    </row>
    <row r="132" spans="1:34" ht="31.5">
      <c r="A132" s="356" t="s">
        <v>29</v>
      </c>
      <c r="B132" s="346" t="s">
        <v>438</v>
      </c>
      <c r="C132" s="356" t="s">
        <v>439</v>
      </c>
      <c r="D132" s="356"/>
      <c r="E132" s="378">
        <v>2017</v>
      </c>
      <c r="F132" s="378" t="s">
        <v>440</v>
      </c>
      <c r="G132" s="118">
        <v>14854</v>
      </c>
      <c r="H132" s="118"/>
      <c r="I132" s="118"/>
      <c r="J132" s="118"/>
      <c r="K132" s="118">
        <v>14854</v>
      </c>
      <c r="L132" s="118">
        <v>14644</v>
      </c>
      <c r="M132" s="118"/>
      <c r="N132" s="118"/>
      <c r="O132" s="118">
        <v>14644</v>
      </c>
      <c r="P132" s="118">
        <v>14641</v>
      </c>
      <c r="Q132" s="118"/>
      <c r="R132" s="118"/>
      <c r="S132" s="118">
        <v>14641</v>
      </c>
      <c r="T132" s="118">
        <v>14640.665999999999</v>
      </c>
      <c r="U132" s="118"/>
      <c r="V132" s="118"/>
      <c r="W132" s="118"/>
      <c r="X132" s="118">
        <v>14640.665999999999</v>
      </c>
      <c r="Y132" s="118">
        <v>14307.741</v>
      </c>
      <c r="Z132" s="118"/>
      <c r="AA132" s="118"/>
      <c r="AB132" s="118"/>
      <c r="AC132" s="118">
        <v>14307.741</v>
      </c>
      <c r="AD132" s="357">
        <f t="shared" si="5"/>
        <v>0.977260255783446</v>
      </c>
      <c r="AE132" s="357"/>
      <c r="AF132" s="357"/>
      <c r="AG132" s="357"/>
      <c r="AH132" s="357">
        <f>AC132/X132</f>
        <v>0.977260255783446</v>
      </c>
    </row>
    <row r="133" spans="1:34" s="355" customFormat="1" ht="31.5">
      <c r="A133" s="343">
        <v>29</v>
      </c>
      <c r="B133" s="344" t="s">
        <v>167</v>
      </c>
      <c r="C133" s="343"/>
      <c r="D133" s="343"/>
      <c r="E133" s="366"/>
      <c r="F133" s="366"/>
      <c r="G133" s="354"/>
      <c r="H133" s="354"/>
      <c r="I133" s="354"/>
      <c r="J133" s="354"/>
      <c r="K133" s="354"/>
      <c r="L133" s="354"/>
      <c r="M133" s="354"/>
      <c r="N133" s="354"/>
      <c r="O133" s="354"/>
      <c r="P133" s="354"/>
      <c r="Q133" s="354"/>
      <c r="R133" s="354"/>
      <c r="S133" s="354"/>
      <c r="T133" s="354"/>
      <c r="U133" s="354"/>
      <c r="V133" s="354"/>
      <c r="W133" s="354"/>
      <c r="X133" s="354"/>
      <c r="Y133" s="354"/>
      <c r="Z133" s="354"/>
      <c r="AA133" s="354"/>
      <c r="AB133" s="354"/>
      <c r="AC133" s="354"/>
      <c r="AD133" s="357"/>
      <c r="AE133" s="357"/>
      <c r="AF133" s="357"/>
      <c r="AG133" s="357"/>
      <c r="AH133" s="357"/>
    </row>
    <row r="134" spans="1:34" ht="31.5">
      <c r="A134" s="356" t="s">
        <v>29</v>
      </c>
      <c r="B134" s="346" t="s">
        <v>441</v>
      </c>
      <c r="C134" s="356" t="s">
        <v>273</v>
      </c>
      <c r="D134" s="356"/>
      <c r="E134" s="378" t="s">
        <v>302</v>
      </c>
      <c r="F134" s="378" t="s">
        <v>442</v>
      </c>
      <c r="G134" s="118">
        <v>24994</v>
      </c>
      <c r="H134" s="118"/>
      <c r="I134" s="118"/>
      <c r="J134" s="118"/>
      <c r="K134" s="118">
        <v>24994</v>
      </c>
      <c r="L134" s="118">
        <v>17939</v>
      </c>
      <c r="M134" s="118"/>
      <c r="N134" s="118"/>
      <c r="O134" s="118">
        <v>17939</v>
      </c>
      <c r="P134" s="118">
        <v>10000</v>
      </c>
      <c r="Q134" s="118"/>
      <c r="R134" s="118"/>
      <c r="S134" s="118">
        <v>10000</v>
      </c>
      <c r="T134" s="118">
        <v>10000</v>
      </c>
      <c r="U134" s="118"/>
      <c r="V134" s="118"/>
      <c r="W134" s="118"/>
      <c r="X134" s="118">
        <v>10000</v>
      </c>
      <c r="Y134" s="118">
        <v>9250.4879999999994</v>
      </c>
      <c r="Z134" s="118"/>
      <c r="AA134" s="118"/>
      <c r="AB134" s="118"/>
      <c r="AC134" s="118">
        <v>9250.4879999999994</v>
      </c>
      <c r="AD134" s="357">
        <f t="shared" si="5"/>
        <v>0.92504879999999989</v>
      </c>
      <c r="AE134" s="357"/>
      <c r="AF134" s="357"/>
      <c r="AG134" s="357"/>
      <c r="AH134" s="357">
        <f>AC134/X134</f>
        <v>0.92504879999999989</v>
      </c>
    </row>
    <row r="135" spans="1:34" ht="31.5">
      <c r="A135" s="356" t="s">
        <v>29</v>
      </c>
      <c r="B135" s="346" t="s">
        <v>443</v>
      </c>
      <c r="C135" s="356" t="s">
        <v>299</v>
      </c>
      <c r="D135" s="356"/>
      <c r="E135" s="378" t="s">
        <v>226</v>
      </c>
      <c r="F135" s="378" t="s">
        <v>444</v>
      </c>
      <c r="G135" s="118">
        <v>121023</v>
      </c>
      <c r="H135" s="118"/>
      <c r="I135" s="118"/>
      <c r="J135" s="118"/>
      <c r="K135" s="118">
        <v>121023</v>
      </c>
      <c r="L135" s="118">
        <v>3120.31</v>
      </c>
      <c r="M135" s="118"/>
      <c r="N135" s="118"/>
      <c r="O135" s="118">
        <v>3120.31</v>
      </c>
      <c r="P135" s="118">
        <v>38950</v>
      </c>
      <c r="Q135" s="118"/>
      <c r="R135" s="118"/>
      <c r="S135" s="118">
        <v>38950</v>
      </c>
      <c r="T135" s="118">
        <v>38950</v>
      </c>
      <c r="U135" s="118"/>
      <c r="V135" s="118"/>
      <c r="W135" s="118"/>
      <c r="X135" s="118">
        <v>38950</v>
      </c>
      <c r="Y135" s="118">
        <v>2722.31</v>
      </c>
      <c r="Z135" s="118"/>
      <c r="AA135" s="118"/>
      <c r="AB135" s="118"/>
      <c r="AC135" s="118">
        <v>2722.31</v>
      </c>
      <c r="AD135" s="357">
        <f t="shared" si="5"/>
        <v>6.9892426187419768E-2</v>
      </c>
      <c r="AE135" s="357"/>
      <c r="AF135" s="357"/>
      <c r="AG135" s="357"/>
      <c r="AH135" s="357">
        <f>AC135/X135</f>
        <v>6.9892426187419768E-2</v>
      </c>
    </row>
    <row r="136" spans="1:34" ht="47.25">
      <c r="A136" s="356" t="s">
        <v>29</v>
      </c>
      <c r="B136" s="346" t="s">
        <v>445</v>
      </c>
      <c r="C136" s="356" t="s">
        <v>299</v>
      </c>
      <c r="D136" s="356"/>
      <c r="E136" s="378" t="s">
        <v>226</v>
      </c>
      <c r="F136" s="378" t="s">
        <v>446</v>
      </c>
      <c r="G136" s="118">
        <v>21355</v>
      </c>
      <c r="H136" s="118"/>
      <c r="I136" s="118">
        <v>20000</v>
      </c>
      <c r="J136" s="118"/>
      <c r="K136" s="118">
        <v>1355</v>
      </c>
      <c r="L136" s="118">
        <v>1915.2</v>
      </c>
      <c r="M136" s="118"/>
      <c r="N136" s="118">
        <v>1915.2</v>
      </c>
      <c r="O136" s="118"/>
      <c r="P136" s="118">
        <v>20000</v>
      </c>
      <c r="Q136" s="118"/>
      <c r="R136" s="118">
        <v>20000</v>
      </c>
      <c r="S136" s="118"/>
      <c r="T136" s="118">
        <v>20000</v>
      </c>
      <c r="U136" s="118"/>
      <c r="V136" s="118">
        <v>20000</v>
      </c>
      <c r="W136" s="118"/>
      <c r="X136" s="118"/>
      <c r="Y136" s="118">
        <v>1201.422</v>
      </c>
      <c r="Z136" s="118"/>
      <c r="AA136" s="118">
        <v>1201.422</v>
      </c>
      <c r="AB136" s="118"/>
      <c r="AC136" s="118"/>
      <c r="AD136" s="357">
        <f t="shared" si="5"/>
        <v>6.0071100000000002E-2</v>
      </c>
      <c r="AE136" s="357"/>
      <c r="AF136" s="357">
        <f t="shared" si="6"/>
        <v>6.0071100000000002E-2</v>
      </c>
      <c r="AG136" s="357"/>
      <c r="AH136" s="357"/>
    </row>
    <row r="137" spans="1:34" s="355" customFormat="1" ht="31.5">
      <c r="A137" s="343">
        <v>30</v>
      </c>
      <c r="B137" s="344" t="s">
        <v>168</v>
      </c>
      <c r="C137" s="343"/>
      <c r="D137" s="343"/>
      <c r="E137" s="366"/>
      <c r="F137" s="366"/>
      <c r="G137" s="354"/>
      <c r="H137" s="354"/>
      <c r="I137" s="354"/>
      <c r="J137" s="354"/>
      <c r="K137" s="354"/>
      <c r="L137" s="354"/>
      <c r="M137" s="354"/>
      <c r="N137" s="354"/>
      <c r="O137" s="354"/>
      <c r="P137" s="354"/>
      <c r="Q137" s="354"/>
      <c r="R137" s="354"/>
      <c r="S137" s="354"/>
      <c r="T137" s="354"/>
      <c r="U137" s="354"/>
      <c r="V137" s="354"/>
      <c r="W137" s="354"/>
      <c r="X137" s="354"/>
      <c r="Y137" s="354"/>
      <c r="Z137" s="354"/>
      <c r="AA137" s="354"/>
      <c r="AB137" s="354"/>
      <c r="AC137" s="354"/>
      <c r="AD137" s="357"/>
      <c r="AE137" s="357"/>
      <c r="AF137" s="357"/>
      <c r="AG137" s="357"/>
      <c r="AH137" s="357"/>
    </row>
    <row r="138" spans="1:34" ht="110.25">
      <c r="A138" s="356" t="s">
        <v>29</v>
      </c>
      <c r="B138" s="346" t="s">
        <v>447</v>
      </c>
      <c r="C138" s="356" t="s">
        <v>448</v>
      </c>
      <c r="D138" s="356"/>
      <c r="E138" s="378" t="s">
        <v>449</v>
      </c>
      <c r="F138" s="378" t="s">
        <v>450</v>
      </c>
      <c r="G138" s="118">
        <v>267869</v>
      </c>
      <c r="H138" s="118">
        <v>244901</v>
      </c>
      <c r="I138" s="118"/>
      <c r="J138" s="118"/>
      <c r="K138" s="118"/>
      <c r="L138" s="118">
        <v>159016</v>
      </c>
      <c r="M138" s="118">
        <v>149265</v>
      </c>
      <c r="N138" s="118"/>
      <c r="O138" s="118"/>
      <c r="P138" s="118">
        <v>159016</v>
      </c>
      <c r="Q138" s="118">
        <v>149265</v>
      </c>
      <c r="R138" s="118"/>
      <c r="S138" s="118"/>
      <c r="T138" s="118">
        <v>98953.982580000011</v>
      </c>
      <c r="U138" s="118">
        <v>94901.163039999999</v>
      </c>
      <c r="V138" s="118">
        <v>774.64710000000002</v>
      </c>
      <c r="W138" s="118"/>
      <c r="X138" s="118">
        <f>T138-U138-V138</f>
        <v>3278.1724400000112</v>
      </c>
      <c r="Y138" s="118">
        <f>SUM(Z138:AC138)</f>
        <v>79170.461265999998</v>
      </c>
      <c r="Z138" s="118">
        <v>76659.682713999995</v>
      </c>
      <c r="AA138" s="118">
        <v>774.64710000000002</v>
      </c>
      <c r="AB138" s="118"/>
      <c r="AC138" s="118">
        <v>1736.1314520000001</v>
      </c>
      <c r="AD138" s="357">
        <f t="shared" si="5"/>
        <v>0.80007352106312757</v>
      </c>
      <c r="AE138" s="357">
        <f t="shared" si="5"/>
        <v>0.80778443865528415</v>
      </c>
      <c r="AF138" s="357">
        <f t="shared" si="6"/>
        <v>1</v>
      </c>
      <c r="AG138" s="357"/>
      <c r="AH138" s="357">
        <f>AC138/X138</f>
        <v>0.5296034555155964</v>
      </c>
    </row>
    <row r="139" spans="1:34" s="355" customFormat="1">
      <c r="A139" s="343">
        <v>31</v>
      </c>
      <c r="B139" s="344" t="s">
        <v>169</v>
      </c>
      <c r="C139" s="343"/>
      <c r="D139" s="343"/>
      <c r="E139" s="366"/>
      <c r="F139" s="366"/>
      <c r="G139" s="354"/>
      <c r="H139" s="354"/>
      <c r="I139" s="354"/>
      <c r="J139" s="354"/>
      <c r="K139" s="354"/>
      <c r="L139" s="354"/>
      <c r="M139" s="354"/>
      <c r="N139" s="354"/>
      <c r="O139" s="354"/>
      <c r="P139" s="354"/>
      <c r="Q139" s="354"/>
      <c r="R139" s="354"/>
      <c r="S139" s="354"/>
      <c r="T139" s="354"/>
      <c r="U139" s="354"/>
      <c r="V139" s="354"/>
      <c r="W139" s="354"/>
      <c r="X139" s="354"/>
      <c r="Y139" s="354"/>
      <c r="Z139" s="354"/>
      <c r="AA139" s="354"/>
      <c r="AB139" s="354"/>
      <c r="AC139" s="354"/>
      <c r="AD139" s="357"/>
      <c r="AE139" s="357"/>
      <c r="AF139" s="357"/>
      <c r="AG139" s="357"/>
      <c r="AH139" s="357"/>
    </row>
    <row r="140" spans="1:34" ht="31.5">
      <c r="A140" s="356" t="s">
        <v>29</v>
      </c>
      <c r="B140" s="346" t="s">
        <v>451</v>
      </c>
      <c r="C140" s="356" t="s">
        <v>299</v>
      </c>
      <c r="D140" s="356"/>
      <c r="E140" s="378" t="s">
        <v>452</v>
      </c>
      <c r="F140" s="378" t="s">
        <v>453</v>
      </c>
      <c r="G140" s="118">
        <v>84757</v>
      </c>
      <c r="H140" s="118"/>
      <c r="I140" s="118"/>
      <c r="J140" s="118"/>
      <c r="K140" s="118"/>
      <c r="L140" s="118">
        <v>52471</v>
      </c>
      <c r="M140" s="118"/>
      <c r="N140" s="118"/>
      <c r="O140" s="118"/>
      <c r="P140" s="118">
        <v>48842</v>
      </c>
      <c r="Q140" s="118"/>
      <c r="R140" s="118"/>
      <c r="S140" s="118"/>
      <c r="T140" s="118">
        <v>1111.963</v>
      </c>
      <c r="U140" s="118"/>
      <c r="V140" s="118"/>
      <c r="W140" s="118"/>
      <c r="X140" s="118">
        <v>1111.963</v>
      </c>
      <c r="Y140" s="118">
        <v>1111.963</v>
      </c>
      <c r="Z140" s="118"/>
      <c r="AA140" s="118"/>
      <c r="AB140" s="118"/>
      <c r="AC140" s="118">
        <v>1111.963</v>
      </c>
      <c r="AD140" s="357">
        <f t="shared" si="5"/>
        <v>1</v>
      </c>
      <c r="AE140" s="357"/>
      <c r="AF140" s="357"/>
      <c r="AG140" s="357"/>
      <c r="AH140" s="357">
        <f t="shared" ref="AH140:AH166" si="8">AC140/X140</f>
        <v>1</v>
      </c>
    </row>
    <row r="141" spans="1:34" ht="47.25">
      <c r="A141" s="356" t="s">
        <v>29</v>
      </c>
      <c r="B141" s="346" t="s">
        <v>454</v>
      </c>
      <c r="C141" s="356" t="s">
        <v>299</v>
      </c>
      <c r="D141" s="356"/>
      <c r="E141" s="378" t="s">
        <v>455</v>
      </c>
      <c r="F141" s="378" t="s">
        <v>456</v>
      </c>
      <c r="G141" s="118">
        <v>16530</v>
      </c>
      <c r="H141" s="118"/>
      <c r="I141" s="118"/>
      <c r="J141" s="118"/>
      <c r="K141" s="118"/>
      <c r="L141" s="118">
        <v>12021</v>
      </c>
      <c r="M141" s="118"/>
      <c r="N141" s="118"/>
      <c r="O141" s="118"/>
      <c r="P141" s="118">
        <v>12019</v>
      </c>
      <c r="Q141" s="118"/>
      <c r="R141" s="118"/>
      <c r="S141" s="118"/>
      <c r="T141" s="118">
        <f>438.742-52.668871</f>
        <v>386.07312899999999</v>
      </c>
      <c r="U141" s="118"/>
      <c r="V141" s="118"/>
      <c r="W141" s="118"/>
      <c r="X141" s="118">
        <f>438.742-52.668871</f>
        <v>386.07312899999999</v>
      </c>
      <c r="Y141" s="118">
        <v>384.61475000000002</v>
      </c>
      <c r="Z141" s="118"/>
      <c r="AA141" s="118"/>
      <c r="AB141" s="118"/>
      <c r="AC141" s="118">
        <v>384.61475000000002</v>
      </c>
      <c r="AD141" s="357">
        <f t="shared" si="5"/>
        <v>0.99622253171626463</v>
      </c>
      <c r="AE141" s="357"/>
      <c r="AF141" s="357"/>
      <c r="AG141" s="357"/>
      <c r="AH141" s="357">
        <f t="shared" si="8"/>
        <v>0.99622253171626463</v>
      </c>
    </row>
    <row r="142" spans="1:34" ht="63">
      <c r="A142" s="356" t="s">
        <v>29</v>
      </c>
      <c r="B142" s="346" t="s">
        <v>457</v>
      </c>
      <c r="C142" s="356" t="s">
        <v>458</v>
      </c>
      <c r="D142" s="356"/>
      <c r="E142" s="378" t="s">
        <v>459</v>
      </c>
      <c r="F142" s="378" t="s">
        <v>460</v>
      </c>
      <c r="G142" s="118">
        <v>53324</v>
      </c>
      <c r="H142" s="118"/>
      <c r="I142" s="118"/>
      <c r="J142" s="118"/>
      <c r="K142" s="118"/>
      <c r="L142" s="118">
        <v>38914</v>
      </c>
      <c r="M142" s="118"/>
      <c r="N142" s="118"/>
      <c r="O142" s="118"/>
      <c r="P142" s="118">
        <v>39044</v>
      </c>
      <c r="Q142" s="118"/>
      <c r="R142" s="118"/>
      <c r="S142" s="118"/>
      <c r="T142" s="118">
        <f>2352.365+1395.256</f>
        <v>3747.6210000000001</v>
      </c>
      <c r="U142" s="118"/>
      <c r="V142" s="118"/>
      <c r="W142" s="118"/>
      <c r="X142" s="118">
        <f>2352.365+1395.256</f>
        <v>3747.6210000000001</v>
      </c>
      <c r="Y142" s="118">
        <v>2352.3649999999998</v>
      </c>
      <c r="Z142" s="118"/>
      <c r="AA142" s="118"/>
      <c r="AB142" s="118"/>
      <c r="AC142" s="118">
        <v>2352.3649999999998</v>
      </c>
      <c r="AD142" s="357">
        <f t="shared" ref="AD142:AE204" si="9">Y142/T142</f>
        <v>0.62769554338605738</v>
      </c>
      <c r="AE142" s="357"/>
      <c r="AF142" s="357"/>
      <c r="AG142" s="357"/>
      <c r="AH142" s="357">
        <f t="shared" si="8"/>
        <v>0.62769554338605738</v>
      </c>
    </row>
    <row r="143" spans="1:34" ht="31.5">
      <c r="A143" s="356" t="s">
        <v>29</v>
      </c>
      <c r="B143" s="346" t="s">
        <v>461</v>
      </c>
      <c r="C143" s="356" t="s">
        <v>299</v>
      </c>
      <c r="D143" s="356"/>
      <c r="E143" s="378" t="s">
        <v>459</v>
      </c>
      <c r="F143" s="378" t="s">
        <v>462</v>
      </c>
      <c r="G143" s="118">
        <v>35838</v>
      </c>
      <c r="H143" s="118"/>
      <c r="I143" s="118"/>
      <c r="J143" s="118"/>
      <c r="K143" s="118"/>
      <c r="L143" s="118">
        <v>27547</v>
      </c>
      <c r="M143" s="118"/>
      <c r="N143" s="118"/>
      <c r="O143" s="118"/>
      <c r="P143" s="118">
        <v>27046</v>
      </c>
      <c r="Q143" s="118"/>
      <c r="R143" s="118"/>
      <c r="S143" s="118"/>
      <c r="T143" s="118">
        <v>230.53620000000001</v>
      </c>
      <c r="U143" s="118"/>
      <c r="V143" s="118"/>
      <c r="W143" s="118"/>
      <c r="X143" s="118">
        <v>230.53620000000001</v>
      </c>
      <c r="Y143" s="118">
        <v>96.236500000000007</v>
      </c>
      <c r="Z143" s="118"/>
      <c r="AA143" s="118"/>
      <c r="AB143" s="118"/>
      <c r="AC143" s="118">
        <v>96.236500000000007</v>
      </c>
      <c r="AD143" s="357">
        <f t="shared" si="9"/>
        <v>0.41744637067844442</v>
      </c>
      <c r="AE143" s="357"/>
      <c r="AF143" s="357"/>
      <c r="AG143" s="357"/>
      <c r="AH143" s="357">
        <f t="shared" si="8"/>
        <v>0.41744637067844442</v>
      </c>
    </row>
    <row r="144" spans="1:34" ht="31.5">
      <c r="A144" s="356" t="s">
        <v>29</v>
      </c>
      <c r="B144" s="346" t="s">
        <v>463</v>
      </c>
      <c r="C144" s="356" t="s">
        <v>299</v>
      </c>
      <c r="D144" s="356"/>
      <c r="E144" s="378" t="s">
        <v>464</v>
      </c>
      <c r="F144" s="378" t="s">
        <v>465</v>
      </c>
      <c r="G144" s="118">
        <v>59863</v>
      </c>
      <c r="H144" s="118"/>
      <c r="I144" s="118"/>
      <c r="J144" s="118"/>
      <c r="K144" s="118">
        <v>59863</v>
      </c>
      <c r="L144" s="118">
        <v>10410</v>
      </c>
      <c r="M144" s="118"/>
      <c r="N144" s="118"/>
      <c r="O144" s="118">
        <v>10410</v>
      </c>
      <c r="P144" s="118">
        <v>10410</v>
      </c>
      <c r="Q144" s="118"/>
      <c r="R144" s="118"/>
      <c r="S144" s="118">
        <v>10410</v>
      </c>
      <c r="T144" s="118">
        <v>74.657728000000006</v>
      </c>
      <c r="U144" s="118"/>
      <c r="V144" s="118"/>
      <c r="W144" s="118"/>
      <c r="X144" s="118">
        <v>74.657728000000006</v>
      </c>
      <c r="Y144" s="118">
        <v>74.657728000000006</v>
      </c>
      <c r="Z144" s="118"/>
      <c r="AA144" s="118"/>
      <c r="AB144" s="118"/>
      <c r="AC144" s="118">
        <v>74.657728000000006</v>
      </c>
      <c r="AD144" s="357">
        <f t="shared" si="9"/>
        <v>1</v>
      </c>
      <c r="AE144" s="357"/>
      <c r="AF144" s="357"/>
      <c r="AG144" s="357"/>
      <c r="AH144" s="357">
        <f t="shared" si="8"/>
        <v>1</v>
      </c>
    </row>
    <row r="145" spans="1:34" ht="31.5">
      <c r="A145" s="356" t="s">
        <v>29</v>
      </c>
      <c r="B145" s="346" t="s">
        <v>466</v>
      </c>
      <c r="C145" s="356" t="s">
        <v>299</v>
      </c>
      <c r="D145" s="356"/>
      <c r="E145" s="378" t="s">
        <v>464</v>
      </c>
      <c r="F145" s="378"/>
      <c r="G145" s="118"/>
      <c r="H145" s="118"/>
      <c r="I145" s="118"/>
      <c r="J145" s="118"/>
      <c r="K145" s="118"/>
      <c r="L145" s="118"/>
      <c r="M145" s="118"/>
      <c r="N145" s="118"/>
      <c r="O145" s="118"/>
      <c r="P145" s="118"/>
      <c r="Q145" s="118"/>
      <c r="R145" s="118"/>
      <c r="S145" s="118"/>
      <c r="T145" s="118">
        <v>3850.8866800000001</v>
      </c>
      <c r="U145" s="118"/>
      <c r="V145" s="118"/>
      <c r="W145" s="118"/>
      <c r="X145" s="118">
        <v>3850.8866800000001</v>
      </c>
      <c r="Y145" s="118">
        <v>544.96792000000005</v>
      </c>
      <c r="Z145" s="118"/>
      <c r="AA145" s="118"/>
      <c r="AB145" s="118"/>
      <c r="AC145" s="118">
        <v>544.96792000000005</v>
      </c>
      <c r="AD145" s="357">
        <f t="shared" si="9"/>
        <v>0.14151751668787096</v>
      </c>
      <c r="AE145" s="357"/>
      <c r="AF145" s="357"/>
      <c r="AG145" s="357"/>
      <c r="AH145" s="357">
        <f t="shared" si="8"/>
        <v>0.14151751668787096</v>
      </c>
    </row>
    <row r="146" spans="1:34" ht="31.5">
      <c r="A146" s="356" t="s">
        <v>29</v>
      </c>
      <c r="B146" s="346" t="s">
        <v>467</v>
      </c>
      <c r="C146" s="356" t="s">
        <v>299</v>
      </c>
      <c r="D146" s="356"/>
      <c r="E146" s="378" t="s">
        <v>226</v>
      </c>
      <c r="F146" s="378" t="s">
        <v>468</v>
      </c>
      <c r="G146" s="118">
        <v>983583</v>
      </c>
      <c r="H146" s="118"/>
      <c r="I146" s="118"/>
      <c r="J146" s="118"/>
      <c r="K146" s="118"/>
      <c r="L146" s="118">
        <v>884287</v>
      </c>
      <c r="M146" s="118"/>
      <c r="N146" s="118"/>
      <c r="O146" s="118"/>
      <c r="P146" s="118">
        <v>828686</v>
      </c>
      <c r="Q146" s="118"/>
      <c r="R146" s="118"/>
      <c r="S146" s="118"/>
      <c r="T146" s="118">
        <f>7703.9236+0.023636</f>
        <v>7703.947236</v>
      </c>
      <c r="U146" s="118"/>
      <c r="V146" s="118">
        <v>7300</v>
      </c>
      <c r="W146" s="118"/>
      <c r="X146" s="118">
        <f>T146-V146</f>
        <v>403.94723599999998</v>
      </c>
      <c r="Y146" s="118">
        <v>7300</v>
      </c>
      <c r="Z146" s="118"/>
      <c r="AA146" s="118">
        <v>7300</v>
      </c>
      <c r="AB146" s="118"/>
      <c r="AC146" s="118"/>
      <c r="AD146" s="357">
        <f t="shared" si="9"/>
        <v>0.94756619903724382</v>
      </c>
      <c r="AE146" s="357"/>
      <c r="AF146" s="357">
        <f t="shared" ref="AF146:AF177" si="10">AA146/V146</f>
        <v>1</v>
      </c>
      <c r="AG146" s="357"/>
      <c r="AH146" s="357">
        <f t="shared" si="8"/>
        <v>0</v>
      </c>
    </row>
    <row r="147" spans="1:34" ht="47.25">
      <c r="A147" s="356" t="s">
        <v>29</v>
      </c>
      <c r="B147" s="346" t="s">
        <v>469</v>
      </c>
      <c r="C147" s="356" t="s">
        <v>299</v>
      </c>
      <c r="D147" s="356"/>
      <c r="E147" s="378"/>
      <c r="F147" s="378"/>
      <c r="G147" s="118"/>
      <c r="H147" s="118"/>
      <c r="I147" s="118"/>
      <c r="J147" s="118"/>
      <c r="K147" s="118"/>
      <c r="L147" s="118">
        <v>27418</v>
      </c>
      <c r="M147" s="118"/>
      <c r="N147" s="118"/>
      <c r="O147" s="118"/>
      <c r="P147" s="118">
        <v>27493</v>
      </c>
      <c r="Q147" s="118"/>
      <c r="R147" s="118"/>
      <c r="S147" s="118"/>
      <c r="T147" s="118">
        <v>220.56134399999999</v>
      </c>
      <c r="U147" s="118"/>
      <c r="V147" s="118"/>
      <c r="W147" s="118"/>
      <c r="X147" s="118">
        <v>220.56134399999999</v>
      </c>
      <c r="Y147" s="118">
        <v>0</v>
      </c>
      <c r="Z147" s="118"/>
      <c r="AA147" s="118"/>
      <c r="AB147" s="118"/>
      <c r="AC147" s="118"/>
      <c r="AD147" s="357">
        <f t="shared" si="9"/>
        <v>0</v>
      </c>
      <c r="AE147" s="357"/>
      <c r="AF147" s="357"/>
      <c r="AG147" s="357"/>
      <c r="AH147" s="357">
        <f t="shared" si="8"/>
        <v>0</v>
      </c>
    </row>
    <row r="148" spans="1:34" ht="31.5">
      <c r="A148" s="356" t="s">
        <v>29</v>
      </c>
      <c r="B148" s="346" t="s">
        <v>470</v>
      </c>
      <c r="C148" s="356" t="s">
        <v>299</v>
      </c>
      <c r="D148" s="356"/>
      <c r="E148" s="378" t="s">
        <v>471</v>
      </c>
      <c r="F148" s="378" t="s">
        <v>472</v>
      </c>
      <c r="G148" s="118">
        <v>109740</v>
      </c>
      <c r="H148" s="118"/>
      <c r="I148" s="118"/>
      <c r="J148" s="118"/>
      <c r="K148" s="118"/>
      <c r="L148" s="118">
        <v>56187</v>
      </c>
      <c r="M148" s="118"/>
      <c r="N148" s="118"/>
      <c r="O148" s="118"/>
      <c r="P148" s="118">
        <v>54549</v>
      </c>
      <c r="Q148" s="118"/>
      <c r="R148" s="118"/>
      <c r="S148" s="118"/>
      <c r="T148" s="118">
        <v>794.51113799999996</v>
      </c>
      <c r="U148" s="118"/>
      <c r="V148" s="118"/>
      <c r="W148" s="118"/>
      <c r="X148" s="118">
        <v>794.51113799999996</v>
      </c>
      <c r="Y148" s="118">
        <v>744.43013800000006</v>
      </c>
      <c r="Z148" s="118"/>
      <c r="AA148" s="118"/>
      <c r="AB148" s="118"/>
      <c r="AC148" s="118">
        <v>744.43013800000006</v>
      </c>
      <c r="AD148" s="357">
        <f t="shared" si="9"/>
        <v>0.93696627069814609</v>
      </c>
      <c r="AE148" s="357"/>
      <c r="AF148" s="357"/>
      <c r="AG148" s="357"/>
      <c r="AH148" s="357">
        <f t="shared" si="8"/>
        <v>0.93696627069814609</v>
      </c>
    </row>
    <row r="149" spans="1:34" ht="31.5">
      <c r="A149" s="356" t="s">
        <v>29</v>
      </c>
      <c r="B149" s="346" t="s">
        <v>473</v>
      </c>
      <c r="C149" s="356" t="s">
        <v>299</v>
      </c>
      <c r="D149" s="356"/>
      <c r="E149" s="378" t="s">
        <v>474</v>
      </c>
      <c r="F149" s="378" t="s">
        <v>475</v>
      </c>
      <c r="G149" s="118">
        <v>167208</v>
      </c>
      <c r="H149" s="118"/>
      <c r="I149" s="118"/>
      <c r="J149" s="118"/>
      <c r="K149" s="118"/>
      <c r="L149" s="118">
        <v>33570</v>
      </c>
      <c r="M149" s="118"/>
      <c r="N149" s="118"/>
      <c r="O149" s="118"/>
      <c r="P149" s="118">
        <v>35099</v>
      </c>
      <c r="Q149" s="118"/>
      <c r="R149" s="118"/>
      <c r="S149" s="118"/>
      <c r="T149" s="118">
        <f>2887.340597</f>
        <v>2887.3405969999999</v>
      </c>
      <c r="U149" s="118"/>
      <c r="V149" s="118"/>
      <c r="W149" s="118"/>
      <c r="X149" s="118">
        <f>2887.340597</f>
        <v>2887.3405969999999</v>
      </c>
      <c r="Y149" s="118">
        <v>863.28766599999994</v>
      </c>
      <c r="Z149" s="118"/>
      <c r="AA149" s="118"/>
      <c r="AB149" s="118"/>
      <c r="AC149" s="118">
        <v>863.28766599999994</v>
      </c>
      <c r="AD149" s="357">
        <f t="shared" si="9"/>
        <v>0.29899058908982601</v>
      </c>
      <c r="AE149" s="357"/>
      <c r="AF149" s="357"/>
      <c r="AG149" s="357"/>
      <c r="AH149" s="357">
        <f t="shared" si="8"/>
        <v>0.29899058908982601</v>
      </c>
    </row>
    <row r="150" spans="1:34" ht="31.5">
      <c r="A150" s="356" t="s">
        <v>29</v>
      </c>
      <c r="B150" s="346" t="s">
        <v>476</v>
      </c>
      <c r="C150" s="356" t="s">
        <v>299</v>
      </c>
      <c r="D150" s="356"/>
      <c r="E150" s="378">
        <v>2005</v>
      </c>
      <c r="F150" s="378" t="s">
        <v>477</v>
      </c>
      <c r="G150" s="118">
        <v>76920</v>
      </c>
      <c r="H150" s="118"/>
      <c r="I150" s="118"/>
      <c r="J150" s="118"/>
      <c r="K150" s="118"/>
      <c r="L150" s="118">
        <v>788</v>
      </c>
      <c r="M150" s="118"/>
      <c r="N150" s="118"/>
      <c r="O150" s="118"/>
      <c r="P150" s="118">
        <v>2563</v>
      </c>
      <c r="Q150" s="118"/>
      <c r="R150" s="118"/>
      <c r="S150" s="118"/>
      <c r="T150" s="118">
        <v>2000</v>
      </c>
      <c r="U150" s="118"/>
      <c r="V150" s="118"/>
      <c r="W150" s="118"/>
      <c r="X150" s="118">
        <v>2000</v>
      </c>
      <c r="Y150" s="118">
        <v>126.58499999999999</v>
      </c>
      <c r="Z150" s="118"/>
      <c r="AA150" s="118"/>
      <c r="AB150" s="118"/>
      <c r="AC150" s="118">
        <v>126.58499999999999</v>
      </c>
      <c r="AD150" s="357">
        <f t="shared" si="9"/>
        <v>6.3292500000000002E-2</v>
      </c>
      <c r="AE150" s="357"/>
      <c r="AF150" s="357"/>
      <c r="AG150" s="357"/>
      <c r="AH150" s="357">
        <f t="shared" si="8"/>
        <v>6.3292500000000002E-2</v>
      </c>
    </row>
    <row r="151" spans="1:34" ht="63">
      <c r="A151" s="356" t="s">
        <v>29</v>
      </c>
      <c r="B151" s="346" t="s">
        <v>478</v>
      </c>
      <c r="C151" s="356" t="s">
        <v>439</v>
      </c>
      <c r="D151" s="356"/>
      <c r="E151" s="378" t="s">
        <v>479</v>
      </c>
      <c r="F151" s="378" t="s">
        <v>480</v>
      </c>
      <c r="G151" s="118">
        <v>49864</v>
      </c>
      <c r="H151" s="118"/>
      <c r="I151" s="118"/>
      <c r="J151" s="118"/>
      <c r="K151" s="118"/>
      <c r="L151" s="118">
        <v>22527</v>
      </c>
      <c r="M151" s="118"/>
      <c r="N151" s="118"/>
      <c r="O151" s="118"/>
      <c r="P151" s="118">
        <v>22527</v>
      </c>
      <c r="Q151" s="118"/>
      <c r="R151" s="118">
        <v>6920</v>
      </c>
      <c r="S151" s="118">
        <v>15607</v>
      </c>
      <c r="T151" s="118">
        <v>1056.914</v>
      </c>
      <c r="U151" s="118"/>
      <c r="V151" s="118"/>
      <c r="W151" s="118"/>
      <c r="X151" s="118">
        <v>1056.914</v>
      </c>
      <c r="Y151" s="118">
        <v>1056.914</v>
      </c>
      <c r="Z151" s="118"/>
      <c r="AA151" s="118"/>
      <c r="AB151" s="118"/>
      <c r="AC151" s="118">
        <v>1056.914</v>
      </c>
      <c r="AD151" s="357">
        <f t="shared" si="9"/>
        <v>1</v>
      </c>
      <c r="AE151" s="357"/>
      <c r="AF151" s="357"/>
      <c r="AG151" s="357"/>
      <c r="AH151" s="357">
        <f t="shared" si="8"/>
        <v>1</v>
      </c>
    </row>
    <row r="152" spans="1:34" ht="110.25">
      <c r="A152" s="356" t="s">
        <v>29</v>
      </c>
      <c r="B152" s="346" t="s">
        <v>481</v>
      </c>
      <c r="C152" s="356" t="s">
        <v>482</v>
      </c>
      <c r="D152" s="356"/>
      <c r="E152" s="378" t="s">
        <v>483</v>
      </c>
      <c r="F152" s="378" t="s">
        <v>484</v>
      </c>
      <c r="G152" s="118">
        <v>3450455</v>
      </c>
      <c r="H152" s="118"/>
      <c r="I152" s="118"/>
      <c r="J152" s="118"/>
      <c r="K152" s="118"/>
      <c r="L152" s="118">
        <v>2443213</v>
      </c>
      <c r="M152" s="118"/>
      <c r="N152" s="118"/>
      <c r="O152" s="118"/>
      <c r="P152" s="118">
        <v>736510</v>
      </c>
      <c r="Q152" s="118"/>
      <c r="R152" s="118">
        <v>19210</v>
      </c>
      <c r="S152" s="118">
        <v>717300</v>
      </c>
      <c r="T152" s="118">
        <v>135428.86300000001</v>
      </c>
      <c r="U152" s="118"/>
      <c r="V152" s="118"/>
      <c r="W152" s="118">
        <v>100</v>
      </c>
      <c r="X152" s="118">
        <f>T152-W152</f>
        <v>135328.86300000001</v>
      </c>
      <c r="Y152" s="118">
        <f>AB152+AC152</f>
        <v>95928.862999999998</v>
      </c>
      <c r="Z152" s="118"/>
      <c r="AA152" s="118"/>
      <c r="AB152" s="118">
        <v>100</v>
      </c>
      <c r="AC152" s="118">
        <v>95828.862999999998</v>
      </c>
      <c r="AD152" s="357">
        <f t="shared" si="9"/>
        <v>0.70833396127677739</v>
      </c>
      <c r="AE152" s="357"/>
      <c r="AF152" s="357"/>
      <c r="AG152" s="357">
        <f>AB152/W152</f>
        <v>1</v>
      </c>
      <c r="AH152" s="357">
        <f t="shared" si="8"/>
        <v>0.70811843738020608</v>
      </c>
    </row>
    <row r="153" spans="1:34" ht="47.25">
      <c r="A153" s="356" t="s">
        <v>29</v>
      </c>
      <c r="B153" s="346" t="s">
        <v>485</v>
      </c>
      <c r="C153" s="356" t="s">
        <v>439</v>
      </c>
      <c r="D153" s="356"/>
      <c r="E153" s="378">
        <v>2012</v>
      </c>
      <c r="F153" s="378" t="s">
        <v>486</v>
      </c>
      <c r="G153" s="118">
        <v>135225</v>
      </c>
      <c r="H153" s="118"/>
      <c r="I153" s="118"/>
      <c r="J153" s="118"/>
      <c r="K153" s="118"/>
      <c r="L153" s="118">
        <v>78470</v>
      </c>
      <c r="M153" s="118"/>
      <c r="N153" s="118"/>
      <c r="O153" s="118">
        <v>78470</v>
      </c>
      <c r="P153" s="118">
        <v>63420</v>
      </c>
      <c r="Q153" s="118"/>
      <c r="R153" s="118"/>
      <c r="S153" s="118">
        <v>63420</v>
      </c>
      <c r="T153" s="118">
        <v>11558.762272</v>
      </c>
      <c r="U153" s="118"/>
      <c r="V153" s="118"/>
      <c r="W153" s="118"/>
      <c r="X153" s="118">
        <v>11558.762272</v>
      </c>
      <c r="Y153" s="118">
        <v>11113.576639999999</v>
      </c>
      <c r="Z153" s="118"/>
      <c r="AA153" s="118"/>
      <c r="AB153" s="118"/>
      <c r="AC153" s="118">
        <v>11113.576639999999</v>
      </c>
      <c r="AD153" s="357">
        <f t="shared" si="9"/>
        <v>0.96148500838377648</v>
      </c>
      <c r="AE153" s="357"/>
      <c r="AF153" s="357"/>
      <c r="AG153" s="357"/>
      <c r="AH153" s="357">
        <f t="shared" si="8"/>
        <v>0.96148500838377648</v>
      </c>
    </row>
    <row r="154" spans="1:34" ht="63">
      <c r="A154" s="356" t="s">
        <v>29</v>
      </c>
      <c r="B154" s="346" t="s">
        <v>487</v>
      </c>
      <c r="C154" s="356" t="s">
        <v>488</v>
      </c>
      <c r="D154" s="356"/>
      <c r="E154" s="378" t="s">
        <v>226</v>
      </c>
      <c r="F154" s="378" t="s">
        <v>489</v>
      </c>
      <c r="G154" s="118">
        <v>89340</v>
      </c>
      <c r="H154" s="118"/>
      <c r="I154" s="118"/>
      <c r="J154" s="118"/>
      <c r="K154" s="118"/>
      <c r="L154" s="118">
        <v>42489</v>
      </c>
      <c r="M154" s="118"/>
      <c r="N154" s="118"/>
      <c r="O154" s="118">
        <v>42489</v>
      </c>
      <c r="P154" s="118">
        <v>41040</v>
      </c>
      <c r="Q154" s="118"/>
      <c r="R154" s="118"/>
      <c r="S154" s="118">
        <v>41040</v>
      </c>
      <c r="T154" s="118">
        <v>28000</v>
      </c>
      <c r="U154" s="118"/>
      <c r="V154" s="118"/>
      <c r="W154" s="118"/>
      <c r="X154" s="118">
        <v>28000</v>
      </c>
      <c r="Y154" s="118">
        <v>27650</v>
      </c>
      <c r="Z154" s="118"/>
      <c r="AA154" s="118"/>
      <c r="AB154" s="118"/>
      <c r="AC154" s="118">
        <v>27650</v>
      </c>
      <c r="AD154" s="357">
        <f t="shared" si="9"/>
        <v>0.98750000000000004</v>
      </c>
      <c r="AE154" s="357"/>
      <c r="AF154" s="357"/>
      <c r="AG154" s="357"/>
      <c r="AH154" s="357">
        <f t="shared" si="8"/>
        <v>0.98750000000000004</v>
      </c>
    </row>
    <row r="155" spans="1:34" ht="31.5">
      <c r="A155" s="356" t="s">
        <v>29</v>
      </c>
      <c r="B155" s="346" t="s">
        <v>490</v>
      </c>
      <c r="C155" s="356" t="s">
        <v>299</v>
      </c>
      <c r="D155" s="356"/>
      <c r="E155" s="378"/>
      <c r="F155" s="378"/>
      <c r="G155" s="118"/>
      <c r="H155" s="118"/>
      <c r="I155" s="118"/>
      <c r="J155" s="118"/>
      <c r="K155" s="118"/>
      <c r="L155" s="118">
        <v>273668</v>
      </c>
      <c r="M155" s="118"/>
      <c r="N155" s="118"/>
      <c r="O155" s="118">
        <v>273668</v>
      </c>
      <c r="P155" s="118">
        <v>274412</v>
      </c>
      <c r="Q155" s="118"/>
      <c r="R155" s="118"/>
      <c r="S155" s="118">
        <v>274412</v>
      </c>
      <c r="T155" s="118">
        <v>3085.927643</v>
      </c>
      <c r="U155" s="118"/>
      <c r="V155" s="118"/>
      <c r="W155" s="118"/>
      <c r="X155" s="118">
        <v>3085.927643</v>
      </c>
      <c r="Y155" s="118">
        <v>64.917000000000002</v>
      </c>
      <c r="Z155" s="118"/>
      <c r="AA155" s="118"/>
      <c r="AB155" s="118"/>
      <c r="AC155" s="118">
        <v>64.917000000000002</v>
      </c>
      <c r="AD155" s="357">
        <f t="shared" si="9"/>
        <v>2.1036462130683858E-2</v>
      </c>
      <c r="AE155" s="357"/>
      <c r="AF155" s="357"/>
      <c r="AG155" s="357"/>
      <c r="AH155" s="357">
        <f t="shared" si="8"/>
        <v>2.1036462130683858E-2</v>
      </c>
    </row>
    <row r="156" spans="1:34">
      <c r="A156" s="356" t="s">
        <v>29</v>
      </c>
      <c r="B156" s="346" t="s">
        <v>491</v>
      </c>
      <c r="C156" s="356"/>
      <c r="D156" s="356"/>
      <c r="E156" s="378"/>
      <c r="F156" s="378"/>
      <c r="G156" s="118"/>
      <c r="H156" s="118"/>
      <c r="I156" s="118"/>
      <c r="J156" s="118"/>
      <c r="K156" s="118"/>
      <c r="L156" s="118"/>
      <c r="M156" s="118"/>
      <c r="N156" s="118"/>
      <c r="O156" s="118"/>
      <c r="P156" s="118"/>
      <c r="Q156" s="118"/>
      <c r="R156" s="118"/>
      <c r="S156" s="118"/>
      <c r="T156" s="118">
        <v>29.983000000000061</v>
      </c>
      <c r="U156" s="118"/>
      <c r="V156" s="118"/>
      <c r="W156" s="118"/>
      <c r="X156" s="118">
        <v>29.983000000000061</v>
      </c>
      <c r="Y156" s="118">
        <v>0</v>
      </c>
      <c r="Z156" s="118"/>
      <c r="AA156" s="118"/>
      <c r="AB156" s="118"/>
      <c r="AC156" s="118"/>
      <c r="AD156" s="357">
        <f t="shared" si="9"/>
        <v>0</v>
      </c>
      <c r="AE156" s="357"/>
      <c r="AF156" s="357"/>
      <c r="AG156" s="357"/>
      <c r="AH156" s="357">
        <f t="shared" si="8"/>
        <v>0</v>
      </c>
    </row>
    <row r="157" spans="1:34" ht="31.5">
      <c r="A157" s="356" t="s">
        <v>29</v>
      </c>
      <c r="B157" s="346" t="s">
        <v>492</v>
      </c>
      <c r="C157" s="356" t="s">
        <v>299</v>
      </c>
      <c r="D157" s="356"/>
      <c r="E157" s="378" t="s">
        <v>493</v>
      </c>
      <c r="F157" s="378" t="s">
        <v>494</v>
      </c>
      <c r="G157" s="118">
        <v>168802</v>
      </c>
      <c r="H157" s="118"/>
      <c r="I157" s="118"/>
      <c r="J157" s="118"/>
      <c r="K157" s="118"/>
      <c r="L157" s="118">
        <v>85066</v>
      </c>
      <c r="M157" s="118"/>
      <c r="N157" s="118"/>
      <c r="O157" s="118"/>
      <c r="P157" s="118">
        <v>90601</v>
      </c>
      <c r="Q157" s="118"/>
      <c r="R157" s="118">
        <v>86314</v>
      </c>
      <c r="S157" s="118"/>
      <c r="T157" s="118">
        <v>5605.8486999999996</v>
      </c>
      <c r="U157" s="118"/>
      <c r="V157" s="118"/>
      <c r="W157" s="118"/>
      <c r="X157" s="118">
        <v>5605.8486999999996</v>
      </c>
      <c r="Y157" s="118">
        <v>0.29670000000000002</v>
      </c>
      <c r="Z157" s="118"/>
      <c r="AA157" s="118"/>
      <c r="AB157" s="118"/>
      <c r="AC157" s="118">
        <v>0.29670000000000002</v>
      </c>
      <c r="AD157" s="357">
        <f t="shared" si="9"/>
        <v>5.2926865471770586E-5</v>
      </c>
      <c r="AE157" s="357"/>
      <c r="AF157" s="357"/>
      <c r="AG157" s="357"/>
      <c r="AH157" s="357">
        <f t="shared" si="8"/>
        <v>5.2926865471770586E-5</v>
      </c>
    </row>
    <row r="158" spans="1:34" ht="31.5">
      <c r="A158" s="356" t="s">
        <v>29</v>
      </c>
      <c r="B158" s="346" t="s">
        <v>495</v>
      </c>
      <c r="C158" s="356" t="s">
        <v>488</v>
      </c>
      <c r="D158" s="356"/>
      <c r="E158" s="378" t="s">
        <v>496</v>
      </c>
      <c r="F158" s="378" t="s">
        <v>497</v>
      </c>
      <c r="G158" s="118">
        <v>31576</v>
      </c>
      <c r="H158" s="118"/>
      <c r="I158" s="118"/>
      <c r="J158" s="118"/>
      <c r="K158" s="118"/>
      <c r="L158" s="118">
        <v>4655</v>
      </c>
      <c r="M158" s="118"/>
      <c r="N158" s="118"/>
      <c r="O158" s="118"/>
      <c r="P158" s="118">
        <v>4655</v>
      </c>
      <c r="Q158" s="118"/>
      <c r="R158" s="118"/>
      <c r="S158" s="118"/>
      <c r="T158" s="118">
        <v>37.977000000000004</v>
      </c>
      <c r="U158" s="118"/>
      <c r="V158" s="118"/>
      <c r="W158" s="118"/>
      <c r="X158" s="118">
        <v>37.977000000000004</v>
      </c>
      <c r="Y158" s="118">
        <v>37.977000000000004</v>
      </c>
      <c r="Z158" s="118"/>
      <c r="AA158" s="118"/>
      <c r="AB158" s="118"/>
      <c r="AC158" s="118">
        <v>37.977000000000004</v>
      </c>
      <c r="AD158" s="357">
        <f t="shared" si="9"/>
        <v>1</v>
      </c>
      <c r="AE158" s="357"/>
      <c r="AF158" s="357"/>
      <c r="AG158" s="357"/>
      <c r="AH158" s="357">
        <f t="shared" si="8"/>
        <v>1</v>
      </c>
    </row>
    <row r="159" spans="1:34" ht="31.5">
      <c r="A159" s="356" t="s">
        <v>29</v>
      </c>
      <c r="B159" s="346" t="s">
        <v>498</v>
      </c>
      <c r="C159" s="356" t="s">
        <v>488</v>
      </c>
      <c r="D159" s="356"/>
      <c r="E159" s="378" t="s">
        <v>496</v>
      </c>
      <c r="F159" s="378" t="s">
        <v>499</v>
      </c>
      <c r="G159" s="118">
        <v>21655</v>
      </c>
      <c r="H159" s="118"/>
      <c r="I159" s="118"/>
      <c r="J159" s="118"/>
      <c r="K159" s="118"/>
      <c r="L159" s="118">
        <v>2589</v>
      </c>
      <c r="M159" s="118"/>
      <c r="N159" s="118"/>
      <c r="O159" s="118"/>
      <c r="P159" s="118">
        <v>2589</v>
      </c>
      <c r="Q159" s="118"/>
      <c r="R159" s="118"/>
      <c r="S159" s="118">
        <v>2589</v>
      </c>
      <c r="T159" s="118">
        <v>89.081000000000003</v>
      </c>
      <c r="U159" s="118"/>
      <c r="V159" s="118"/>
      <c r="W159" s="118"/>
      <c r="X159" s="118">
        <v>89.081000000000003</v>
      </c>
      <c r="Y159" s="118">
        <v>87.277000000000001</v>
      </c>
      <c r="Z159" s="118"/>
      <c r="AA159" s="118"/>
      <c r="AB159" s="118"/>
      <c r="AC159" s="118">
        <v>87.277000000000001</v>
      </c>
      <c r="AD159" s="357">
        <f t="shared" si="9"/>
        <v>0.9797487679752136</v>
      </c>
      <c r="AE159" s="357"/>
      <c r="AF159" s="357"/>
      <c r="AG159" s="357"/>
      <c r="AH159" s="357">
        <f t="shared" si="8"/>
        <v>0.9797487679752136</v>
      </c>
    </row>
    <row r="160" spans="1:34" ht="47.25">
      <c r="A160" s="356" t="s">
        <v>29</v>
      </c>
      <c r="B160" s="346" t="s">
        <v>500</v>
      </c>
      <c r="C160" s="356" t="s">
        <v>299</v>
      </c>
      <c r="D160" s="356"/>
      <c r="E160" s="378" t="s">
        <v>501</v>
      </c>
      <c r="F160" s="378" t="s">
        <v>502</v>
      </c>
      <c r="G160" s="118">
        <v>199725</v>
      </c>
      <c r="H160" s="118"/>
      <c r="I160" s="118"/>
      <c r="J160" s="118"/>
      <c r="K160" s="118"/>
      <c r="L160" s="118">
        <v>71598</v>
      </c>
      <c r="M160" s="118"/>
      <c r="N160" s="118"/>
      <c r="O160" s="118"/>
      <c r="P160" s="118">
        <v>71500</v>
      </c>
      <c r="Q160" s="118"/>
      <c r="R160" s="118">
        <v>70000</v>
      </c>
      <c r="S160" s="118"/>
      <c r="T160" s="118">
        <v>13412.888000000001</v>
      </c>
      <c r="U160" s="118"/>
      <c r="V160" s="118">
        <v>11478.846</v>
      </c>
      <c r="W160" s="118"/>
      <c r="X160" s="118">
        <f>T160-V160</f>
        <v>1934.0420000000013</v>
      </c>
      <c r="Y160" s="118">
        <v>12298.532745</v>
      </c>
      <c r="Z160" s="118"/>
      <c r="AA160" s="118">
        <v>10798.532745</v>
      </c>
      <c r="AB160" s="118"/>
      <c r="AC160" s="118">
        <v>1500</v>
      </c>
      <c r="AD160" s="357">
        <f t="shared" si="9"/>
        <v>0.9169190665723892</v>
      </c>
      <c r="AE160" s="357"/>
      <c r="AF160" s="357">
        <f t="shared" si="10"/>
        <v>0.94073330585670378</v>
      </c>
      <c r="AG160" s="357"/>
      <c r="AH160" s="357">
        <f t="shared" si="8"/>
        <v>0.77557777959320373</v>
      </c>
    </row>
    <row r="161" spans="1:34" ht="47.25">
      <c r="A161" s="356" t="s">
        <v>29</v>
      </c>
      <c r="B161" s="346" t="s">
        <v>503</v>
      </c>
      <c r="C161" s="356" t="s">
        <v>299</v>
      </c>
      <c r="D161" s="356"/>
      <c r="E161" s="378" t="s">
        <v>260</v>
      </c>
      <c r="F161" s="378" t="s">
        <v>504</v>
      </c>
      <c r="G161" s="118">
        <v>12355</v>
      </c>
      <c r="H161" s="118"/>
      <c r="I161" s="118"/>
      <c r="J161" s="118"/>
      <c r="K161" s="118"/>
      <c r="L161" s="118">
        <v>10938</v>
      </c>
      <c r="M161" s="118"/>
      <c r="N161" s="118"/>
      <c r="O161" s="118"/>
      <c r="P161" s="118">
        <v>9728</v>
      </c>
      <c r="Q161" s="118"/>
      <c r="R161" s="118"/>
      <c r="S161" s="118"/>
      <c r="T161" s="118">
        <v>2000</v>
      </c>
      <c r="U161" s="118"/>
      <c r="V161" s="118"/>
      <c r="W161" s="118"/>
      <c r="X161" s="118">
        <v>2000</v>
      </c>
      <c r="Y161" s="118">
        <v>1910</v>
      </c>
      <c r="Z161" s="118"/>
      <c r="AA161" s="118"/>
      <c r="AB161" s="118"/>
      <c r="AC161" s="118">
        <v>1910</v>
      </c>
      <c r="AD161" s="357">
        <f t="shared" si="9"/>
        <v>0.95499999999999996</v>
      </c>
      <c r="AE161" s="357"/>
      <c r="AF161" s="357"/>
      <c r="AG161" s="357"/>
      <c r="AH161" s="357">
        <f t="shared" si="8"/>
        <v>0.95499999999999996</v>
      </c>
    </row>
    <row r="162" spans="1:34" ht="31.5">
      <c r="A162" s="356" t="s">
        <v>29</v>
      </c>
      <c r="B162" s="346" t="s">
        <v>505</v>
      </c>
      <c r="C162" s="356" t="s">
        <v>299</v>
      </c>
      <c r="D162" s="356"/>
      <c r="E162" s="378" t="s">
        <v>381</v>
      </c>
      <c r="F162" s="378" t="s">
        <v>506</v>
      </c>
      <c r="G162" s="118">
        <v>42986</v>
      </c>
      <c r="H162" s="118"/>
      <c r="I162" s="118"/>
      <c r="J162" s="118"/>
      <c r="K162" s="118"/>
      <c r="L162" s="118">
        <v>39439</v>
      </c>
      <c r="M162" s="118"/>
      <c r="N162" s="118"/>
      <c r="O162" s="118"/>
      <c r="P162" s="118">
        <v>39439</v>
      </c>
      <c r="Q162" s="118"/>
      <c r="R162" s="118">
        <v>39000</v>
      </c>
      <c r="S162" s="118"/>
      <c r="T162" s="118">
        <v>488.74200000000002</v>
      </c>
      <c r="U162" s="118"/>
      <c r="V162" s="118">
        <v>50</v>
      </c>
      <c r="W162" s="118"/>
      <c r="X162" s="118">
        <f>T162-V162</f>
        <v>438.74200000000002</v>
      </c>
      <c r="Y162" s="118">
        <v>488.74200000000002</v>
      </c>
      <c r="Z162" s="118"/>
      <c r="AA162" s="118">
        <v>50</v>
      </c>
      <c r="AB162" s="118"/>
      <c r="AC162" s="118">
        <v>438.74200000000002</v>
      </c>
      <c r="AD162" s="357">
        <f t="shared" si="9"/>
        <v>1</v>
      </c>
      <c r="AE162" s="357"/>
      <c r="AF162" s="357">
        <f t="shared" si="10"/>
        <v>1</v>
      </c>
      <c r="AG162" s="357"/>
      <c r="AH162" s="357">
        <f t="shared" si="8"/>
        <v>1</v>
      </c>
    </row>
    <row r="163" spans="1:34" ht="47.25">
      <c r="A163" s="356" t="s">
        <v>29</v>
      </c>
      <c r="B163" s="346" t="s">
        <v>507</v>
      </c>
      <c r="C163" s="356" t="s">
        <v>299</v>
      </c>
      <c r="D163" s="356"/>
      <c r="E163" s="378" t="s">
        <v>501</v>
      </c>
      <c r="F163" s="378" t="s">
        <v>508</v>
      </c>
      <c r="G163" s="118">
        <v>249991</v>
      </c>
      <c r="H163" s="118"/>
      <c r="I163" s="118">
        <v>150000</v>
      </c>
      <c r="J163" s="118"/>
      <c r="K163" s="118">
        <v>99991</v>
      </c>
      <c r="L163" s="118"/>
      <c r="M163" s="118"/>
      <c r="N163" s="118"/>
      <c r="O163" s="118"/>
      <c r="P163" s="118">
        <v>149991</v>
      </c>
      <c r="Q163" s="118"/>
      <c r="R163" s="118"/>
      <c r="S163" s="118"/>
      <c r="T163" s="118">
        <v>7.0449999999993906</v>
      </c>
      <c r="U163" s="118"/>
      <c r="V163" s="118"/>
      <c r="W163" s="118"/>
      <c r="X163" s="118">
        <v>7.0449999999993906</v>
      </c>
      <c r="Y163" s="118">
        <v>0</v>
      </c>
      <c r="Z163" s="118"/>
      <c r="AA163" s="118"/>
      <c r="AB163" s="118"/>
      <c r="AC163" s="118"/>
      <c r="AD163" s="357">
        <f t="shared" si="9"/>
        <v>0</v>
      </c>
      <c r="AE163" s="357"/>
      <c r="AF163" s="357"/>
      <c r="AG163" s="357"/>
      <c r="AH163" s="357">
        <f t="shared" si="8"/>
        <v>0</v>
      </c>
    </row>
    <row r="164" spans="1:34" ht="47.25">
      <c r="A164" s="356" t="s">
        <v>29</v>
      </c>
      <c r="B164" s="346" t="s">
        <v>509</v>
      </c>
      <c r="C164" s="356" t="s">
        <v>299</v>
      </c>
      <c r="D164" s="356"/>
      <c r="E164" s="378" t="s">
        <v>510</v>
      </c>
      <c r="F164" s="378" t="s">
        <v>511</v>
      </c>
      <c r="G164" s="118">
        <v>102996</v>
      </c>
      <c r="H164" s="118"/>
      <c r="I164" s="118">
        <v>80800</v>
      </c>
      <c r="J164" s="118"/>
      <c r="K164" s="118">
        <v>22196</v>
      </c>
      <c r="L164" s="118">
        <v>81886</v>
      </c>
      <c r="M164" s="118"/>
      <c r="N164" s="118"/>
      <c r="O164" s="118"/>
      <c r="P164" s="118">
        <v>80800</v>
      </c>
      <c r="Q164" s="118"/>
      <c r="R164" s="118"/>
      <c r="S164" s="118"/>
      <c r="T164" s="118">
        <v>72.593500000000006</v>
      </c>
      <c r="U164" s="118"/>
      <c r="V164" s="118"/>
      <c r="W164" s="118"/>
      <c r="X164" s="118">
        <v>72.593500000000006</v>
      </c>
      <c r="Y164" s="118"/>
      <c r="Z164" s="118"/>
      <c r="AA164" s="118"/>
      <c r="AB164" s="118"/>
      <c r="AC164" s="118"/>
      <c r="AD164" s="357">
        <f t="shared" si="9"/>
        <v>0</v>
      </c>
      <c r="AE164" s="357"/>
      <c r="AF164" s="357"/>
      <c r="AG164" s="357"/>
      <c r="AH164" s="357">
        <f t="shared" si="8"/>
        <v>0</v>
      </c>
    </row>
    <row r="165" spans="1:34">
      <c r="A165" s="356" t="s">
        <v>29</v>
      </c>
      <c r="B165" s="346" t="s">
        <v>512</v>
      </c>
      <c r="C165" s="356"/>
      <c r="D165" s="356"/>
      <c r="E165" s="378"/>
      <c r="F165" s="378"/>
      <c r="G165" s="118"/>
      <c r="H165" s="118"/>
      <c r="I165" s="118"/>
      <c r="J165" s="118"/>
      <c r="K165" s="118"/>
      <c r="L165" s="118"/>
      <c r="M165" s="118"/>
      <c r="N165" s="118"/>
      <c r="O165" s="118"/>
      <c r="P165" s="118"/>
      <c r="Q165" s="118"/>
      <c r="R165" s="118"/>
      <c r="S165" s="118"/>
      <c r="T165" s="118">
        <v>6902.6629999999996</v>
      </c>
      <c r="U165" s="118"/>
      <c r="V165" s="118"/>
      <c r="W165" s="118"/>
      <c r="X165" s="118">
        <v>6902.6629999999996</v>
      </c>
      <c r="Y165" s="118">
        <v>6902.6629999999996</v>
      </c>
      <c r="Z165" s="118"/>
      <c r="AA165" s="118"/>
      <c r="AB165" s="118"/>
      <c r="AC165" s="118">
        <v>6902.6629999999996</v>
      </c>
      <c r="AD165" s="357">
        <f t="shared" si="9"/>
        <v>1</v>
      </c>
      <c r="AE165" s="357"/>
      <c r="AF165" s="357"/>
      <c r="AG165" s="357"/>
      <c r="AH165" s="357">
        <f t="shared" si="8"/>
        <v>1</v>
      </c>
    </row>
    <row r="166" spans="1:34" ht="63">
      <c r="A166" s="356" t="s">
        <v>29</v>
      </c>
      <c r="B166" s="346" t="s">
        <v>513</v>
      </c>
      <c r="C166" s="356" t="s">
        <v>277</v>
      </c>
      <c r="D166" s="356"/>
      <c r="E166" s="378" t="s">
        <v>381</v>
      </c>
      <c r="F166" s="378" t="s">
        <v>514</v>
      </c>
      <c r="G166" s="118">
        <v>33723</v>
      </c>
      <c r="H166" s="118"/>
      <c r="I166" s="118"/>
      <c r="J166" s="118"/>
      <c r="K166" s="118"/>
      <c r="L166" s="118">
        <v>26782</v>
      </c>
      <c r="M166" s="118"/>
      <c r="N166" s="118"/>
      <c r="O166" s="118"/>
      <c r="P166" s="118">
        <v>26782</v>
      </c>
      <c r="Q166" s="118"/>
      <c r="R166" s="118"/>
      <c r="S166" s="118">
        <v>26782</v>
      </c>
      <c r="T166" s="118">
        <v>2000</v>
      </c>
      <c r="U166" s="118"/>
      <c r="V166" s="118"/>
      <c r="W166" s="118"/>
      <c r="X166" s="118">
        <v>2000</v>
      </c>
      <c r="Y166" s="118">
        <v>1898.566</v>
      </c>
      <c r="Z166" s="118"/>
      <c r="AA166" s="118"/>
      <c r="AB166" s="118"/>
      <c r="AC166" s="118">
        <v>1898.566</v>
      </c>
      <c r="AD166" s="357">
        <f t="shared" si="9"/>
        <v>0.94928299999999999</v>
      </c>
      <c r="AE166" s="357"/>
      <c r="AF166" s="357"/>
      <c r="AG166" s="357"/>
      <c r="AH166" s="357">
        <f t="shared" si="8"/>
        <v>0.94928299999999999</v>
      </c>
    </row>
    <row r="167" spans="1:34" ht="31.5">
      <c r="A167" s="356" t="s">
        <v>29</v>
      </c>
      <c r="B167" s="346" t="s">
        <v>515</v>
      </c>
      <c r="C167" s="356" t="s">
        <v>299</v>
      </c>
      <c r="D167" s="356"/>
      <c r="E167" s="378" t="s">
        <v>248</v>
      </c>
      <c r="F167" s="378" t="s">
        <v>516</v>
      </c>
      <c r="G167" s="118">
        <v>151075</v>
      </c>
      <c r="H167" s="118"/>
      <c r="I167" s="118">
        <v>120860</v>
      </c>
      <c r="J167" s="118"/>
      <c r="K167" s="118"/>
      <c r="L167" s="118">
        <v>107766</v>
      </c>
      <c r="M167" s="118"/>
      <c r="N167" s="118">
        <v>107766</v>
      </c>
      <c r="O167" s="118"/>
      <c r="P167" s="118">
        <v>121066</v>
      </c>
      <c r="Q167" s="118"/>
      <c r="R167" s="118">
        <v>121066</v>
      </c>
      <c r="S167" s="118"/>
      <c r="T167" s="118">
        <v>68556.328999999998</v>
      </c>
      <c r="U167" s="118"/>
      <c r="V167" s="118">
        <v>68556.328999999998</v>
      </c>
      <c r="W167" s="118"/>
      <c r="X167" s="118"/>
      <c r="Y167" s="118">
        <v>54856.466240000002</v>
      </c>
      <c r="Z167" s="118"/>
      <c r="AA167" s="118">
        <v>54856.466240000002</v>
      </c>
      <c r="AB167" s="118"/>
      <c r="AC167" s="118"/>
      <c r="AD167" s="357">
        <f t="shared" si="9"/>
        <v>0.8001663309597572</v>
      </c>
      <c r="AE167" s="357"/>
      <c r="AF167" s="357">
        <f t="shared" si="10"/>
        <v>0.8001663309597572</v>
      </c>
      <c r="AG167" s="357"/>
      <c r="AH167" s="357"/>
    </row>
    <row r="168" spans="1:34" ht="31.5">
      <c r="A168" s="356" t="s">
        <v>29</v>
      </c>
      <c r="B168" s="346" t="s">
        <v>517</v>
      </c>
      <c r="C168" s="356" t="s">
        <v>299</v>
      </c>
      <c r="D168" s="356"/>
      <c r="E168" s="378" t="s">
        <v>518</v>
      </c>
      <c r="F168" s="378" t="s">
        <v>519</v>
      </c>
      <c r="G168" s="118">
        <v>684475</v>
      </c>
      <c r="H168" s="118"/>
      <c r="I168" s="118">
        <v>547580</v>
      </c>
      <c r="J168" s="118">
        <v>136895</v>
      </c>
      <c r="K168" s="118"/>
      <c r="L168" s="118">
        <v>150461</v>
      </c>
      <c r="M168" s="118"/>
      <c r="N168" s="118">
        <v>150461</v>
      </c>
      <c r="O168" s="118"/>
      <c r="P168" s="118">
        <v>168284</v>
      </c>
      <c r="Q168" s="118"/>
      <c r="R168" s="118">
        <v>168284</v>
      </c>
      <c r="S168" s="118"/>
      <c r="T168" s="118">
        <v>75255.962893999997</v>
      </c>
      <c r="U168" s="118"/>
      <c r="V168" s="118">
        <v>75255.962893999997</v>
      </c>
      <c r="W168" s="118"/>
      <c r="X168" s="118"/>
      <c r="Y168" s="118">
        <v>41180.644672000002</v>
      </c>
      <c r="Z168" s="118"/>
      <c r="AA168" s="118">
        <v>41180.644672000002</v>
      </c>
      <c r="AB168" s="118"/>
      <c r="AC168" s="118"/>
      <c r="AD168" s="357">
        <f t="shared" si="9"/>
        <v>0.54720773063529893</v>
      </c>
      <c r="AE168" s="357"/>
      <c r="AF168" s="357">
        <f t="shared" si="10"/>
        <v>0.54720773063529893</v>
      </c>
      <c r="AG168" s="357"/>
      <c r="AH168" s="357"/>
    </row>
    <row r="169" spans="1:34" ht="63">
      <c r="A169" s="356" t="s">
        <v>29</v>
      </c>
      <c r="B169" s="346" t="s">
        <v>520</v>
      </c>
      <c r="C169" s="356" t="s">
        <v>299</v>
      </c>
      <c r="D169" s="356"/>
      <c r="E169" s="378">
        <v>2015</v>
      </c>
      <c r="F169" s="378" t="s">
        <v>521</v>
      </c>
      <c r="G169" s="118">
        <v>37317</v>
      </c>
      <c r="H169" s="118"/>
      <c r="I169" s="118"/>
      <c r="J169" s="118"/>
      <c r="K169" s="118">
        <v>37317</v>
      </c>
      <c r="L169" s="118">
        <v>37317</v>
      </c>
      <c r="M169" s="118"/>
      <c r="N169" s="118"/>
      <c r="O169" s="118">
        <v>37317</v>
      </c>
      <c r="P169" s="118">
        <v>36782</v>
      </c>
      <c r="Q169" s="118"/>
      <c r="R169" s="118"/>
      <c r="S169" s="118">
        <v>36782</v>
      </c>
      <c r="T169" s="118">
        <v>195.922</v>
      </c>
      <c r="U169" s="118"/>
      <c r="V169" s="118"/>
      <c r="W169" s="118"/>
      <c r="X169" s="118">
        <v>195.922</v>
      </c>
      <c r="Y169" s="118">
        <v>195.922</v>
      </c>
      <c r="Z169" s="118"/>
      <c r="AA169" s="118"/>
      <c r="AB169" s="118"/>
      <c r="AC169" s="118">
        <v>195.922</v>
      </c>
      <c r="AD169" s="357">
        <f t="shared" si="9"/>
        <v>1</v>
      </c>
      <c r="AE169" s="357"/>
      <c r="AF169" s="357"/>
      <c r="AG169" s="357"/>
      <c r="AH169" s="357">
        <f>AC169/X169</f>
        <v>1</v>
      </c>
    </row>
    <row r="170" spans="1:34" ht="47.25">
      <c r="A170" s="356" t="s">
        <v>29</v>
      </c>
      <c r="B170" s="346" t="s">
        <v>522</v>
      </c>
      <c r="C170" s="356" t="s">
        <v>225</v>
      </c>
      <c r="D170" s="356"/>
      <c r="E170" s="378">
        <v>2016</v>
      </c>
      <c r="F170" s="378" t="s">
        <v>523</v>
      </c>
      <c r="G170" s="118">
        <v>10120</v>
      </c>
      <c r="H170" s="118"/>
      <c r="I170" s="118"/>
      <c r="J170" s="118"/>
      <c r="K170" s="118">
        <v>10120</v>
      </c>
      <c r="L170" s="118">
        <v>9850</v>
      </c>
      <c r="M170" s="118"/>
      <c r="N170" s="118"/>
      <c r="O170" s="118">
        <v>9850</v>
      </c>
      <c r="P170" s="118">
        <v>2800</v>
      </c>
      <c r="Q170" s="118"/>
      <c r="R170" s="118"/>
      <c r="S170" s="118">
        <v>2800</v>
      </c>
      <c r="T170" s="118">
        <v>2800</v>
      </c>
      <c r="U170" s="118"/>
      <c r="V170" s="118"/>
      <c r="W170" s="118"/>
      <c r="X170" s="118">
        <v>2800</v>
      </c>
      <c r="Y170" s="118">
        <v>2800</v>
      </c>
      <c r="Z170" s="118"/>
      <c r="AA170" s="118"/>
      <c r="AB170" s="118"/>
      <c r="AC170" s="118">
        <v>2800</v>
      </c>
      <c r="AD170" s="357">
        <f t="shared" si="9"/>
        <v>1</v>
      </c>
      <c r="AE170" s="357"/>
      <c r="AF170" s="357"/>
      <c r="AG170" s="357"/>
      <c r="AH170" s="357">
        <f>AC170/X170</f>
        <v>1</v>
      </c>
    </row>
    <row r="171" spans="1:34" ht="78.75">
      <c r="A171" s="356" t="s">
        <v>29</v>
      </c>
      <c r="B171" s="346" t="s">
        <v>524</v>
      </c>
      <c r="C171" s="356" t="s">
        <v>299</v>
      </c>
      <c r="D171" s="356"/>
      <c r="E171" s="378">
        <v>2015</v>
      </c>
      <c r="F171" s="378" t="s">
        <v>525</v>
      </c>
      <c r="G171" s="118">
        <v>8619</v>
      </c>
      <c r="H171" s="118"/>
      <c r="I171" s="118"/>
      <c r="J171" s="118"/>
      <c r="K171" s="118">
        <v>8619</v>
      </c>
      <c r="L171" s="118">
        <v>7018</v>
      </c>
      <c r="M171" s="118"/>
      <c r="N171" s="118"/>
      <c r="O171" s="118">
        <v>7018</v>
      </c>
      <c r="P171" s="118">
        <v>7018</v>
      </c>
      <c r="Q171" s="118"/>
      <c r="R171" s="118"/>
      <c r="S171" s="118">
        <v>7018</v>
      </c>
      <c r="T171" s="118">
        <v>818.49099999999999</v>
      </c>
      <c r="U171" s="118"/>
      <c r="V171" s="118"/>
      <c r="W171" s="118"/>
      <c r="X171" s="118">
        <v>818.49099999999999</v>
      </c>
      <c r="Y171" s="118">
        <v>688.278728</v>
      </c>
      <c r="Z171" s="118"/>
      <c r="AA171" s="118"/>
      <c r="AB171" s="118"/>
      <c r="AC171" s="118">
        <v>688.278728</v>
      </c>
      <c r="AD171" s="357">
        <f t="shared" si="9"/>
        <v>0.84091178522427246</v>
      </c>
      <c r="AE171" s="357"/>
      <c r="AF171" s="357"/>
      <c r="AG171" s="357"/>
      <c r="AH171" s="357">
        <f>AC171/X171</f>
        <v>0.84091178522427246</v>
      </c>
    </row>
    <row r="172" spans="1:34" ht="31.5">
      <c r="A172" s="356" t="s">
        <v>29</v>
      </c>
      <c r="B172" s="346" t="s">
        <v>526</v>
      </c>
      <c r="C172" s="356" t="s">
        <v>299</v>
      </c>
      <c r="D172" s="356"/>
      <c r="E172" s="378" t="s">
        <v>390</v>
      </c>
      <c r="F172" s="378" t="s">
        <v>519</v>
      </c>
      <c r="G172" s="118">
        <v>17281</v>
      </c>
      <c r="H172" s="118"/>
      <c r="I172" s="118"/>
      <c r="J172" s="118"/>
      <c r="K172" s="118"/>
      <c r="L172" s="118">
        <v>13169</v>
      </c>
      <c r="M172" s="118"/>
      <c r="N172" s="118"/>
      <c r="O172" s="118">
        <v>13169</v>
      </c>
      <c r="P172" s="118">
        <v>13169</v>
      </c>
      <c r="Q172" s="118"/>
      <c r="R172" s="118"/>
      <c r="S172" s="118">
        <v>13169</v>
      </c>
      <c r="T172" s="118">
        <v>927.30240400000002</v>
      </c>
      <c r="U172" s="118"/>
      <c r="V172" s="118"/>
      <c r="W172" s="118"/>
      <c r="X172" s="118">
        <v>927.30240400000002</v>
      </c>
      <c r="Y172" s="118">
        <v>927.30240400000002</v>
      </c>
      <c r="Z172" s="118"/>
      <c r="AA172" s="118"/>
      <c r="AB172" s="118"/>
      <c r="AC172" s="118">
        <v>927.30240400000002</v>
      </c>
      <c r="AD172" s="357">
        <f t="shared" si="9"/>
        <v>1</v>
      </c>
      <c r="AE172" s="357"/>
      <c r="AF172" s="357"/>
      <c r="AG172" s="357"/>
      <c r="AH172" s="357">
        <f>AC172/X172</f>
        <v>1</v>
      </c>
    </row>
    <row r="173" spans="1:34" ht="31.5">
      <c r="A173" s="356" t="s">
        <v>29</v>
      </c>
      <c r="B173" s="346" t="s">
        <v>527</v>
      </c>
      <c r="C173" s="356" t="s">
        <v>439</v>
      </c>
      <c r="D173" s="356"/>
      <c r="E173" s="378" t="s">
        <v>293</v>
      </c>
      <c r="F173" s="378" t="s">
        <v>528</v>
      </c>
      <c r="G173" s="118">
        <v>34464</v>
      </c>
      <c r="H173" s="118"/>
      <c r="I173" s="118"/>
      <c r="J173" s="118"/>
      <c r="K173" s="118"/>
      <c r="L173" s="118">
        <v>21441</v>
      </c>
      <c r="M173" s="118"/>
      <c r="N173" s="118"/>
      <c r="O173" s="118">
        <v>21441</v>
      </c>
      <c r="P173" s="118">
        <v>22000</v>
      </c>
      <c r="Q173" s="118"/>
      <c r="R173" s="118"/>
      <c r="S173" s="118">
        <v>22000</v>
      </c>
      <c r="T173" s="118">
        <v>5302.9443899999997</v>
      </c>
      <c r="U173" s="118"/>
      <c r="V173" s="118"/>
      <c r="W173" s="118"/>
      <c r="X173" s="118">
        <v>5302.9443899999997</v>
      </c>
      <c r="Y173" s="118">
        <v>3703.8819659999999</v>
      </c>
      <c r="Z173" s="118"/>
      <c r="AA173" s="118"/>
      <c r="AB173" s="118"/>
      <c r="AC173" s="118">
        <v>3703.8819659999999</v>
      </c>
      <c r="AD173" s="357">
        <f t="shared" si="9"/>
        <v>0.6984576291210175</v>
      </c>
      <c r="AE173" s="357"/>
      <c r="AF173" s="357"/>
      <c r="AG173" s="357"/>
      <c r="AH173" s="357">
        <f>AC173/X173</f>
        <v>0.6984576291210175</v>
      </c>
    </row>
    <row r="174" spans="1:34" ht="47.25">
      <c r="A174" s="356" t="s">
        <v>29</v>
      </c>
      <c r="B174" s="346" t="s">
        <v>529</v>
      </c>
      <c r="C174" s="356" t="s">
        <v>299</v>
      </c>
      <c r="D174" s="356"/>
      <c r="E174" s="378">
        <v>2017</v>
      </c>
      <c r="F174" s="378" t="s">
        <v>530</v>
      </c>
      <c r="G174" s="118">
        <v>119993</v>
      </c>
      <c r="H174" s="118"/>
      <c r="I174" s="118"/>
      <c r="J174" s="118"/>
      <c r="K174" s="118"/>
      <c r="L174" s="118">
        <v>49166</v>
      </c>
      <c r="M174" s="118"/>
      <c r="N174" s="118">
        <v>49166</v>
      </c>
      <c r="O174" s="118"/>
      <c r="P174" s="118">
        <v>58734</v>
      </c>
      <c r="Q174" s="118"/>
      <c r="R174" s="118">
        <v>58334</v>
      </c>
      <c r="S174" s="118"/>
      <c r="T174" s="118">
        <v>57842</v>
      </c>
      <c r="U174" s="118"/>
      <c r="V174" s="118">
        <v>57842</v>
      </c>
      <c r="W174" s="118"/>
      <c r="X174" s="118"/>
      <c r="Y174" s="118">
        <v>48191.468400999998</v>
      </c>
      <c r="Z174" s="118"/>
      <c r="AA174" s="118">
        <v>48191.468400999998</v>
      </c>
      <c r="AB174" s="118"/>
      <c r="AC174" s="118"/>
      <c r="AD174" s="357">
        <f t="shared" si="9"/>
        <v>0.8331570208671899</v>
      </c>
      <c r="AE174" s="357"/>
      <c r="AF174" s="357">
        <f t="shared" si="10"/>
        <v>0.8331570208671899</v>
      </c>
      <c r="AG174" s="357"/>
      <c r="AH174" s="357"/>
    </row>
    <row r="175" spans="1:34" ht="47.25">
      <c r="A175" s="356" t="s">
        <v>29</v>
      </c>
      <c r="B175" s="346" t="s">
        <v>531</v>
      </c>
      <c r="C175" s="356" t="s">
        <v>299</v>
      </c>
      <c r="D175" s="356"/>
      <c r="E175" s="378" t="s">
        <v>230</v>
      </c>
      <c r="F175" s="378" t="s">
        <v>532</v>
      </c>
      <c r="G175" s="118">
        <v>80000</v>
      </c>
      <c r="H175" s="118"/>
      <c r="I175" s="118">
        <v>63689</v>
      </c>
      <c r="J175" s="118"/>
      <c r="K175" s="118">
        <v>16311</v>
      </c>
      <c r="L175" s="118">
        <v>21222</v>
      </c>
      <c r="M175" s="118"/>
      <c r="N175" s="118"/>
      <c r="O175" s="118"/>
      <c r="P175" s="118">
        <v>37260</v>
      </c>
      <c r="Q175" s="118"/>
      <c r="R175" s="118"/>
      <c r="S175" s="118"/>
      <c r="T175" s="118">
        <v>25735.794188</v>
      </c>
      <c r="U175" s="118"/>
      <c r="V175" s="118">
        <v>25735.794188</v>
      </c>
      <c r="W175" s="118"/>
      <c r="X175" s="118"/>
      <c r="Y175" s="118">
        <v>7535.2130930000003</v>
      </c>
      <c r="Z175" s="118"/>
      <c r="AA175" s="118">
        <v>7535.2130930000003</v>
      </c>
      <c r="AB175" s="118"/>
      <c r="AC175" s="118"/>
      <c r="AD175" s="357">
        <f t="shared" si="9"/>
        <v>0.29279116229929653</v>
      </c>
      <c r="AE175" s="357"/>
      <c r="AF175" s="357">
        <f t="shared" si="10"/>
        <v>0.29279116229929653</v>
      </c>
      <c r="AG175" s="357"/>
      <c r="AH175" s="357"/>
    </row>
    <row r="176" spans="1:34" ht="31.5">
      <c r="A176" s="356" t="s">
        <v>29</v>
      </c>
      <c r="B176" s="346" t="s">
        <v>533</v>
      </c>
      <c r="C176" s="356"/>
      <c r="D176" s="356"/>
      <c r="E176" s="378"/>
      <c r="F176" s="378"/>
      <c r="G176" s="118"/>
      <c r="H176" s="118"/>
      <c r="I176" s="118"/>
      <c r="J176" s="118"/>
      <c r="K176" s="118"/>
      <c r="L176" s="118"/>
      <c r="M176" s="118"/>
      <c r="N176" s="118"/>
      <c r="O176" s="118"/>
      <c r="P176" s="118"/>
      <c r="Q176" s="118"/>
      <c r="R176" s="118"/>
      <c r="S176" s="118"/>
      <c r="T176" s="118">
        <v>2.3400000000517451E-4</v>
      </c>
      <c r="U176" s="118"/>
      <c r="V176" s="118"/>
      <c r="W176" s="118"/>
      <c r="X176" s="118">
        <v>2.3400000000517451E-4</v>
      </c>
      <c r="Y176" s="118">
        <v>0</v>
      </c>
      <c r="Z176" s="118"/>
      <c r="AA176" s="118"/>
      <c r="AB176" s="118"/>
      <c r="AC176" s="118"/>
      <c r="AD176" s="357">
        <f t="shared" si="9"/>
        <v>0</v>
      </c>
      <c r="AE176" s="357"/>
      <c r="AF176" s="357"/>
      <c r="AG176" s="357"/>
      <c r="AH176" s="357">
        <f>AC176/X176</f>
        <v>0</v>
      </c>
    </row>
    <row r="177" spans="1:34" ht="31.5">
      <c r="A177" s="356" t="s">
        <v>29</v>
      </c>
      <c r="B177" s="346" t="s">
        <v>534</v>
      </c>
      <c r="C177" s="356" t="s">
        <v>299</v>
      </c>
      <c r="D177" s="356"/>
      <c r="E177" s="378">
        <v>2016</v>
      </c>
      <c r="F177" s="378" t="s">
        <v>532</v>
      </c>
      <c r="G177" s="118">
        <v>199480</v>
      </c>
      <c r="H177" s="118"/>
      <c r="I177" s="118"/>
      <c r="J177" s="118"/>
      <c r="K177" s="118"/>
      <c r="L177" s="118">
        <v>3380</v>
      </c>
      <c r="M177" s="118"/>
      <c r="N177" s="118"/>
      <c r="O177" s="118"/>
      <c r="P177" s="118">
        <v>50190</v>
      </c>
      <c r="Q177" s="118"/>
      <c r="R177" s="118">
        <v>50000</v>
      </c>
      <c r="S177" s="118"/>
      <c r="T177" s="118">
        <v>50000</v>
      </c>
      <c r="U177" s="118"/>
      <c r="V177" s="118">
        <v>50000</v>
      </c>
      <c r="W177" s="118"/>
      <c r="X177" s="118"/>
      <c r="Y177" s="118">
        <v>1930</v>
      </c>
      <c r="Z177" s="118"/>
      <c r="AA177" s="118">
        <v>1930</v>
      </c>
      <c r="AB177" s="118"/>
      <c r="AC177" s="118"/>
      <c r="AD177" s="357">
        <f t="shared" si="9"/>
        <v>3.8600000000000002E-2</v>
      </c>
      <c r="AE177" s="357"/>
      <c r="AF177" s="357">
        <f t="shared" si="10"/>
        <v>3.8600000000000002E-2</v>
      </c>
      <c r="AG177" s="357"/>
      <c r="AH177" s="357"/>
    </row>
    <row r="178" spans="1:34">
      <c r="A178" s="356" t="s">
        <v>29</v>
      </c>
      <c r="B178" s="346" t="s">
        <v>535</v>
      </c>
      <c r="C178" s="356"/>
      <c r="D178" s="356"/>
      <c r="E178" s="378"/>
      <c r="F178" s="378"/>
      <c r="G178" s="118"/>
      <c r="H178" s="118"/>
      <c r="I178" s="118"/>
      <c r="J178" s="118"/>
      <c r="K178" s="118"/>
      <c r="L178" s="118"/>
      <c r="M178" s="118"/>
      <c r="N178" s="118"/>
      <c r="O178" s="118"/>
      <c r="P178" s="118"/>
      <c r="Q178" s="118"/>
      <c r="R178" s="118"/>
      <c r="S178" s="118"/>
      <c r="T178" s="118">
        <v>185</v>
      </c>
      <c r="U178" s="118"/>
      <c r="V178" s="118"/>
      <c r="W178" s="118"/>
      <c r="X178" s="118">
        <v>185</v>
      </c>
      <c r="Y178" s="118">
        <v>0</v>
      </c>
      <c r="Z178" s="118"/>
      <c r="AA178" s="118"/>
      <c r="AB178" s="118"/>
      <c r="AC178" s="118"/>
      <c r="AD178" s="357">
        <f t="shared" si="9"/>
        <v>0</v>
      </c>
      <c r="AE178" s="357"/>
      <c r="AF178" s="357"/>
      <c r="AG178" s="357"/>
      <c r="AH178" s="357">
        <f t="shared" ref="AH178:AH194" si="11">AC178/X178</f>
        <v>0</v>
      </c>
    </row>
    <row r="179" spans="1:34" ht="31.5">
      <c r="A179" s="356" t="s">
        <v>29</v>
      </c>
      <c r="B179" s="346" t="s">
        <v>536</v>
      </c>
      <c r="C179" s="356" t="s">
        <v>299</v>
      </c>
      <c r="D179" s="356"/>
      <c r="E179" s="378" t="s">
        <v>518</v>
      </c>
      <c r="F179" s="378" t="s">
        <v>537</v>
      </c>
      <c r="G179" s="118">
        <v>955372</v>
      </c>
      <c r="H179" s="118"/>
      <c r="I179" s="118"/>
      <c r="J179" s="118"/>
      <c r="K179" s="118"/>
      <c r="L179" s="118">
        <v>12864</v>
      </c>
      <c r="M179" s="118">
        <v>3354</v>
      </c>
      <c r="N179" s="118"/>
      <c r="O179" s="118">
        <v>9510</v>
      </c>
      <c r="P179" s="118">
        <v>12558</v>
      </c>
      <c r="Q179" s="118">
        <v>3361</v>
      </c>
      <c r="R179" s="118"/>
      <c r="S179" s="118">
        <v>9204</v>
      </c>
      <c r="T179" s="118">
        <v>17423.879830000002</v>
      </c>
      <c r="U179" s="118">
        <f>T179-X179</f>
        <v>13335.358330000003</v>
      </c>
      <c r="V179" s="118"/>
      <c r="W179" s="118"/>
      <c r="X179" s="118">
        <v>4088.5214999999989</v>
      </c>
      <c r="Y179" s="118">
        <f>Z179+AC179</f>
        <v>6854.5368040000003</v>
      </c>
      <c r="Z179" s="118">
        <v>3119.6393040000003</v>
      </c>
      <c r="AA179" s="118"/>
      <c r="AB179" s="118"/>
      <c r="AC179" s="118">
        <v>3734.8975</v>
      </c>
      <c r="AD179" s="357">
        <f t="shared" si="9"/>
        <v>0.39339899441902887</v>
      </c>
      <c r="AE179" s="357">
        <f t="shared" si="9"/>
        <v>0.23393741861303247</v>
      </c>
      <c r="AF179" s="357"/>
      <c r="AG179" s="357"/>
      <c r="AH179" s="357">
        <f t="shared" si="11"/>
        <v>0.91350809822083634</v>
      </c>
    </row>
    <row r="180" spans="1:34" ht="47.25">
      <c r="A180" s="356" t="s">
        <v>29</v>
      </c>
      <c r="B180" s="346" t="s">
        <v>538</v>
      </c>
      <c r="C180" s="356" t="s">
        <v>488</v>
      </c>
      <c r="D180" s="356"/>
      <c r="E180" s="378" t="s">
        <v>293</v>
      </c>
      <c r="F180" s="378" t="s">
        <v>539</v>
      </c>
      <c r="G180" s="118">
        <v>78968</v>
      </c>
      <c r="H180" s="118"/>
      <c r="I180" s="118"/>
      <c r="J180" s="118"/>
      <c r="K180" s="118"/>
      <c r="L180" s="118">
        <v>29785</v>
      </c>
      <c r="M180" s="118"/>
      <c r="N180" s="118"/>
      <c r="O180" s="118">
        <v>29785</v>
      </c>
      <c r="P180" s="118">
        <v>40000</v>
      </c>
      <c r="Q180" s="118"/>
      <c r="R180" s="118"/>
      <c r="S180" s="118">
        <v>40000</v>
      </c>
      <c r="T180" s="118">
        <v>28785.196526</v>
      </c>
      <c r="U180" s="118"/>
      <c r="V180" s="118"/>
      <c r="W180" s="118"/>
      <c r="X180" s="118">
        <v>28785.196526</v>
      </c>
      <c r="Y180" s="118">
        <v>17084.722806999998</v>
      </c>
      <c r="Z180" s="118"/>
      <c r="AA180" s="118"/>
      <c r="AB180" s="118"/>
      <c r="AC180" s="118">
        <v>17084.722806999998</v>
      </c>
      <c r="AD180" s="357">
        <f t="shared" si="9"/>
        <v>0.59352461921072375</v>
      </c>
      <c r="AE180" s="357"/>
      <c r="AF180" s="357"/>
      <c r="AG180" s="357"/>
      <c r="AH180" s="357">
        <f t="shared" si="11"/>
        <v>0.59352461921072375</v>
      </c>
    </row>
    <row r="181" spans="1:34" ht="31.5">
      <c r="A181" s="356" t="s">
        <v>29</v>
      </c>
      <c r="B181" s="346" t="s">
        <v>540</v>
      </c>
      <c r="C181" s="356" t="s">
        <v>488</v>
      </c>
      <c r="D181" s="356"/>
      <c r="E181" s="378" t="s">
        <v>226</v>
      </c>
      <c r="F181" s="378" t="s">
        <v>541</v>
      </c>
      <c r="G181" s="118">
        <v>46090</v>
      </c>
      <c r="H181" s="118"/>
      <c r="I181" s="118"/>
      <c r="J181" s="118"/>
      <c r="K181" s="118"/>
      <c r="L181" s="118">
        <v>9228</v>
      </c>
      <c r="M181" s="118"/>
      <c r="N181" s="118"/>
      <c r="O181" s="118">
        <v>9228</v>
      </c>
      <c r="P181" s="118">
        <v>15000</v>
      </c>
      <c r="Q181" s="118"/>
      <c r="R181" s="118"/>
      <c r="S181" s="118">
        <v>15000</v>
      </c>
      <c r="T181" s="118">
        <v>15000</v>
      </c>
      <c r="U181" s="118"/>
      <c r="V181" s="118"/>
      <c r="W181" s="118"/>
      <c r="X181" s="118">
        <v>15000</v>
      </c>
      <c r="Y181" s="118">
        <v>8911.4126419999993</v>
      </c>
      <c r="Z181" s="118"/>
      <c r="AA181" s="118"/>
      <c r="AB181" s="118"/>
      <c r="AC181" s="118">
        <v>8911.4126419999993</v>
      </c>
      <c r="AD181" s="357">
        <f t="shared" si="9"/>
        <v>0.59409417613333326</v>
      </c>
      <c r="AE181" s="357"/>
      <c r="AF181" s="357"/>
      <c r="AG181" s="357"/>
      <c r="AH181" s="357">
        <f t="shared" si="11"/>
        <v>0.59409417613333326</v>
      </c>
    </row>
    <row r="182" spans="1:34" ht="63">
      <c r="A182" s="356" t="s">
        <v>29</v>
      </c>
      <c r="B182" s="346" t="s">
        <v>542</v>
      </c>
      <c r="C182" s="356" t="s">
        <v>299</v>
      </c>
      <c r="D182" s="356"/>
      <c r="E182" s="378">
        <v>2017</v>
      </c>
      <c r="F182" s="378" t="s">
        <v>543</v>
      </c>
      <c r="G182" s="118">
        <v>10000</v>
      </c>
      <c r="H182" s="118"/>
      <c r="I182" s="118"/>
      <c r="J182" s="118"/>
      <c r="K182" s="118"/>
      <c r="L182" s="118">
        <v>5034</v>
      </c>
      <c r="M182" s="118"/>
      <c r="N182" s="118"/>
      <c r="O182" s="118"/>
      <c r="P182" s="118">
        <v>3900</v>
      </c>
      <c r="Q182" s="118"/>
      <c r="R182" s="118"/>
      <c r="S182" s="118">
        <v>3900</v>
      </c>
      <c r="T182" s="118">
        <v>3900</v>
      </c>
      <c r="U182" s="118"/>
      <c r="V182" s="118"/>
      <c r="W182" s="118"/>
      <c r="X182" s="118">
        <v>3900</v>
      </c>
      <c r="Y182" s="118">
        <v>3800</v>
      </c>
      <c r="Z182" s="118"/>
      <c r="AA182" s="118"/>
      <c r="AB182" s="118"/>
      <c r="AC182" s="118">
        <v>3800</v>
      </c>
      <c r="AD182" s="357">
        <f t="shared" si="9"/>
        <v>0.97435897435897434</v>
      </c>
      <c r="AE182" s="357"/>
      <c r="AF182" s="357"/>
      <c r="AG182" s="357"/>
      <c r="AH182" s="357">
        <f t="shared" si="11"/>
        <v>0.97435897435897434</v>
      </c>
    </row>
    <row r="183" spans="1:34" ht="31.5">
      <c r="A183" s="356" t="s">
        <v>29</v>
      </c>
      <c r="B183" s="346" t="s">
        <v>544</v>
      </c>
      <c r="C183" s="356" t="s">
        <v>439</v>
      </c>
      <c r="D183" s="356"/>
      <c r="E183" s="378" t="s">
        <v>226</v>
      </c>
      <c r="F183" s="378" t="s">
        <v>545</v>
      </c>
      <c r="G183" s="118">
        <v>98035</v>
      </c>
      <c r="H183" s="118"/>
      <c r="I183" s="118"/>
      <c r="J183" s="118"/>
      <c r="K183" s="118"/>
      <c r="L183" s="118">
        <v>21832</v>
      </c>
      <c r="M183" s="118"/>
      <c r="N183" s="118"/>
      <c r="O183" s="118">
        <v>21832</v>
      </c>
      <c r="P183" s="118">
        <v>25000</v>
      </c>
      <c r="Q183" s="118"/>
      <c r="R183" s="118"/>
      <c r="S183" s="118">
        <v>25000</v>
      </c>
      <c r="T183" s="118">
        <v>25000</v>
      </c>
      <c r="U183" s="118"/>
      <c r="V183" s="118"/>
      <c r="W183" s="118"/>
      <c r="X183" s="118">
        <v>25000</v>
      </c>
      <c r="Y183" s="118">
        <v>21832.045416000001</v>
      </c>
      <c r="Z183" s="118"/>
      <c r="AA183" s="118"/>
      <c r="AB183" s="118"/>
      <c r="AC183" s="118">
        <v>21832.045416000001</v>
      </c>
      <c r="AD183" s="357">
        <f t="shared" si="9"/>
        <v>0.87328181664000004</v>
      </c>
      <c r="AE183" s="357"/>
      <c r="AF183" s="357"/>
      <c r="AG183" s="357"/>
      <c r="AH183" s="357">
        <f t="shared" si="11"/>
        <v>0.87328181664000004</v>
      </c>
    </row>
    <row r="184" spans="1:34" ht="31.5">
      <c r="A184" s="356" t="s">
        <v>29</v>
      </c>
      <c r="B184" s="346" t="s">
        <v>546</v>
      </c>
      <c r="C184" s="356" t="s">
        <v>439</v>
      </c>
      <c r="D184" s="356"/>
      <c r="E184" s="378" t="s">
        <v>226</v>
      </c>
      <c r="F184" s="378" t="s">
        <v>547</v>
      </c>
      <c r="G184" s="118">
        <v>134152</v>
      </c>
      <c r="H184" s="118"/>
      <c r="I184" s="118"/>
      <c r="J184" s="118"/>
      <c r="K184" s="118"/>
      <c r="L184" s="118">
        <v>22631</v>
      </c>
      <c r="M184" s="118"/>
      <c r="N184" s="118"/>
      <c r="O184" s="118">
        <v>22631</v>
      </c>
      <c r="P184" s="118">
        <v>30600</v>
      </c>
      <c r="Q184" s="118"/>
      <c r="R184" s="118"/>
      <c r="S184" s="118">
        <v>30600</v>
      </c>
      <c r="T184" s="118">
        <v>30600</v>
      </c>
      <c r="U184" s="118"/>
      <c r="V184" s="118"/>
      <c r="W184" s="118"/>
      <c r="X184" s="118">
        <v>30600</v>
      </c>
      <c r="Y184" s="118">
        <v>22631.425472999999</v>
      </c>
      <c r="Z184" s="118"/>
      <c r="AA184" s="118"/>
      <c r="AB184" s="118"/>
      <c r="AC184" s="118">
        <v>22631.425472999999</v>
      </c>
      <c r="AD184" s="357">
        <f t="shared" si="9"/>
        <v>0.73958906774509803</v>
      </c>
      <c r="AE184" s="357"/>
      <c r="AF184" s="357"/>
      <c r="AG184" s="357"/>
      <c r="AH184" s="357">
        <f t="shared" si="11"/>
        <v>0.73958906774509803</v>
      </c>
    </row>
    <row r="185" spans="1:34" ht="31.5">
      <c r="A185" s="356" t="s">
        <v>29</v>
      </c>
      <c r="B185" s="346" t="s">
        <v>548</v>
      </c>
      <c r="C185" s="356" t="s">
        <v>439</v>
      </c>
      <c r="D185" s="356"/>
      <c r="E185" s="378" t="s">
        <v>226</v>
      </c>
      <c r="F185" s="378" t="s">
        <v>549</v>
      </c>
      <c r="G185" s="118">
        <v>65988</v>
      </c>
      <c r="H185" s="118"/>
      <c r="I185" s="118"/>
      <c r="J185" s="118"/>
      <c r="K185" s="118"/>
      <c r="L185" s="118">
        <v>21655</v>
      </c>
      <c r="M185" s="118"/>
      <c r="N185" s="118"/>
      <c r="O185" s="118">
        <v>21655</v>
      </c>
      <c r="P185" s="118">
        <v>25000</v>
      </c>
      <c r="Q185" s="118"/>
      <c r="R185" s="118"/>
      <c r="S185" s="118">
        <v>25000</v>
      </c>
      <c r="T185" s="118">
        <v>25000</v>
      </c>
      <c r="U185" s="118"/>
      <c r="V185" s="118"/>
      <c r="W185" s="118"/>
      <c r="X185" s="118">
        <v>25000</v>
      </c>
      <c r="Y185" s="118">
        <v>21655.389789000001</v>
      </c>
      <c r="Z185" s="118"/>
      <c r="AA185" s="118"/>
      <c r="AB185" s="118"/>
      <c r="AC185" s="118">
        <v>21655.389789000001</v>
      </c>
      <c r="AD185" s="357">
        <f t="shared" si="9"/>
        <v>0.86621559156000005</v>
      </c>
      <c r="AE185" s="357"/>
      <c r="AF185" s="357"/>
      <c r="AG185" s="357"/>
      <c r="AH185" s="357">
        <f t="shared" si="11"/>
        <v>0.86621559156000005</v>
      </c>
    </row>
    <row r="186" spans="1:34" ht="31.5">
      <c r="A186" s="356" t="s">
        <v>29</v>
      </c>
      <c r="B186" s="346" t="s">
        <v>550</v>
      </c>
      <c r="C186" s="356" t="s">
        <v>439</v>
      </c>
      <c r="D186" s="356"/>
      <c r="E186" s="378" t="s">
        <v>226</v>
      </c>
      <c r="F186" s="378" t="s">
        <v>551</v>
      </c>
      <c r="G186" s="118">
        <v>164335</v>
      </c>
      <c r="H186" s="118"/>
      <c r="I186" s="118"/>
      <c r="J186" s="118"/>
      <c r="K186" s="118"/>
      <c r="L186" s="118"/>
      <c r="M186" s="118"/>
      <c r="N186" s="118"/>
      <c r="O186" s="118"/>
      <c r="P186" s="118"/>
      <c r="Q186" s="118"/>
      <c r="R186" s="118"/>
      <c r="S186" s="118"/>
      <c r="T186" s="118">
        <v>11400</v>
      </c>
      <c r="U186" s="118"/>
      <c r="V186" s="118"/>
      <c r="W186" s="118"/>
      <c r="X186" s="118">
        <v>11400</v>
      </c>
      <c r="Y186" s="118">
        <v>0</v>
      </c>
      <c r="Z186" s="118"/>
      <c r="AA186" s="118"/>
      <c r="AB186" s="118"/>
      <c r="AC186" s="118"/>
      <c r="AD186" s="357">
        <f t="shared" si="9"/>
        <v>0</v>
      </c>
      <c r="AE186" s="357"/>
      <c r="AF186" s="357"/>
      <c r="AG186" s="357"/>
      <c r="AH186" s="357">
        <f t="shared" si="11"/>
        <v>0</v>
      </c>
    </row>
    <row r="187" spans="1:34" ht="31.5">
      <c r="A187" s="356" t="s">
        <v>29</v>
      </c>
      <c r="B187" s="346" t="s">
        <v>552</v>
      </c>
      <c r="C187" s="356" t="s">
        <v>488</v>
      </c>
      <c r="D187" s="356"/>
      <c r="E187" s="378" t="s">
        <v>226</v>
      </c>
      <c r="F187" s="378" t="s">
        <v>553</v>
      </c>
      <c r="G187" s="118">
        <v>34562</v>
      </c>
      <c r="H187" s="118"/>
      <c r="I187" s="118"/>
      <c r="J187" s="118"/>
      <c r="K187" s="118"/>
      <c r="L187" s="118"/>
      <c r="M187" s="118"/>
      <c r="N187" s="118"/>
      <c r="O187" s="118"/>
      <c r="P187" s="118"/>
      <c r="Q187" s="118"/>
      <c r="R187" s="118"/>
      <c r="S187" s="118"/>
      <c r="T187" s="118">
        <v>10000</v>
      </c>
      <c r="U187" s="118"/>
      <c r="V187" s="118"/>
      <c r="W187" s="118"/>
      <c r="X187" s="118">
        <v>10000</v>
      </c>
      <c r="Y187" s="118">
        <v>0</v>
      </c>
      <c r="Z187" s="118"/>
      <c r="AA187" s="118"/>
      <c r="AB187" s="118"/>
      <c r="AC187" s="118"/>
      <c r="AD187" s="357">
        <f t="shared" si="9"/>
        <v>0</v>
      </c>
      <c r="AE187" s="357"/>
      <c r="AF187" s="357"/>
      <c r="AG187" s="357"/>
      <c r="AH187" s="357">
        <f t="shared" si="11"/>
        <v>0</v>
      </c>
    </row>
    <row r="188" spans="1:34" ht="47.25">
      <c r="A188" s="356" t="s">
        <v>29</v>
      </c>
      <c r="B188" s="346" t="s">
        <v>554</v>
      </c>
      <c r="C188" s="356" t="s">
        <v>299</v>
      </c>
      <c r="D188" s="356"/>
      <c r="E188" s="378" t="s">
        <v>274</v>
      </c>
      <c r="F188" s="378" t="s">
        <v>555</v>
      </c>
      <c r="G188" s="118">
        <v>1858000</v>
      </c>
      <c r="H188" s="118"/>
      <c r="I188" s="118"/>
      <c r="J188" s="118"/>
      <c r="K188" s="118"/>
      <c r="L188" s="118"/>
      <c r="M188" s="118"/>
      <c r="N188" s="118"/>
      <c r="O188" s="118"/>
      <c r="P188" s="118"/>
      <c r="Q188" s="118"/>
      <c r="R188" s="118"/>
      <c r="S188" s="118"/>
      <c r="T188" s="118">
        <v>1500</v>
      </c>
      <c r="U188" s="118"/>
      <c r="V188" s="118"/>
      <c r="W188" s="118"/>
      <c r="X188" s="118">
        <v>1500</v>
      </c>
      <c r="Y188" s="118">
        <v>0</v>
      </c>
      <c r="Z188" s="118"/>
      <c r="AA188" s="118"/>
      <c r="AB188" s="118"/>
      <c r="AC188" s="118"/>
      <c r="AD188" s="357">
        <f t="shared" si="9"/>
        <v>0</v>
      </c>
      <c r="AE188" s="357"/>
      <c r="AF188" s="357"/>
      <c r="AG188" s="357"/>
      <c r="AH188" s="357">
        <f t="shared" si="11"/>
        <v>0</v>
      </c>
    </row>
    <row r="189" spans="1:34" ht="31.5">
      <c r="A189" s="356" t="s">
        <v>29</v>
      </c>
      <c r="B189" s="346" t="s">
        <v>556</v>
      </c>
      <c r="C189" s="356" t="s">
        <v>299</v>
      </c>
      <c r="D189" s="356"/>
      <c r="E189" s="378" t="s">
        <v>493</v>
      </c>
      <c r="F189" s="378" t="s">
        <v>557</v>
      </c>
      <c r="G189" s="118">
        <v>41974</v>
      </c>
      <c r="H189" s="118"/>
      <c r="I189" s="118"/>
      <c r="J189" s="118"/>
      <c r="K189" s="118"/>
      <c r="L189" s="118">
        <v>11368</v>
      </c>
      <c r="M189" s="118"/>
      <c r="N189" s="118"/>
      <c r="O189" s="118"/>
      <c r="P189" s="118">
        <v>12129</v>
      </c>
      <c r="Q189" s="118"/>
      <c r="R189" s="118"/>
      <c r="S189" s="118"/>
      <c r="T189" s="118">
        <v>1129.4730000000004</v>
      </c>
      <c r="U189" s="118"/>
      <c r="V189" s="118"/>
      <c r="W189" s="118"/>
      <c r="X189" s="118">
        <v>1129.4730000000004</v>
      </c>
      <c r="Y189" s="118">
        <v>0</v>
      </c>
      <c r="Z189" s="118"/>
      <c r="AA189" s="118"/>
      <c r="AB189" s="118"/>
      <c r="AC189" s="118"/>
      <c r="AD189" s="357">
        <f t="shared" si="9"/>
        <v>0</v>
      </c>
      <c r="AE189" s="357"/>
      <c r="AF189" s="357"/>
      <c r="AG189" s="357"/>
      <c r="AH189" s="357">
        <f t="shared" si="11"/>
        <v>0</v>
      </c>
    </row>
    <row r="190" spans="1:34" ht="31.5">
      <c r="A190" s="356" t="s">
        <v>29</v>
      </c>
      <c r="B190" s="346" t="s">
        <v>558</v>
      </c>
      <c r="C190" s="356" t="s">
        <v>299</v>
      </c>
      <c r="D190" s="356"/>
      <c r="E190" s="378" t="s">
        <v>559</v>
      </c>
      <c r="F190" s="378" t="s">
        <v>560</v>
      </c>
      <c r="G190" s="118">
        <v>20927</v>
      </c>
      <c r="H190" s="118"/>
      <c r="I190" s="118"/>
      <c r="J190" s="118"/>
      <c r="K190" s="118"/>
      <c r="L190" s="118">
        <v>2763</v>
      </c>
      <c r="M190" s="118"/>
      <c r="N190" s="118"/>
      <c r="O190" s="118"/>
      <c r="P190" s="118">
        <v>2790</v>
      </c>
      <c r="Q190" s="118"/>
      <c r="R190" s="118"/>
      <c r="S190" s="118"/>
      <c r="T190" s="118">
        <v>1511.5219999999999</v>
      </c>
      <c r="U190" s="118"/>
      <c r="V190" s="118"/>
      <c r="W190" s="118"/>
      <c r="X190" s="118">
        <v>1511.5219999999999</v>
      </c>
      <c r="Y190" s="118">
        <v>0</v>
      </c>
      <c r="Z190" s="118"/>
      <c r="AA190" s="118"/>
      <c r="AB190" s="118"/>
      <c r="AC190" s="118"/>
      <c r="AD190" s="357">
        <f t="shared" si="9"/>
        <v>0</v>
      </c>
      <c r="AE190" s="357"/>
      <c r="AF190" s="357"/>
      <c r="AG190" s="357"/>
      <c r="AH190" s="357">
        <f t="shared" si="11"/>
        <v>0</v>
      </c>
    </row>
    <row r="191" spans="1:34" ht="31.5">
      <c r="A191" s="356" t="s">
        <v>29</v>
      </c>
      <c r="B191" s="346" t="s">
        <v>561</v>
      </c>
      <c r="C191" s="356" t="s">
        <v>299</v>
      </c>
      <c r="D191" s="356"/>
      <c r="E191" s="378" t="s">
        <v>562</v>
      </c>
      <c r="F191" s="378" t="s">
        <v>563</v>
      </c>
      <c r="G191" s="118">
        <v>45823</v>
      </c>
      <c r="H191" s="118"/>
      <c r="I191" s="118"/>
      <c r="J191" s="118"/>
      <c r="K191" s="118"/>
      <c r="L191" s="118">
        <v>18348</v>
      </c>
      <c r="M191" s="118"/>
      <c r="N191" s="118"/>
      <c r="O191" s="118"/>
      <c r="P191" s="118">
        <v>19998</v>
      </c>
      <c r="Q191" s="118"/>
      <c r="R191" s="118"/>
      <c r="S191" s="118"/>
      <c r="T191" s="118">
        <v>1650</v>
      </c>
      <c r="U191" s="118"/>
      <c r="V191" s="118"/>
      <c r="W191" s="118"/>
      <c r="X191" s="118">
        <v>1650</v>
      </c>
      <c r="Y191" s="118">
        <v>0</v>
      </c>
      <c r="Z191" s="118"/>
      <c r="AA191" s="118"/>
      <c r="AB191" s="118"/>
      <c r="AC191" s="118"/>
      <c r="AD191" s="357">
        <f t="shared" si="9"/>
        <v>0</v>
      </c>
      <c r="AE191" s="357"/>
      <c r="AF191" s="357"/>
      <c r="AG191" s="357"/>
      <c r="AH191" s="357">
        <f t="shared" si="11"/>
        <v>0</v>
      </c>
    </row>
    <row r="192" spans="1:34" ht="47.25">
      <c r="A192" s="356" t="s">
        <v>29</v>
      </c>
      <c r="B192" s="346" t="s">
        <v>564</v>
      </c>
      <c r="C192" s="356" t="s">
        <v>299</v>
      </c>
      <c r="D192" s="356"/>
      <c r="E192" s="378" t="s">
        <v>565</v>
      </c>
      <c r="F192" s="378" t="s">
        <v>566</v>
      </c>
      <c r="G192" s="118">
        <v>69674</v>
      </c>
      <c r="H192" s="118"/>
      <c r="I192" s="118"/>
      <c r="J192" s="118"/>
      <c r="K192" s="118"/>
      <c r="L192" s="118">
        <v>38852</v>
      </c>
      <c r="M192" s="118"/>
      <c r="N192" s="118"/>
      <c r="O192" s="118"/>
      <c r="P192" s="118">
        <v>38852</v>
      </c>
      <c r="Q192" s="118"/>
      <c r="R192" s="118"/>
      <c r="S192" s="118"/>
      <c r="T192" s="118">
        <v>20.635159999999999</v>
      </c>
      <c r="U192" s="118"/>
      <c r="V192" s="118"/>
      <c r="W192" s="118"/>
      <c r="X192" s="118">
        <v>20.635159999999999</v>
      </c>
      <c r="Y192" s="118">
        <v>0</v>
      </c>
      <c r="Z192" s="118"/>
      <c r="AA192" s="118"/>
      <c r="AB192" s="118"/>
      <c r="AC192" s="118"/>
      <c r="AD192" s="357">
        <f t="shared" si="9"/>
        <v>0</v>
      </c>
      <c r="AE192" s="357"/>
      <c r="AF192" s="357"/>
      <c r="AG192" s="357"/>
      <c r="AH192" s="357">
        <f t="shared" si="11"/>
        <v>0</v>
      </c>
    </row>
    <row r="193" spans="1:34" ht="31.5">
      <c r="A193" s="356" t="s">
        <v>29</v>
      </c>
      <c r="B193" s="346" t="s">
        <v>567</v>
      </c>
      <c r="C193" s="356" t="s">
        <v>299</v>
      </c>
      <c r="D193" s="356"/>
      <c r="E193" s="378" t="s">
        <v>568</v>
      </c>
      <c r="F193" s="378" t="s">
        <v>569</v>
      </c>
      <c r="G193" s="118">
        <v>334626</v>
      </c>
      <c r="H193" s="118"/>
      <c r="I193" s="118"/>
      <c r="J193" s="118"/>
      <c r="K193" s="118"/>
      <c r="L193" s="118">
        <v>10942</v>
      </c>
      <c r="M193" s="118"/>
      <c r="N193" s="118"/>
      <c r="O193" s="118"/>
      <c r="P193" s="118">
        <v>11267</v>
      </c>
      <c r="Q193" s="118"/>
      <c r="R193" s="118"/>
      <c r="S193" s="118"/>
      <c r="T193" s="118">
        <v>376.13400000000024</v>
      </c>
      <c r="U193" s="118"/>
      <c r="V193" s="118"/>
      <c r="W193" s="118"/>
      <c r="X193" s="118">
        <v>376.13400000000024</v>
      </c>
      <c r="Y193" s="118">
        <v>0</v>
      </c>
      <c r="Z193" s="118"/>
      <c r="AA193" s="118"/>
      <c r="AB193" s="118"/>
      <c r="AC193" s="118"/>
      <c r="AD193" s="357">
        <f t="shared" si="9"/>
        <v>0</v>
      </c>
      <c r="AE193" s="357"/>
      <c r="AF193" s="357"/>
      <c r="AG193" s="357"/>
      <c r="AH193" s="357">
        <f t="shared" si="11"/>
        <v>0</v>
      </c>
    </row>
    <row r="194" spans="1:34" ht="31.5">
      <c r="A194" s="356" t="s">
        <v>29</v>
      </c>
      <c r="B194" s="346" t="s">
        <v>570</v>
      </c>
      <c r="C194" s="356" t="s">
        <v>299</v>
      </c>
      <c r="D194" s="356"/>
      <c r="E194" s="378" t="s">
        <v>559</v>
      </c>
      <c r="F194" s="378" t="s">
        <v>569</v>
      </c>
      <c r="G194" s="118">
        <v>34396</v>
      </c>
      <c r="H194" s="118"/>
      <c r="I194" s="118"/>
      <c r="J194" s="118"/>
      <c r="K194" s="118"/>
      <c r="L194" s="118">
        <v>3690</v>
      </c>
      <c r="M194" s="118"/>
      <c r="N194" s="118"/>
      <c r="O194" s="118"/>
      <c r="P194" s="118">
        <v>3808</v>
      </c>
      <c r="Q194" s="118"/>
      <c r="R194" s="118"/>
      <c r="S194" s="118"/>
      <c r="T194" s="118">
        <v>124.82102599999999</v>
      </c>
      <c r="U194" s="118"/>
      <c r="V194" s="118"/>
      <c r="W194" s="118"/>
      <c r="X194" s="118">
        <v>124.82102599999999</v>
      </c>
      <c r="Y194" s="118">
        <v>0</v>
      </c>
      <c r="Z194" s="118"/>
      <c r="AA194" s="118"/>
      <c r="AB194" s="118"/>
      <c r="AC194" s="118"/>
      <c r="AD194" s="357">
        <f t="shared" si="9"/>
        <v>0</v>
      </c>
      <c r="AE194" s="357"/>
      <c r="AF194" s="357"/>
      <c r="AG194" s="357"/>
      <c r="AH194" s="357">
        <f t="shared" si="11"/>
        <v>0</v>
      </c>
    </row>
    <row r="195" spans="1:34" ht="63">
      <c r="A195" s="356" t="s">
        <v>29</v>
      </c>
      <c r="B195" s="346" t="s">
        <v>571</v>
      </c>
      <c r="C195" s="356" t="s">
        <v>458</v>
      </c>
      <c r="D195" s="356"/>
      <c r="E195" s="378">
        <v>2017</v>
      </c>
      <c r="F195" s="378" t="s">
        <v>530</v>
      </c>
      <c r="G195" s="118">
        <v>1479000</v>
      </c>
      <c r="H195" s="118"/>
      <c r="I195" s="118"/>
      <c r="J195" s="118">
        <v>1479000</v>
      </c>
      <c r="K195" s="118"/>
      <c r="L195" s="118">
        <v>5188</v>
      </c>
      <c r="M195" s="118"/>
      <c r="N195" s="118"/>
      <c r="O195" s="118"/>
      <c r="P195" s="118"/>
      <c r="Q195" s="118"/>
      <c r="R195" s="118"/>
      <c r="S195" s="118"/>
      <c r="T195" s="118">
        <v>810000</v>
      </c>
      <c r="U195" s="118"/>
      <c r="V195" s="118"/>
      <c r="W195" s="118">
        <v>810000</v>
      </c>
      <c r="X195" s="118"/>
      <c r="Y195" s="118">
        <v>4550</v>
      </c>
      <c r="Z195" s="118"/>
      <c r="AA195" s="118"/>
      <c r="AB195" s="118">
        <v>4550</v>
      </c>
      <c r="AC195" s="118"/>
      <c r="AD195" s="357">
        <f t="shared" si="9"/>
        <v>5.6172839506172844E-3</v>
      </c>
      <c r="AE195" s="357"/>
      <c r="AF195" s="357"/>
      <c r="AG195" s="357">
        <f>AB195/W195</f>
        <v>5.6172839506172844E-3</v>
      </c>
      <c r="AH195" s="357"/>
    </row>
    <row r="196" spans="1:34" ht="31.5">
      <c r="A196" s="356" t="s">
        <v>29</v>
      </c>
      <c r="B196" s="346" t="s">
        <v>572</v>
      </c>
      <c r="C196" s="356" t="s">
        <v>488</v>
      </c>
      <c r="D196" s="356"/>
      <c r="E196" s="378" t="s">
        <v>573</v>
      </c>
      <c r="F196" s="378" t="s">
        <v>574</v>
      </c>
      <c r="G196" s="118">
        <v>639228</v>
      </c>
      <c r="H196" s="118"/>
      <c r="I196" s="118"/>
      <c r="J196" s="118"/>
      <c r="K196" s="118"/>
      <c r="L196" s="118"/>
      <c r="M196" s="118"/>
      <c r="N196" s="118"/>
      <c r="O196" s="118"/>
      <c r="P196" s="118">
        <v>573515</v>
      </c>
      <c r="Q196" s="118"/>
      <c r="R196" s="118"/>
      <c r="S196" s="118"/>
      <c r="T196" s="118">
        <v>4510</v>
      </c>
      <c r="U196" s="118"/>
      <c r="V196" s="118"/>
      <c r="W196" s="118">
        <v>4510</v>
      </c>
      <c r="X196" s="118"/>
      <c r="Y196" s="118">
        <v>3983</v>
      </c>
      <c r="Z196" s="118"/>
      <c r="AA196" s="118"/>
      <c r="AB196" s="118">
        <v>3983</v>
      </c>
      <c r="AC196" s="118"/>
      <c r="AD196" s="357">
        <f t="shared" si="9"/>
        <v>0.88314855875831488</v>
      </c>
      <c r="AE196" s="357"/>
      <c r="AF196" s="357"/>
      <c r="AG196" s="357">
        <f>AB196/W196</f>
        <v>0.88314855875831488</v>
      </c>
      <c r="AH196" s="357"/>
    </row>
    <row r="197" spans="1:34" ht="31.5">
      <c r="A197" s="356" t="s">
        <v>29</v>
      </c>
      <c r="B197" s="346" t="s">
        <v>575</v>
      </c>
      <c r="C197" s="356"/>
      <c r="D197" s="356"/>
      <c r="E197" s="378"/>
      <c r="F197" s="378"/>
      <c r="G197" s="118"/>
      <c r="H197" s="118"/>
      <c r="I197" s="118"/>
      <c r="J197" s="118"/>
      <c r="K197" s="118"/>
      <c r="L197" s="118"/>
      <c r="M197" s="118"/>
      <c r="N197" s="118"/>
      <c r="O197" s="118"/>
      <c r="P197" s="118"/>
      <c r="Q197" s="118"/>
      <c r="R197" s="118"/>
      <c r="S197" s="118"/>
      <c r="T197" s="118">
        <v>50.185400000000001</v>
      </c>
      <c r="U197" s="118"/>
      <c r="V197" s="118"/>
      <c r="W197" s="118">
        <v>50.185400000000001</v>
      </c>
      <c r="X197" s="118"/>
      <c r="Y197" s="118">
        <v>0</v>
      </c>
      <c r="Z197" s="118"/>
      <c r="AA197" s="118"/>
      <c r="AB197" s="118"/>
      <c r="AC197" s="118"/>
      <c r="AD197" s="357">
        <f t="shared" si="9"/>
        <v>0</v>
      </c>
      <c r="AE197" s="357"/>
      <c r="AF197" s="357"/>
      <c r="AG197" s="357">
        <f>AB197/W197</f>
        <v>0</v>
      </c>
      <c r="AH197" s="357"/>
    </row>
    <row r="198" spans="1:34" ht="31.5">
      <c r="A198" s="356" t="s">
        <v>29</v>
      </c>
      <c r="B198" s="346" t="s">
        <v>576</v>
      </c>
      <c r="C198" s="356" t="s">
        <v>225</v>
      </c>
      <c r="D198" s="356"/>
      <c r="E198" s="378" t="s">
        <v>459</v>
      </c>
      <c r="F198" s="378" t="s">
        <v>577</v>
      </c>
      <c r="G198" s="118">
        <v>93383</v>
      </c>
      <c r="H198" s="118"/>
      <c r="I198" s="118"/>
      <c r="J198" s="118"/>
      <c r="K198" s="118"/>
      <c r="L198" s="118">
        <v>33880</v>
      </c>
      <c r="M198" s="118"/>
      <c r="N198" s="118"/>
      <c r="O198" s="118"/>
      <c r="P198" s="118">
        <v>33100</v>
      </c>
      <c r="Q198" s="118"/>
      <c r="R198" s="118">
        <v>30100</v>
      </c>
      <c r="S198" s="118"/>
      <c r="T198" s="118">
        <v>1653.8230530000001</v>
      </c>
      <c r="U198" s="118"/>
      <c r="V198" s="118"/>
      <c r="W198" s="118"/>
      <c r="X198" s="118">
        <v>1653.8230530000001</v>
      </c>
      <c r="Y198" s="118"/>
      <c r="Z198" s="118"/>
      <c r="AA198" s="118"/>
      <c r="AB198" s="118"/>
      <c r="AC198" s="118"/>
      <c r="AD198" s="357">
        <f t="shared" si="9"/>
        <v>0</v>
      </c>
      <c r="AE198" s="357"/>
      <c r="AF198" s="357"/>
      <c r="AG198" s="357"/>
      <c r="AH198" s="357">
        <f>AC198/X198</f>
        <v>0</v>
      </c>
    </row>
    <row r="199" spans="1:34" ht="31.5">
      <c r="A199" s="356" t="s">
        <v>29</v>
      </c>
      <c r="B199" s="346" t="s">
        <v>578</v>
      </c>
      <c r="C199" s="356" t="s">
        <v>299</v>
      </c>
      <c r="D199" s="356"/>
      <c r="E199" s="378">
        <v>2011</v>
      </c>
      <c r="F199" s="378" t="s">
        <v>499</v>
      </c>
      <c r="G199" s="118">
        <v>499</v>
      </c>
      <c r="H199" s="118"/>
      <c r="I199" s="118"/>
      <c r="J199" s="118"/>
      <c r="K199" s="118"/>
      <c r="L199" s="118">
        <v>60</v>
      </c>
      <c r="M199" s="118"/>
      <c r="N199" s="118"/>
      <c r="O199" s="118"/>
      <c r="P199" s="118">
        <v>100</v>
      </c>
      <c r="Q199" s="118"/>
      <c r="R199" s="118"/>
      <c r="S199" s="118"/>
      <c r="T199" s="118">
        <v>39.957000000000001</v>
      </c>
      <c r="U199" s="118"/>
      <c r="V199" s="118"/>
      <c r="W199" s="118"/>
      <c r="X199" s="118">
        <v>39.957000000000001</v>
      </c>
      <c r="Y199" s="118">
        <v>0</v>
      </c>
      <c r="Z199" s="118"/>
      <c r="AA199" s="118"/>
      <c r="AB199" s="118"/>
      <c r="AC199" s="118"/>
      <c r="AD199" s="357">
        <f t="shared" si="9"/>
        <v>0</v>
      </c>
      <c r="AE199" s="357"/>
      <c r="AF199" s="357"/>
      <c r="AG199" s="357"/>
      <c r="AH199" s="357">
        <f>AC199/X199</f>
        <v>0</v>
      </c>
    </row>
    <row r="200" spans="1:34" ht="47.25">
      <c r="A200" s="356" t="s">
        <v>29</v>
      </c>
      <c r="B200" s="346" t="s">
        <v>579</v>
      </c>
      <c r="C200" s="356"/>
      <c r="D200" s="356"/>
      <c r="E200" s="378"/>
      <c r="F200" s="378"/>
      <c r="G200" s="118"/>
      <c r="H200" s="118"/>
      <c r="I200" s="118"/>
      <c r="J200" s="118"/>
      <c r="K200" s="118"/>
      <c r="L200" s="118"/>
      <c r="M200" s="118"/>
      <c r="N200" s="118"/>
      <c r="O200" s="118"/>
      <c r="P200" s="118"/>
      <c r="Q200" s="118"/>
      <c r="R200" s="118"/>
      <c r="S200" s="118"/>
      <c r="T200" s="118">
        <v>3.99</v>
      </c>
      <c r="U200" s="118"/>
      <c r="V200" s="118"/>
      <c r="W200" s="118"/>
      <c r="X200" s="118">
        <v>3.99</v>
      </c>
      <c r="Y200" s="118">
        <v>0</v>
      </c>
      <c r="Z200" s="118"/>
      <c r="AA200" s="118"/>
      <c r="AB200" s="118"/>
      <c r="AC200" s="118"/>
      <c r="AD200" s="357">
        <f t="shared" si="9"/>
        <v>0</v>
      </c>
      <c r="AE200" s="357"/>
      <c r="AF200" s="357"/>
      <c r="AG200" s="357"/>
      <c r="AH200" s="357">
        <f>AC200/X200</f>
        <v>0</v>
      </c>
    </row>
    <row r="201" spans="1:34">
      <c r="A201" s="356" t="s">
        <v>29</v>
      </c>
      <c r="B201" s="346" t="s">
        <v>580</v>
      </c>
      <c r="C201" s="356"/>
      <c r="D201" s="356"/>
      <c r="E201" s="378"/>
      <c r="F201" s="378"/>
      <c r="G201" s="118"/>
      <c r="H201" s="118"/>
      <c r="I201" s="118"/>
      <c r="J201" s="118"/>
      <c r="K201" s="118"/>
      <c r="L201" s="118"/>
      <c r="M201" s="118"/>
      <c r="N201" s="118"/>
      <c r="O201" s="118"/>
      <c r="P201" s="118"/>
      <c r="Q201" s="118"/>
      <c r="R201" s="118"/>
      <c r="S201" s="118"/>
      <c r="T201" s="118">
        <v>115.813</v>
      </c>
      <c r="U201" s="118"/>
      <c r="V201" s="118"/>
      <c r="W201" s="118"/>
      <c r="X201" s="118">
        <v>115.813</v>
      </c>
      <c r="Y201" s="118">
        <v>0</v>
      </c>
      <c r="Z201" s="118"/>
      <c r="AA201" s="118"/>
      <c r="AB201" s="118"/>
      <c r="AC201" s="118"/>
      <c r="AD201" s="357">
        <f t="shared" si="9"/>
        <v>0</v>
      </c>
      <c r="AE201" s="357"/>
      <c r="AF201" s="357"/>
      <c r="AG201" s="357"/>
      <c r="AH201" s="357">
        <f>AC201/X201</f>
        <v>0</v>
      </c>
    </row>
    <row r="202" spans="1:34" ht="63">
      <c r="A202" s="356" t="s">
        <v>29</v>
      </c>
      <c r="B202" s="346" t="s">
        <v>581</v>
      </c>
      <c r="C202" s="356"/>
      <c r="D202" s="356"/>
      <c r="E202" s="378"/>
      <c r="F202" s="378"/>
      <c r="G202" s="118"/>
      <c r="H202" s="118"/>
      <c r="I202" s="118"/>
      <c r="J202" s="118"/>
      <c r="K202" s="118"/>
      <c r="L202" s="118"/>
      <c r="M202" s="118"/>
      <c r="N202" s="118"/>
      <c r="O202" s="118"/>
      <c r="P202" s="118"/>
      <c r="Q202" s="118"/>
      <c r="R202" s="118"/>
      <c r="S202" s="118"/>
      <c r="T202" s="118">
        <v>53.188000000000002</v>
      </c>
      <c r="U202" s="118"/>
      <c r="V202" s="118"/>
      <c r="W202" s="118"/>
      <c r="X202" s="118">
        <v>53.188000000000002</v>
      </c>
      <c r="Y202" s="118">
        <v>0</v>
      </c>
      <c r="Z202" s="118"/>
      <c r="AA202" s="118"/>
      <c r="AB202" s="118"/>
      <c r="AC202" s="118"/>
      <c r="AD202" s="357">
        <f t="shared" si="9"/>
        <v>0</v>
      </c>
      <c r="AE202" s="357"/>
      <c r="AF202" s="357"/>
      <c r="AG202" s="357"/>
      <c r="AH202" s="357">
        <f>AC202/X202</f>
        <v>0</v>
      </c>
    </row>
    <row r="203" spans="1:34" s="355" customFormat="1">
      <c r="A203" s="343">
        <v>32</v>
      </c>
      <c r="B203" s="344" t="s">
        <v>170</v>
      </c>
      <c r="C203" s="343"/>
      <c r="D203" s="343"/>
      <c r="E203" s="366"/>
      <c r="F203" s="366"/>
      <c r="G203" s="354"/>
      <c r="H203" s="354"/>
      <c r="I203" s="354"/>
      <c r="J203" s="354"/>
      <c r="K203" s="354"/>
      <c r="L203" s="354"/>
      <c r="M203" s="354"/>
      <c r="N203" s="354"/>
      <c r="O203" s="354"/>
      <c r="P203" s="354"/>
      <c r="Q203" s="354"/>
      <c r="R203" s="354"/>
      <c r="S203" s="354"/>
      <c r="T203" s="354"/>
      <c r="U203" s="354"/>
      <c r="V203" s="354"/>
      <c r="W203" s="354"/>
      <c r="X203" s="354"/>
      <c r="Y203" s="354"/>
      <c r="Z203" s="354"/>
      <c r="AA203" s="354"/>
      <c r="AB203" s="354"/>
      <c r="AC203" s="354"/>
      <c r="AD203" s="357"/>
      <c r="AE203" s="357"/>
      <c r="AF203" s="357"/>
      <c r="AG203" s="357"/>
      <c r="AH203" s="357"/>
    </row>
    <row r="204" spans="1:34">
      <c r="A204" s="356" t="s">
        <v>29</v>
      </c>
      <c r="B204" s="346" t="s">
        <v>582</v>
      </c>
      <c r="C204" s="356"/>
      <c r="D204" s="356"/>
      <c r="E204" s="378"/>
      <c r="F204" s="378"/>
      <c r="G204" s="118"/>
      <c r="H204" s="118"/>
      <c r="I204" s="118"/>
      <c r="J204" s="118"/>
      <c r="K204" s="118"/>
      <c r="L204" s="118"/>
      <c r="M204" s="118"/>
      <c r="N204" s="118"/>
      <c r="O204" s="118"/>
      <c r="P204" s="118"/>
      <c r="Q204" s="118"/>
      <c r="R204" s="118"/>
      <c r="S204" s="118"/>
      <c r="T204" s="118">
        <v>73.721500000000006</v>
      </c>
      <c r="U204" s="118"/>
      <c r="V204" s="118"/>
      <c r="W204" s="118"/>
      <c r="X204" s="118">
        <v>73.721500000000006</v>
      </c>
      <c r="Y204" s="118">
        <v>0</v>
      </c>
      <c r="Z204" s="118"/>
      <c r="AA204" s="118"/>
      <c r="AB204" s="118"/>
      <c r="AC204" s="118"/>
      <c r="AD204" s="357">
        <f t="shared" si="9"/>
        <v>0</v>
      </c>
      <c r="AE204" s="357"/>
      <c r="AF204" s="357"/>
      <c r="AG204" s="357"/>
      <c r="AH204" s="357">
        <f>AC204/X204</f>
        <v>0</v>
      </c>
    </row>
    <row r="205" spans="1:34" s="355" customFormat="1" ht="31.5">
      <c r="A205" s="343">
        <v>33</v>
      </c>
      <c r="B205" s="344" t="s">
        <v>171</v>
      </c>
      <c r="C205" s="343"/>
      <c r="D205" s="343"/>
      <c r="E205" s="366"/>
      <c r="F205" s="366"/>
      <c r="G205" s="354"/>
      <c r="H205" s="354"/>
      <c r="I205" s="354"/>
      <c r="J205" s="354"/>
      <c r="K205" s="354"/>
      <c r="L205" s="354"/>
      <c r="M205" s="354"/>
      <c r="N205" s="354"/>
      <c r="O205" s="354"/>
      <c r="P205" s="354"/>
      <c r="Q205" s="354"/>
      <c r="R205" s="354"/>
      <c r="S205" s="354"/>
      <c r="T205" s="354"/>
      <c r="U205" s="354"/>
      <c r="V205" s="354"/>
      <c r="W205" s="354"/>
      <c r="X205" s="354"/>
      <c r="Y205" s="354"/>
      <c r="Z205" s="354"/>
      <c r="AA205" s="354"/>
      <c r="AB205" s="354"/>
      <c r="AC205" s="354"/>
      <c r="AD205" s="357"/>
      <c r="AE205" s="357"/>
      <c r="AF205" s="357"/>
      <c r="AG205" s="357"/>
      <c r="AH205" s="357"/>
    </row>
    <row r="206" spans="1:34" ht="31.5">
      <c r="A206" s="356" t="s">
        <v>29</v>
      </c>
      <c r="B206" s="346" t="s">
        <v>583</v>
      </c>
      <c r="C206" s="356"/>
      <c r="D206" s="356"/>
      <c r="E206" s="378"/>
      <c r="F206" s="378"/>
      <c r="G206" s="118"/>
      <c r="H206" s="118"/>
      <c r="I206" s="118"/>
      <c r="J206" s="118"/>
      <c r="K206" s="118"/>
      <c r="L206" s="118"/>
      <c r="M206" s="118"/>
      <c r="N206" s="118"/>
      <c r="O206" s="118"/>
      <c r="P206" s="118"/>
      <c r="Q206" s="118"/>
      <c r="R206" s="118"/>
      <c r="S206" s="118"/>
      <c r="T206" s="118">
        <v>220.42187999999999</v>
      </c>
      <c r="U206" s="118"/>
      <c r="V206" s="118"/>
      <c r="W206" s="118"/>
      <c r="X206" s="118">
        <v>220.42187999999999</v>
      </c>
      <c r="Y206" s="118">
        <v>0</v>
      </c>
      <c r="Z206" s="118"/>
      <c r="AA206" s="118"/>
      <c r="AB206" s="118"/>
      <c r="AC206" s="118"/>
      <c r="AD206" s="357">
        <f t="shared" ref="AD206:AD269" si="12">Y206/T206</f>
        <v>0</v>
      </c>
      <c r="AE206" s="357"/>
      <c r="AF206" s="357"/>
      <c r="AG206" s="357"/>
      <c r="AH206" s="357">
        <f>AC206/X206</f>
        <v>0</v>
      </c>
    </row>
    <row r="207" spans="1:34" s="355" customFormat="1" ht="31.5">
      <c r="A207" s="343">
        <v>34</v>
      </c>
      <c r="B207" s="344" t="s">
        <v>172</v>
      </c>
      <c r="C207" s="343"/>
      <c r="D207" s="343"/>
      <c r="E207" s="366"/>
      <c r="F207" s="366"/>
      <c r="G207" s="354"/>
      <c r="H207" s="354"/>
      <c r="I207" s="354"/>
      <c r="J207" s="354"/>
      <c r="K207" s="354"/>
      <c r="L207" s="354"/>
      <c r="M207" s="354"/>
      <c r="N207" s="354"/>
      <c r="O207" s="354"/>
      <c r="P207" s="354"/>
      <c r="Q207" s="354"/>
      <c r="R207" s="354"/>
      <c r="S207" s="354"/>
      <c r="T207" s="354"/>
      <c r="U207" s="354"/>
      <c r="V207" s="354"/>
      <c r="W207" s="354"/>
      <c r="X207" s="354"/>
      <c r="Y207" s="354"/>
      <c r="Z207" s="354"/>
      <c r="AA207" s="354"/>
      <c r="AB207" s="354"/>
      <c r="AC207" s="354"/>
      <c r="AD207" s="357"/>
      <c r="AE207" s="357"/>
      <c r="AF207" s="357"/>
      <c r="AG207" s="357"/>
      <c r="AH207" s="357"/>
    </row>
    <row r="208" spans="1:34" ht="31.5">
      <c r="A208" s="356" t="s">
        <v>29</v>
      </c>
      <c r="B208" s="346" t="s">
        <v>584</v>
      </c>
      <c r="C208" s="356"/>
      <c r="D208" s="356"/>
      <c r="E208" s="378"/>
      <c r="F208" s="378"/>
      <c r="G208" s="118"/>
      <c r="H208" s="118"/>
      <c r="I208" s="118"/>
      <c r="J208" s="118"/>
      <c r="K208" s="118"/>
      <c r="L208" s="118"/>
      <c r="M208" s="118"/>
      <c r="N208" s="118"/>
      <c r="O208" s="118"/>
      <c r="P208" s="118"/>
      <c r="Q208" s="118"/>
      <c r="R208" s="118"/>
      <c r="S208" s="118"/>
      <c r="T208" s="118">
        <v>842.16683899999998</v>
      </c>
      <c r="U208" s="118"/>
      <c r="V208" s="118"/>
      <c r="W208" s="118"/>
      <c r="X208" s="118">
        <v>842.16683899999998</v>
      </c>
      <c r="Y208" s="118">
        <v>0</v>
      </c>
      <c r="Z208" s="118"/>
      <c r="AA208" s="118"/>
      <c r="AB208" s="118"/>
      <c r="AC208" s="118"/>
      <c r="AD208" s="357">
        <f t="shared" si="12"/>
        <v>0</v>
      </c>
      <c r="AE208" s="357"/>
      <c r="AF208" s="357"/>
      <c r="AG208" s="357"/>
      <c r="AH208" s="357">
        <f>AC208/X208</f>
        <v>0</v>
      </c>
    </row>
    <row r="209" spans="1:34" ht="31.5">
      <c r="A209" s="356" t="s">
        <v>29</v>
      </c>
      <c r="B209" s="346" t="s">
        <v>585</v>
      </c>
      <c r="C209" s="356"/>
      <c r="D209" s="356"/>
      <c r="E209" s="378"/>
      <c r="F209" s="378"/>
      <c r="G209" s="118"/>
      <c r="H209" s="118"/>
      <c r="I209" s="118"/>
      <c r="J209" s="118"/>
      <c r="K209" s="118"/>
      <c r="L209" s="118"/>
      <c r="M209" s="118"/>
      <c r="N209" s="118"/>
      <c r="O209" s="118"/>
      <c r="P209" s="118"/>
      <c r="Q209" s="118"/>
      <c r="R209" s="118"/>
      <c r="S209" s="118"/>
      <c r="T209" s="118">
        <v>1825.2883609999999</v>
      </c>
      <c r="U209" s="118"/>
      <c r="V209" s="118"/>
      <c r="W209" s="118"/>
      <c r="X209" s="118">
        <v>1825.2883609999999</v>
      </c>
      <c r="Y209" s="118">
        <v>0</v>
      </c>
      <c r="Z209" s="118"/>
      <c r="AA209" s="118"/>
      <c r="AB209" s="118"/>
      <c r="AC209" s="118"/>
      <c r="AD209" s="357">
        <f t="shared" si="12"/>
        <v>0</v>
      </c>
      <c r="AE209" s="357"/>
      <c r="AF209" s="357"/>
      <c r="AG209" s="357"/>
      <c r="AH209" s="357">
        <f>AC209/X209</f>
        <v>0</v>
      </c>
    </row>
    <row r="210" spans="1:34" s="355" customFormat="1">
      <c r="A210" s="343">
        <v>35</v>
      </c>
      <c r="B210" s="344" t="s">
        <v>121</v>
      </c>
      <c r="C210" s="343"/>
      <c r="D210" s="343"/>
      <c r="E210" s="366"/>
      <c r="F210" s="366"/>
      <c r="G210" s="354"/>
      <c r="H210" s="354"/>
      <c r="I210" s="354"/>
      <c r="J210" s="354"/>
      <c r="K210" s="354"/>
      <c r="L210" s="354"/>
      <c r="M210" s="354"/>
      <c r="N210" s="354"/>
      <c r="O210" s="354"/>
      <c r="P210" s="354"/>
      <c r="Q210" s="354"/>
      <c r="R210" s="354"/>
      <c r="S210" s="354"/>
      <c r="T210" s="354"/>
      <c r="U210" s="354"/>
      <c r="V210" s="354"/>
      <c r="W210" s="354"/>
      <c r="X210" s="354"/>
      <c r="Y210" s="354"/>
      <c r="Z210" s="354"/>
      <c r="AA210" s="354"/>
      <c r="AB210" s="354"/>
      <c r="AC210" s="354"/>
      <c r="AD210" s="357"/>
      <c r="AE210" s="357"/>
      <c r="AF210" s="357"/>
      <c r="AG210" s="357"/>
      <c r="AH210" s="357"/>
    </row>
    <row r="211" spans="1:34" ht="75">
      <c r="A211" s="356" t="s">
        <v>29</v>
      </c>
      <c r="B211" s="346" t="s">
        <v>586</v>
      </c>
      <c r="C211" s="356" t="s">
        <v>225</v>
      </c>
      <c r="D211" s="356"/>
      <c r="E211" s="378" t="s">
        <v>293</v>
      </c>
      <c r="F211" s="378" t="s">
        <v>587</v>
      </c>
      <c r="G211" s="118">
        <v>33800</v>
      </c>
      <c r="H211" s="118"/>
      <c r="I211" s="118"/>
      <c r="J211" s="118"/>
      <c r="K211" s="118">
        <v>9000</v>
      </c>
      <c r="L211" s="118">
        <v>10000</v>
      </c>
      <c r="M211" s="118"/>
      <c r="N211" s="118"/>
      <c r="O211" s="118">
        <v>9000</v>
      </c>
      <c r="P211" s="118">
        <v>8000</v>
      </c>
      <c r="Q211" s="118"/>
      <c r="R211" s="118"/>
      <c r="S211" s="118">
        <v>7000</v>
      </c>
      <c r="T211" s="118">
        <v>2000</v>
      </c>
      <c r="U211" s="118"/>
      <c r="V211" s="118"/>
      <c r="W211" s="118"/>
      <c r="X211" s="118">
        <v>2000</v>
      </c>
      <c r="Y211" s="118">
        <v>2000</v>
      </c>
      <c r="Z211" s="118"/>
      <c r="AA211" s="118"/>
      <c r="AB211" s="118"/>
      <c r="AC211" s="118">
        <v>2000</v>
      </c>
      <c r="AD211" s="357">
        <f t="shared" si="12"/>
        <v>1</v>
      </c>
      <c r="AE211" s="357"/>
      <c r="AF211" s="357"/>
      <c r="AG211" s="357"/>
      <c r="AH211" s="357">
        <f>AC211/X211</f>
        <v>1</v>
      </c>
    </row>
    <row r="212" spans="1:34" ht="47.25">
      <c r="A212" s="356" t="s">
        <v>29</v>
      </c>
      <c r="B212" s="346" t="s">
        <v>588</v>
      </c>
      <c r="C212" s="356" t="s">
        <v>225</v>
      </c>
      <c r="D212" s="356"/>
      <c r="E212" s="378" t="s">
        <v>589</v>
      </c>
      <c r="F212" s="378" t="s">
        <v>590</v>
      </c>
      <c r="G212" s="118">
        <v>2575</v>
      </c>
      <c r="H212" s="118"/>
      <c r="I212" s="118"/>
      <c r="J212" s="118"/>
      <c r="K212" s="118">
        <v>2575</v>
      </c>
      <c r="L212" s="118">
        <v>2238</v>
      </c>
      <c r="M212" s="118"/>
      <c r="N212" s="118"/>
      <c r="O212" s="118">
        <v>2238</v>
      </c>
      <c r="P212" s="118">
        <v>2238</v>
      </c>
      <c r="Q212" s="118"/>
      <c r="R212" s="118"/>
      <c r="S212" s="118">
        <v>2238</v>
      </c>
      <c r="T212" s="118">
        <v>238</v>
      </c>
      <c r="U212" s="118"/>
      <c r="V212" s="118"/>
      <c r="W212" s="118"/>
      <c r="X212" s="118">
        <v>238</v>
      </c>
      <c r="Y212" s="118">
        <v>237.78</v>
      </c>
      <c r="Z212" s="118"/>
      <c r="AA212" s="118"/>
      <c r="AB212" s="118"/>
      <c r="AC212" s="118">
        <v>237.78</v>
      </c>
      <c r="AD212" s="357">
        <f t="shared" si="12"/>
        <v>0.99907563025210089</v>
      </c>
      <c r="AE212" s="357"/>
      <c r="AF212" s="357"/>
      <c r="AG212" s="357"/>
      <c r="AH212" s="357">
        <f>AC212/X212</f>
        <v>0.99907563025210089</v>
      </c>
    </row>
    <row r="213" spans="1:34" ht="47.25">
      <c r="A213" s="356" t="s">
        <v>29</v>
      </c>
      <c r="B213" s="346" t="s">
        <v>591</v>
      </c>
      <c r="C213" s="356" t="s">
        <v>225</v>
      </c>
      <c r="D213" s="356"/>
      <c r="E213" s="378" t="s">
        <v>293</v>
      </c>
      <c r="F213" s="378" t="s">
        <v>592</v>
      </c>
      <c r="G213" s="118">
        <v>9396</v>
      </c>
      <c r="H213" s="118"/>
      <c r="I213" s="118"/>
      <c r="J213" s="118"/>
      <c r="K213" s="118">
        <v>9396</v>
      </c>
      <c r="L213" s="118">
        <v>8286</v>
      </c>
      <c r="M213" s="118"/>
      <c r="N213" s="118"/>
      <c r="O213" s="118">
        <v>8286</v>
      </c>
      <c r="P213" s="118">
        <v>8286</v>
      </c>
      <c r="Q213" s="118"/>
      <c r="R213" s="118"/>
      <c r="S213" s="118">
        <v>8286</v>
      </c>
      <c r="T213" s="118">
        <v>6328.723</v>
      </c>
      <c r="U213" s="118"/>
      <c r="V213" s="118"/>
      <c r="W213" s="118"/>
      <c r="X213" s="118">
        <v>6328.723</v>
      </c>
      <c r="Y213" s="118">
        <v>6328.723</v>
      </c>
      <c r="Z213" s="118"/>
      <c r="AA213" s="118"/>
      <c r="AB213" s="118"/>
      <c r="AC213" s="118">
        <v>6328.723</v>
      </c>
      <c r="AD213" s="357">
        <f t="shared" si="12"/>
        <v>1</v>
      </c>
      <c r="AE213" s="357"/>
      <c r="AF213" s="357"/>
      <c r="AG213" s="357"/>
      <c r="AH213" s="357">
        <f>AC213/X213</f>
        <v>1</v>
      </c>
    </row>
    <row r="214" spans="1:34" ht="47.25">
      <c r="A214" s="356" t="s">
        <v>29</v>
      </c>
      <c r="B214" s="346" t="s">
        <v>593</v>
      </c>
      <c r="C214" s="356" t="s">
        <v>225</v>
      </c>
      <c r="D214" s="356"/>
      <c r="E214" s="378" t="s">
        <v>302</v>
      </c>
      <c r="F214" s="378" t="s">
        <v>594</v>
      </c>
      <c r="G214" s="118">
        <v>83656</v>
      </c>
      <c r="H214" s="118"/>
      <c r="I214" s="118"/>
      <c r="J214" s="118"/>
      <c r="K214" s="118">
        <v>25097</v>
      </c>
      <c r="L214" s="118">
        <v>8900</v>
      </c>
      <c r="M214" s="118"/>
      <c r="N214" s="118"/>
      <c r="O214" s="118">
        <v>8900</v>
      </c>
      <c r="P214" s="118">
        <v>5600</v>
      </c>
      <c r="Q214" s="118"/>
      <c r="R214" s="118"/>
      <c r="S214" s="118">
        <v>5600</v>
      </c>
      <c r="T214" s="118">
        <v>5600</v>
      </c>
      <c r="U214" s="118"/>
      <c r="V214" s="118"/>
      <c r="W214" s="118"/>
      <c r="X214" s="118">
        <v>5600</v>
      </c>
      <c r="Y214" s="118">
        <v>0</v>
      </c>
      <c r="Z214" s="118"/>
      <c r="AA214" s="118"/>
      <c r="AB214" s="118"/>
      <c r="AC214" s="118"/>
      <c r="AD214" s="357">
        <f t="shared" si="12"/>
        <v>0</v>
      </c>
      <c r="AE214" s="357"/>
      <c r="AF214" s="357"/>
      <c r="AG214" s="357"/>
      <c r="AH214" s="357">
        <f>AC214/X214</f>
        <v>0</v>
      </c>
    </row>
    <row r="215" spans="1:34" ht="31.5">
      <c r="A215" s="356" t="s">
        <v>29</v>
      </c>
      <c r="B215" s="346" t="s">
        <v>595</v>
      </c>
      <c r="C215" s="356" t="s">
        <v>596</v>
      </c>
      <c r="D215" s="356"/>
      <c r="E215" s="378" t="s">
        <v>597</v>
      </c>
      <c r="F215" s="378" t="s">
        <v>598</v>
      </c>
      <c r="G215" s="118">
        <v>14776</v>
      </c>
      <c r="H215" s="118"/>
      <c r="I215" s="118"/>
      <c r="J215" s="118"/>
      <c r="K215" s="118">
        <v>9776</v>
      </c>
      <c r="L215" s="118">
        <v>14000</v>
      </c>
      <c r="M215" s="118"/>
      <c r="N215" s="118"/>
      <c r="O215" s="118">
        <v>9000</v>
      </c>
      <c r="P215" s="118">
        <v>8500</v>
      </c>
      <c r="Q215" s="118"/>
      <c r="R215" s="118"/>
      <c r="S215" s="118">
        <v>3500</v>
      </c>
      <c r="T215" s="118">
        <v>1500</v>
      </c>
      <c r="U215" s="118"/>
      <c r="V215" s="118"/>
      <c r="W215" s="118"/>
      <c r="X215" s="118">
        <v>1500</v>
      </c>
      <c r="Y215" s="118">
        <v>0</v>
      </c>
      <c r="Z215" s="118"/>
      <c r="AA215" s="118"/>
      <c r="AB215" s="118"/>
      <c r="AC215" s="118"/>
      <c r="AD215" s="357">
        <f t="shared" si="12"/>
        <v>0</v>
      </c>
      <c r="AE215" s="357"/>
      <c r="AF215" s="357"/>
      <c r="AG215" s="357"/>
      <c r="AH215" s="357">
        <f>AC215/X215</f>
        <v>0</v>
      </c>
    </row>
    <row r="216" spans="1:34" s="355" customFormat="1" ht="31.5">
      <c r="A216" s="343">
        <v>36</v>
      </c>
      <c r="B216" s="344" t="s">
        <v>173</v>
      </c>
      <c r="C216" s="343"/>
      <c r="D216" s="343"/>
      <c r="E216" s="366"/>
      <c r="F216" s="366"/>
      <c r="G216" s="354"/>
      <c r="H216" s="354"/>
      <c r="I216" s="354"/>
      <c r="J216" s="354"/>
      <c r="K216" s="354"/>
      <c r="L216" s="354"/>
      <c r="M216" s="354"/>
      <c r="N216" s="354"/>
      <c r="O216" s="354"/>
      <c r="P216" s="354"/>
      <c r="Q216" s="354"/>
      <c r="R216" s="354"/>
      <c r="S216" s="354"/>
      <c r="T216" s="354"/>
      <c r="U216" s="354"/>
      <c r="V216" s="354"/>
      <c r="W216" s="354"/>
      <c r="X216" s="354"/>
      <c r="Y216" s="354"/>
      <c r="Z216" s="354"/>
      <c r="AA216" s="354"/>
      <c r="AB216" s="354"/>
      <c r="AC216" s="354"/>
      <c r="AD216" s="357"/>
      <c r="AE216" s="357"/>
      <c r="AF216" s="357"/>
      <c r="AG216" s="357"/>
      <c r="AH216" s="357"/>
    </row>
    <row r="217" spans="1:34" ht="31.5">
      <c r="A217" s="356" t="s">
        <v>29</v>
      </c>
      <c r="B217" s="346" t="s">
        <v>599</v>
      </c>
      <c r="C217" s="356"/>
      <c r="D217" s="356"/>
      <c r="E217" s="378"/>
      <c r="F217" s="378"/>
      <c r="G217" s="118"/>
      <c r="H217" s="118"/>
      <c r="I217" s="118"/>
      <c r="J217" s="118"/>
      <c r="K217" s="118"/>
      <c r="L217" s="118"/>
      <c r="M217" s="118"/>
      <c r="N217" s="118"/>
      <c r="O217" s="118"/>
      <c r="P217" s="118"/>
      <c r="Q217" s="118"/>
      <c r="R217" s="118"/>
      <c r="S217" s="118"/>
      <c r="T217" s="118">
        <v>5.179606999999919</v>
      </c>
      <c r="U217" s="118"/>
      <c r="V217" s="118"/>
      <c r="W217" s="118"/>
      <c r="X217" s="118">
        <v>5.179606999999919</v>
      </c>
      <c r="Y217" s="118">
        <v>2.0116399999999999</v>
      </c>
      <c r="Z217" s="118"/>
      <c r="AA217" s="118"/>
      <c r="AB217" s="118"/>
      <c r="AC217" s="118">
        <v>2.0116399999999999</v>
      </c>
      <c r="AD217" s="357">
        <f t="shared" si="12"/>
        <v>0.38837695601230582</v>
      </c>
      <c r="AE217" s="357"/>
      <c r="AF217" s="357"/>
      <c r="AG217" s="357"/>
      <c r="AH217" s="357">
        <f>AC217/X217</f>
        <v>0.38837695601230582</v>
      </c>
    </row>
    <row r="218" spans="1:34" ht="31.5">
      <c r="A218" s="356" t="s">
        <v>29</v>
      </c>
      <c r="B218" s="346" t="s">
        <v>600</v>
      </c>
      <c r="C218" s="356"/>
      <c r="D218" s="356"/>
      <c r="E218" s="378"/>
      <c r="F218" s="378"/>
      <c r="G218" s="118"/>
      <c r="H218" s="118"/>
      <c r="I218" s="118"/>
      <c r="J218" s="118"/>
      <c r="K218" s="118"/>
      <c r="L218" s="118"/>
      <c r="M218" s="118"/>
      <c r="N218" s="118"/>
      <c r="O218" s="118"/>
      <c r="P218" s="118"/>
      <c r="Q218" s="118"/>
      <c r="R218" s="118"/>
      <c r="S218" s="118"/>
      <c r="T218" s="118">
        <v>500</v>
      </c>
      <c r="U218" s="118"/>
      <c r="V218" s="118"/>
      <c r="W218" s="118"/>
      <c r="X218" s="118">
        <v>500</v>
      </c>
      <c r="Y218" s="118">
        <v>500</v>
      </c>
      <c r="Z218" s="118"/>
      <c r="AA218" s="118"/>
      <c r="AB218" s="118"/>
      <c r="AC218" s="118">
        <v>500</v>
      </c>
      <c r="AD218" s="357">
        <f t="shared" si="12"/>
        <v>1</v>
      </c>
      <c r="AE218" s="357"/>
      <c r="AF218" s="357"/>
      <c r="AG218" s="357"/>
      <c r="AH218" s="357">
        <f>AC218/X218</f>
        <v>1</v>
      </c>
    </row>
    <row r="219" spans="1:34" s="355" customFormat="1" ht="31.5">
      <c r="A219" s="343">
        <v>37</v>
      </c>
      <c r="B219" s="344" t="s">
        <v>174</v>
      </c>
      <c r="C219" s="343"/>
      <c r="D219" s="343"/>
      <c r="E219" s="366"/>
      <c r="F219" s="366"/>
      <c r="G219" s="354"/>
      <c r="H219" s="354"/>
      <c r="I219" s="354"/>
      <c r="J219" s="354"/>
      <c r="K219" s="354"/>
      <c r="L219" s="354"/>
      <c r="M219" s="354"/>
      <c r="N219" s="354"/>
      <c r="O219" s="354"/>
      <c r="P219" s="354"/>
      <c r="Q219" s="354"/>
      <c r="R219" s="354"/>
      <c r="S219" s="354"/>
      <c r="T219" s="354"/>
      <c r="U219" s="354"/>
      <c r="V219" s="354"/>
      <c r="W219" s="354"/>
      <c r="X219" s="354"/>
      <c r="Y219" s="354"/>
      <c r="Z219" s="354"/>
      <c r="AA219" s="354"/>
      <c r="AB219" s="354"/>
      <c r="AC219" s="354"/>
      <c r="AD219" s="357"/>
      <c r="AE219" s="357"/>
      <c r="AF219" s="357"/>
      <c r="AG219" s="357"/>
      <c r="AH219" s="357"/>
    </row>
    <row r="220" spans="1:34" ht="31.5">
      <c r="A220" s="356" t="s">
        <v>29</v>
      </c>
      <c r="B220" s="346" t="s">
        <v>601</v>
      </c>
      <c r="C220" s="356" t="s">
        <v>299</v>
      </c>
      <c r="D220" s="356"/>
      <c r="E220" s="378" t="s">
        <v>459</v>
      </c>
      <c r="F220" s="378" t="s">
        <v>602</v>
      </c>
      <c r="G220" s="118">
        <v>28703</v>
      </c>
      <c r="H220" s="118"/>
      <c r="I220" s="118"/>
      <c r="J220" s="118"/>
      <c r="K220" s="118">
        <v>28703</v>
      </c>
      <c r="L220" s="118">
        <v>27822</v>
      </c>
      <c r="M220" s="118"/>
      <c r="N220" s="118"/>
      <c r="O220" s="118">
        <v>27822</v>
      </c>
      <c r="P220" s="118">
        <v>27822</v>
      </c>
      <c r="Q220" s="118"/>
      <c r="R220" s="118"/>
      <c r="S220" s="118">
        <v>27822</v>
      </c>
      <c r="T220" s="118">
        <v>533</v>
      </c>
      <c r="U220" s="118"/>
      <c r="V220" s="118"/>
      <c r="W220" s="118"/>
      <c r="X220" s="118">
        <v>533</v>
      </c>
      <c r="Y220" s="118">
        <v>533</v>
      </c>
      <c r="Z220" s="118"/>
      <c r="AA220" s="118"/>
      <c r="AB220" s="118"/>
      <c r="AC220" s="118">
        <v>533</v>
      </c>
      <c r="AD220" s="357">
        <f t="shared" si="12"/>
        <v>1</v>
      </c>
      <c r="AE220" s="357"/>
      <c r="AF220" s="357"/>
      <c r="AG220" s="357"/>
      <c r="AH220" s="357">
        <f>AC220/X220</f>
        <v>1</v>
      </c>
    </row>
    <row r="221" spans="1:34" ht="47.25">
      <c r="A221" s="356" t="s">
        <v>29</v>
      </c>
      <c r="B221" s="346" t="s">
        <v>603</v>
      </c>
      <c r="C221" s="356" t="s">
        <v>604</v>
      </c>
      <c r="D221" s="356"/>
      <c r="E221" s="378">
        <v>2006</v>
      </c>
      <c r="F221" s="378" t="s">
        <v>605</v>
      </c>
      <c r="G221" s="118">
        <v>113861</v>
      </c>
      <c r="H221" s="118"/>
      <c r="I221" s="118"/>
      <c r="J221" s="118"/>
      <c r="K221" s="118">
        <v>113861</v>
      </c>
      <c r="L221" s="118">
        <v>79996</v>
      </c>
      <c r="M221" s="118"/>
      <c r="N221" s="118"/>
      <c r="O221" s="118">
        <v>79996</v>
      </c>
      <c r="P221" s="118">
        <v>66274</v>
      </c>
      <c r="Q221" s="118"/>
      <c r="R221" s="118"/>
      <c r="S221" s="118">
        <v>66274</v>
      </c>
      <c r="T221" s="118">
        <v>18666.834647</v>
      </c>
      <c r="U221" s="118"/>
      <c r="V221" s="118"/>
      <c r="W221" s="118"/>
      <c r="X221" s="118">
        <v>18666.834647</v>
      </c>
      <c r="Y221" s="118">
        <v>16664.191277999998</v>
      </c>
      <c r="Z221" s="118"/>
      <c r="AA221" s="118"/>
      <c r="AB221" s="118"/>
      <c r="AC221" s="118">
        <v>16664.191277999998</v>
      </c>
      <c r="AD221" s="357">
        <f t="shared" si="12"/>
        <v>0.89271649924204732</v>
      </c>
      <c r="AE221" s="357"/>
      <c r="AF221" s="357"/>
      <c r="AG221" s="357"/>
      <c r="AH221" s="357">
        <f>AC221/X221</f>
        <v>0.89271649924204732</v>
      </c>
    </row>
    <row r="222" spans="1:34" ht="31.5">
      <c r="A222" s="356" t="s">
        <v>29</v>
      </c>
      <c r="B222" s="346" t="s">
        <v>606</v>
      </c>
      <c r="C222" s="356" t="s">
        <v>607</v>
      </c>
      <c r="D222" s="356"/>
      <c r="E222" s="378" t="s">
        <v>251</v>
      </c>
      <c r="F222" s="378" t="s">
        <v>608</v>
      </c>
      <c r="G222" s="118">
        <v>20744</v>
      </c>
      <c r="H222" s="118"/>
      <c r="I222" s="118"/>
      <c r="J222" s="118"/>
      <c r="K222" s="118">
        <v>20744</v>
      </c>
      <c r="L222" s="118">
        <v>18630</v>
      </c>
      <c r="M222" s="118"/>
      <c r="N222" s="118"/>
      <c r="O222" s="118">
        <v>18630</v>
      </c>
      <c r="P222" s="118">
        <v>17095</v>
      </c>
      <c r="Q222" s="118"/>
      <c r="R222" s="118"/>
      <c r="S222" s="118">
        <v>17095</v>
      </c>
      <c r="T222" s="118">
        <v>2453</v>
      </c>
      <c r="U222" s="118"/>
      <c r="V222" s="118"/>
      <c r="W222" s="118"/>
      <c r="X222" s="118">
        <v>2453</v>
      </c>
      <c r="Y222" s="118">
        <v>2453</v>
      </c>
      <c r="Z222" s="118"/>
      <c r="AA222" s="118"/>
      <c r="AB222" s="118"/>
      <c r="AC222" s="118">
        <v>2453</v>
      </c>
      <c r="AD222" s="357">
        <f t="shared" si="12"/>
        <v>1</v>
      </c>
      <c r="AE222" s="357"/>
      <c r="AF222" s="357"/>
      <c r="AG222" s="357"/>
      <c r="AH222" s="357">
        <f>AC222/X222</f>
        <v>1</v>
      </c>
    </row>
    <row r="223" spans="1:34" ht="47.25">
      <c r="A223" s="356" t="s">
        <v>29</v>
      </c>
      <c r="B223" s="346" t="s">
        <v>609</v>
      </c>
      <c r="C223" s="356" t="s">
        <v>229</v>
      </c>
      <c r="D223" s="356"/>
      <c r="E223" s="378" t="s">
        <v>390</v>
      </c>
      <c r="F223" s="378" t="s">
        <v>610</v>
      </c>
      <c r="G223" s="118">
        <v>11757</v>
      </c>
      <c r="H223" s="118"/>
      <c r="I223" s="118"/>
      <c r="J223" s="118"/>
      <c r="K223" s="118">
        <v>11757</v>
      </c>
      <c r="L223" s="118">
        <v>11474</v>
      </c>
      <c r="M223" s="118"/>
      <c r="N223" s="118"/>
      <c r="O223" s="118">
        <v>11474</v>
      </c>
      <c r="P223" s="118">
        <v>11474</v>
      </c>
      <c r="Q223" s="118"/>
      <c r="R223" s="118"/>
      <c r="S223" s="118">
        <v>11474</v>
      </c>
      <c r="T223" s="118">
        <v>1006.89</v>
      </c>
      <c r="U223" s="118"/>
      <c r="V223" s="118"/>
      <c r="W223" s="118"/>
      <c r="X223" s="118">
        <v>1006.89</v>
      </c>
      <c r="Y223" s="118">
        <v>901.23299999999995</v>
      </c>
      <c r="Z223" s="118"/>
      <c r="AA223" s="118"/>
      <c r="AB223" s="118"/>
      <c r="AC223" s="118">
        <v>901.23299999999995</v>
      </c>
      <c r="AD223" s="357">
        <f t="shared" si="12"/>
        <v>0.89506599529243513</v>
      </c>
      <c r="AE223" s="357"/>
      <c r="AF223" s="357"/>
      <c r="AG223" s="357"/>
      <c r="AH223" s="357">
        <f>AC223/X223</f>
        <v>0.89506599529243513</v>
      </c>
    </row>
    <row r="224" spans="1:34" ht="31.5">
      <c r="A224" s="356" t="s">
        <v>29</v>
      </c>
      <c r="B224" s="346" t="s">
        <v>611</v>
      </c>
      <c r="C224" s="356" t="s">
        <v>612</v>
      </c>
      <c r="D224" s="356"/>
      <c r="E224" s="378" t="s">
        <v>230</v>
      </c>
      <c r="F224" s="378" t="s">
        <v>613</v>
      </c>
      <c r="G224" s="118">
        <v>48218</v>
      </c>
      <c r="H224" s="118"/>
      <c r="I224" s="118"/>
      <c r="J224" s="118"/>
      <c r="K224" s="118">
        <v>20000</v>
      </c>
      <c r="L224" s="118">
        <v>820</v>
      </c>
      <c r="M224" s="118"/>
      <c r="N224" s="118"/>
      <c r="O224" s="118">
        <v>820</v>
      </c>
      <c r="P224" s="118">
        <v>360</v>
      </c>
      <c r="Q224" s="118"/>
      <c r="R224" s="118"/>
      <c r="S224" s="118">
        <v>360</v>
      </c>
      <c r="T224" s="118">
        <v>360.45899999999983</v>
      </c>
      <c r="U224" s="118"/>
      <c r="V224" s="118"/>
      <c r="W224" s="118"/>
      <c r="X224" s="118">
        <v>360.45899999999983</v>
      </c>
      <c r="Y224" s="118">
        <v>360.45899999999983</v>
      </c>
      <c r="Z224" s="118"/>
      <c r="AA224" s="118"/>
      <c r="AB224" s="118"/>
      <c r="AC224" s="118">
        <v>360.45899999999983</v>
      </c>
      <c r="AD224" s="357">
        <f t="shared" si="12"/>
        <v>1</v>
      </c>
      <c r="AE224" s="357"/>
      <c r="AF224" s="357"/>
      <c r="AG224" s="357"/>
      <c r="AH224" s="357">
        <f>AC224/X224</f>
        <v>1</v>
      </c>
    </row>
    <row r="225" spans="1:34" s="355" customFormat="1" ht="31.5">
      <c r="A225" s="343">
        <v>38</v>
      </c>
      <c r="B225" s="344" t="s">
        <v>175</v>
      </c>
      <c r="C225" s="343"/>
      <c r="D225" s="343"/>
      <c r="E225" s="366"/>
      <c r="F225" s="366"/>
      <c r="G225" s="354"/>
      <c r="H225" s="354"/>
      <c r="I225" s="354"/>
      <c r="J225" s="354"/>
      <c r="K225" s="354"/>
      <c r="L225" s="354"/>
      <c r="M225" s="354"/>
      <c r="N225" s="354"/>
      <c r="O225" s="354"/>
      <c r="P225" s="354"/>
      <c r="Q225" s="354"/>
      <c r="R225" s="354"/>
      <c r="S225" s="354"/>
      <c r="T225" s="354"/>
      <c r="U225" s="354"/>
      <c r="V225" s="354"/>
      <c r="W225" s="354"/>
      <c r="X225" s="354"/>
      <c r="Y225" s="354"/>
      <c r="Z225" s="354"/>
      <c r="AA225" s="354"/>
      <c r="AB225" s="354"/>
      <c r="AC225" s="354"/>
      <c r="AD225" s="357"/>
      <c r="AE225" s="357"/>
      <c r="AF225" s="357"/>
      <c r="AG225" s="357"/>
      <c r="AH225" s="357"/>
    </row>
    <row r="226" spans="1:34" ht="31.5">
      <c r="A226" s="356" t="s">
        <v>29</v>
      </c>
      <c r="B226" s="346" t="s">
        <v>614</v>
      </c>
      <c r="C226" s="356"/>
      <c r="D226" s="356"/>
      <c r="E226" s="378"/>
      <c r="F226" s="378"/>
      <c r="G226" s="118"/>
      <c r="H226" s="118"/>
      <c r="I226" s="118"/>
      <c r="J226" s="118"/>
      <c r="K226" s="118"/>
      <c r="L226" s="118"/>
      <c r="M226" s="118"/>
      <c r="N226" s="118"/>
      <c r="O226" s="118"/>
      <c r="P226" s="118"/>
      <c r="Q226" s="118"/>
      <c r="R226" s="118"/>
      <c r="S226" s="118"/>
      <c r="T226" s="118">
        <v>29000</v>
      </c>
      <c r="U226" s="118"/>
      <c r="V226" s="118"/>
      <c r="W226" s="118"/>
      <c r="X226" s="118">
        <v>29000</v>
      </c>
      <c r="Y226" s="118">
        <v>29000</v>
      </c>
      <c r="Z226" s="118"/>
      <c r="AA226" s="118">
        <v>29000</v>
      </c>
      <c r="AB226" s="118"/>
      <c r="AC226" s="118"/>
      <c r="AD226" s="357">
        <f t="shared" si="12"/>
        <v>1</v>
      </c>
      <c r="AE226" s="357"/>
      <c r="AF226" s="357"/>
      <c r="AG226" s="357"/>
      <c r="AH226" s="357">
        <f>AC226/X226</f>
        <v>0</v>
      </c>
    </row>
    <row r="227" spans="1:34" s="355" customFormat="1" ht="31.5">
      <c r="A227" s="343">
        <v>39</v>
      </c>
      <c r="B227" s="344" t="s">
        <v>176</v>
      </c>
      <c r="C227" s="343"/>
      <c r="D227" s="343"/>
      <c r="E227" s="366"/>
      <c r="F227" s="366"/>
      <c r="G227" s="354"/>
      <c r="H227" s="354"/>
      <c r="I227" s="354"/>
      <c r="J227" s="354"/>
      <c r="K227" s="354"/>
      <c r="L227" s="354"/>
      <c r="M227" s="354"/>
      <c r="N227" s="354"/>
      <c r="O227" s="354"/>
      <c r="P227" s="354"/>
      <c r="Q227" s="354"/>
      <c r="R227" s="354"/>
      <c r="S227" s="354"/>
      <c r="T227" s="354"/>
      <c r="U227" s="354"/>
      <c r="V227" s="354"/>
      <c r="W227" s="354"/>
      <c r="X227" s="354"/>
      <c r="Y227" s="354"/>
      <c r="Z227" s="354"/>
      <c r="AA227" s="354"/>
      <c r="AB227" s="354"/>
      <c r="AC227" s="354"/>
      <c r="AD227" s="357"/>
      <c r="AE227" s="357"/>
      <c r="AF227" s="357"/>
      <c r="AG227" s="357"/>
      <c r="AH227" s="357"/>
    </row>
    <row r="228" spans="1:34" ht="63">
      <c r="A228" s="356" t="s">
        <v>29</v>
      </c>
      <c r="B228" s="346" t="s">
        <v>615</v>
      </c>
      <c r="C228" s="356" t="s">
        <v>439</v>
      </c>
      <c r="D228" s="356"/>
      <c r="E228" s="378" t="s">
        <v>390</v>
      </c>
      <c r="F228" s="378" t="s">
        <v>616</v>
      </c>
      <c r="G228" s="118">
        <v>9541</v>
      </c>
      <c r="H228" s="118"/>
      <c r="I228" s="118"/>
      <c r="J228" s="118"/>
      <c r="K228" s="118">
        <v>9541</v>
      </c>
      <c r="L228" s="118">
        <v>7421</v>
      </c>
      <c r="M228" s="118"/>
      <c r="N228" s="118"/>
      <c r="O228" s="118">
        <v>7421</v>
      </c>
      <c r="P228" s="118">
        <v>7421</v>
      </c>
      <c r="Q228" s="118"/>
      <c r="R228" s="118"/>
      <c r="S228" s="118">
        <v>7421</v>
      </c>
      <c r="T228" s="118">
        <v>595.78499999999997</v>
      </c>
      <c r="U228" s="118"/>
      <c r="V228" s="118"/>
      <c r="W228" s="118"/>
      <c r="X228" s="118">
        <v>595.78499999999997</v>
      </c>
      <c r="Y228" s="118">
        <v>595.78499999999997</v>
      </c>
      <c r="Z228" s="118"/>
      <c r="AA228" s="118"/>
      <c r="AB228" s="118"/>
      <c r="AC228" s="118">
        <v>595.78499999999997</v>
      </c>
      <c r="AD228" s="357">
        <f t="shared" si="12"/>
        <v>1</v>
      </c>
      <c r="AE228" s="357"/>
      <c r="AF228" s="357"/>
      <c r="AG228" s="357"/>
      <c r="AH228" s="357">
        <f>AC228/X228</f>
        <v>1</v>
      </c>
    </row>
    <row r="229" spans="1:34" ht="31.5">
      <c r="A229" s="356" t="s">
        <v>29</v>
      </c>
      <c r="B229" s="346" t="s">
        <v>617</v>
      </c>
      <c r="C229" s="356" t="s">
        <v>277</v>
      </c>
      <c r="D229" s="356"/>
      <c r="E229" s="378" t="s">
        <v>230</v>
      </c>
      <c r="F229" s="378" t="s">
        <v>618</v>
      </c>
      <c r="G229" s="118">
        <v>10351</v>
      </c>
      <c r="H229" s="118"/>
      <c r="I229" s="118"/>
      <c r="J229" s="118"/>
      <c r="K229" s="118">
        <v>10351</v>
      </c>
      <c r="L229" s="118">
        <v>9211</v>
      </c>
      <c r="M229" s="118"/>
      <c r="N229" s="118"/>
      <c r="O229" s="118">
        <v>9211</v>
      </c>
      <c r="P229" s="118">
        <v>8000</v>
      </c>
      <c r="Q229" s="118"/>
      <c r="R229" s="118"/>
      <c r="S229" s="118">
        <v>8000</v>
      </c>
      <c r="T229" s="118">
        <v>4945.6570000000002</v>
      </c>
      <c r="U229" s="118"/>
      <c r="V229" s="118"/>
      <c r="W229" s="118"/>
      <c r="X229" s="118">
        <v>4945.6570000000002</v>
      </c>
      <c r="Y229" s="118">
        <v>4945.6570000000002</v>
      </c>
      <c r="Z229" s="118"/>
      <c r="AA229" s="118"/>
      <c r="AB229" s="118"/>
      <c r="AC229" s="118">
        <v>4945.6570000000002</v>
      </c>
      <c r="AD229" s="357">
        <f t="shared" si="12"/>
        <v>1</v>
      </c>
      <c r="AE229" s="357"/>
      <c r="AF229" s="357"/>
      <c r="AG229" s="357"/>
      <c r="AH229" s="357">
        <f>AC229/X229</f>
        <v>1</v>
      </c>
    </row>
    <row r="230" spans="1:34" s="355" customFormat="1" ht="31.5">
      <c r="A230" s="343">
        <v>40</v>
      </c>
      <c r="B230" s="344" t="s">
        <v>177</v>
      </c>
      <c r="C230" s="343"/>
      <c r="D230" s="343"/>
      <c r="E230" s="366"/>
      <c r="F230" s="366"/>
      <c r="G230" s="354"/>
      <c r="H230" s="354"/>
      <c r="I230" s="354"/>
      <c r="J230" s="354"/>
      <c r="K230" s="354"/>
      <c r="L230" s="354"/>
      <c r="M230" s="354"/>
      <c r="N230" s="354"/>
      <c r="O230" s="354"/>
      <c r="P230" s="354"/>
      <c r="Q230" s="354"/>
      <c r="R230" s="354"/>
      <c r="S230" s="354"/>
      <c r="T230" s="354"/>
      <c r="U230" s="354"/>
      <c r="V230" s="354"/>
      <c r="W230" s="354"/>
      <c r="X230" s="354"/>
      <c r="Y230" s="354"/>
      <c r="Z230" s="354"/>
      <c r="AA230" s="354"/>
      <c r="AB230" s="354"/>
      <c r="AC230" s="354"/>
      <c r="AD230" s="357"/>
      <c r="AE230" s="357"/>
      <c r="AF230" s="357"/>
      <c r="AG230" s="357"/>
      <c r="AH230" s="357"/>
    </row>
    <row r="231" spans="1:34" ht="31.5">
      <c r="A231" s="356" t="s">
        <v>29</v>
      </c>
      <c r="B231" s="346" t="s">
        <v>619</v>
      </c>
      <c r="C231" s="356"/>
      <c r="D231" s="356"/>
      <c r="E231" s="378"/>
      <c r="F231" s="378"/>
      <c r="G231" s="118"/>
      <c r="H231" s="118"/>
      <c r="I231" s="118"/>
      <c r="J231" s="118"/>
      <c r="K231" s="118"/>
      <c r="L231" s="118"/>
      <c r="M231" s="118"/>
      <c r="N231" s="118"/>
      <c r="O231" s="118"/>
      <c r="P231" s="118"/>
      <c r="Q231" s="118"/>
      <c r="R231" s="118"/>
      <c r="S231" s="118"/>
      <c r="T231" s="118">
        <v>58522.994038999997</v>
      </c>
      <c r="U231" s="118"/>
      <c r="V231" s="118"/>
      <c r="W231" s="118"/>
      <c r="X231" s="118">
        <v>58522.994038999997</v>
      </c>
      <c r="Y231" s="118">
        <v>58522.994038999997</v>
      </c>
      <c r="Z231" s="118"/>
      <c r="AA231" s="118"/>
      <c r="AB231" s="118"/>
      <c r="AC231" s="118">
        <v>58522.994038999997</v>
      </c>
      <c r="AD231" s="357">
        <f t="shared" si="12"/>
        <v>1</v>
      </c>
      <c r="AE231" s="357"/>
      <c r="AF231" s="357"/>
      <c r="AG231" s="357"/>
      <c r="AH231" s="357">
        <f>AC231/X231</f>
        <v>1</v>
      </c>
    </row>
    <row r="232" spans="1:34" s="355" customFormat="1" ht="31.5">
      <c r="A232" s="343">
        <v>41</v>
      </c>
      <c r="B232" s="344" t="s">
        <v>178</v>
      </c>
      <c r="C232" s="343"/>
      <c r="D232" s="343"/>
      <c r="E232" s="366"/>
      <c r="F232" s="366"/>
      <c r="G232" s="354"/>
      <c r="H232" s="354"/>
      <c r="I232" s="354"/>
      <c r="J232" s="354"/>
      <c r="K232" s="354"/>
      <c r="L232" s="354"/>
      <c r="M232" s="354"/>
      <c r="N232" s="354"/>
      <c r="O232" s="354"/>
      <c r="P232" s="354"/>
      <c r="Q232" s="354"/>
      <c r="R232" s="354"/>
      <c r="S232" s="354"/>
      <c r="T232" s="354"/>
      <c r="U232" s="354"/>
      <c r="V232" s="354"/>
      <c r="W232" s="354"/>
      <c r="X232" s="354"/>
      <c r="Y232" s="354"/>
      <c r="Z232" s="354"/>
      <c r="AA232" s="354"/>
      <c r="AB232" s="354"/>
      <c r="AC232" s="354"/>
      <c r="AD232" s="357"/>
      <c r="AE232" s="357"/>
      <c r="AF232" s="357"/>
      <c r="AG232" s="357"/>
      <c r="AH232" s="357"/>
    </row>
    <row r="233" spans="1:34" ht="31.5">
      <c r="A233" s="356" t="s">
        <v>29</v>
      </c>
      <c r="B233" s="346" t="s">
        <v>620</v>
      </c>
      <c r="C233" s="356"/>
      <c r="D233" s="356"/>
      <c r="E233" s="378"/>
      <c r="F233" s="378"/>
      <c r="G233" s="118"/>
      <c r="H233" s="118"/>
      <c r="I233" s="118"/>
      <c r="J233" s="118"/>
      <c r="K233" s="118"/>
      <c r="L233" s="118"/>
      <c r="M233" s="118"/>
      <c r="N233" s="118"/>
      <c r="O233" s="118"/>
      <c r="P233" s="118"/>
      <c r="Q233" s="118"/>
      <c r="R233" s="118"/>
      <c r="S233" s="118"/>
      <c r="T233" s="118">
        <v>1292.342541</v>
      </c>
      <c r="U233" s="118"/>
      <c r="V233" s="118"/>
      <c r="W233" s="118"/>
      <c r="X233" s="118">
        <v>1292.342541</v>
      </c>
      <c r="Y233" s="118">
        <v>0</v>
      </c>
      <c r="Z233" s="118"/>
      <c r="AA233" s="118"/>
      <c r="AB233" s="118"/>
      <c r="AC233" s="118"/>
      <c r="AD233" s="357">
        <f t="shared" si="12"/>
        <v>0</v>
      </c>
      <c r="AE233" s="357"/>
      <c r="AF233" s="357"/>
      <c r="AG233" s="357"/>
      <c r="AH233" s="357">
        <f>AC233/X233</f>
        <v>0</v>
      </c>
    </row>
    <row r="234" spans="1:34" ht="31.5">
      <c r="A234" s="356" t="s">
        <v>29</v>
      </c>
      <c r="B234" s="346" t="s">
        <v>621</v>
      </c>
      <c r="C234" s="356"/>
      <c r="D234" s="356"/>
      <c r="E234" s="378"/>
      <c r="F234" s="378"/>
      <c r="G234" s="118"/>
      <c r="H234" s="118"/>
      <c r="I234" s="118"/>
      <c r="J234" s="118"/>
      <c r="K234" s="118"/>
      <c r="L234" s="118"/>
      <c r="M234" s="118"/>
      <c r="N234" s="118"/>
      <c r="O234" s="118"/>
      <c r="P234" s="118"/>
      <c r="Q234" s="118"/>
      <c r="R234" s="118"/>
      <c r="S234" s="118"/>
      <c r="T234" s="118">
        <v>851.45</v>
      </c>
      <c r="U234" s="118"/>
      <c r="V234" s="118"/>
      <c r="W234" s="118"/>
      <c r="X234" s="118">
        <v>851.45</v>
      </c>
      <c r="Y234" s="118">
        <v>0</v>
      </c>
      <c r="Z234" s="118"/>
      <c r="AA234" s="118"/>
      <c r="AB234" s="118"/>
      <c r="AC234" s="118"/>
      <c r="AD234" s="357">
        <f t="shared" si="12"/>
        <v>0</v>
      </c>
      <c r="AE234" s="357"/>
      <c r="AF234" s="357"/>
      <c r="AG234" s="357"/>
      <c r="AH234" s="357">
        <f>AC234/X234</f>
        <v>0</v>
      </c>
    </row>
    <row r="235" spans="1:34" s="355" customFormat="1" ht="31.5">
      <c r="A235" s="343">
        <v>42</v>
      </c>
      <c r="B235" s="344" t="s">
        <v>179</v>
      </c>
      <c r="C235" s="343"/>
      <c r="D235" s="343"/>
      <c r="E235" s="366"/>
      <c r="F235" s="366"/>
      <c r="G235" s="354"/>
      <c r="H235" s="354"/>
      <c r="I235" s="354"/>
      <c r="J235" s="354"/>
      <c r="K235" s="354"/>
      <c r="L235" s="354"/>
      <c r="M235" s="354"/>
      <c r="N235" s="354"/>
      <c r="O235" s="354"/>
      <c r="P235" s="354"/>
      <c r="Q235" s="354"/>
      <c r="R235" s="354"/>
      <c r="S235" s="354"/>
      <c r="T235" s="354"/>
      <c r="U235" s="354"/>
      <c r="V235" s="354"/>
      <c r="W235" s="354"/>
      <c r="X235" s="354"/>
      <c r="Y235" s="354"/>
      <c r="Z235" s="354"/>
      <c r="AA235" s="354"/>
      <c r="AB235" s="354"/>
      <c r="AC235" s="354"/>
      <c r="AD235" s="357"/>
      <c r="AE235" s="357"/>
      <c r="AF235" s="357"/>
      <c r="AG235" s="357"/>
      <c r="AH235" s="357"/>
    </row>
    <row r="236" spans="1:34" ht="31.5">
      <c r="A236" s="356" t="s">
        <v>29</v>
      </c>
      <c r="B236" s="346" t="s">
        <v>622</v>
      </c>
      <c r="C236" s="356"/>
      <c r="D236" s="356"/>
      <c r="E236" s="378"/>
      <c r="F236" s="378"/>
      <c r="G236" s="118">
        <v>5994</v>
      </c>
      <c r="H236" s="118"/>
      <c r="I236" s="118"/>
      <c r="J236" s="118"/>
      <c r="K236" s="118">
        <v>5994</v>
      </c>
      <c r="L236" s="118"/>
      <c r="M236" s="118"/>
      <c r="N236" s="118"/>
      <c r="O236" s="118"/>
      <c r="P236" s="118"/>
      <c r="Q236" s="118"/>
      <c r="R236" s="118"/>
      <c r="S236" s="118"/>
      <c r="T236" s="118">
        <v>5000</v>
      </c>
      <c r="U236" s="118"/>
      <c r="V236" s="118"/>
      <c r="W236" s="118"/>
      <c r="X236" s="118">
        <v>5000</v>
      </c>
      <c r="Y236" s="118">
        <v>1313.0029999999999</v>
      </c>
      <c r="Z236" s="118"/>
      <c r="AA236" s="118"/>
      <c r="AB236" s="118"/>
      <c r="AC236" s="118">
        <v>1313.0029999999999</v>
      </c>
      <c r="AD236" s="357">
        <f t="shared" si="12"/>
        <v>0.26260059999999996</v>
      </c>
      <c r="AE236" s="357"/>
      <c r="AF236" s="357"/>
      <c r="AG236" s="357"/>
      <c r="AH236" s="357">
        <f>AC236/X236</f>
        <v>0.26260059999999996</v>
      </c>
    </row>
    <row r="237" spans="1:34" s="355" customFormat="1">
      <c r="A237" s="343">
        <v>43</v>
      </c>
      <c r="B237" s="344" t="s">
        <v>180</v>
      </c>
      <c r="C237" s="343"/>
      <c r="D237" s="343"/>
      <c r="E237" s="366"/>
      <c r="F237" s="366"/>
      <c r="G237" s="354"/>
      <c r="H237" s="354"/>
      <c r="I237" s="354"/>
      <c r="J237" s="354"/>
      <c r="K237" s="354"/>
      <c r="L237" s="354"/>
      <c r="M237" s="354"/>
      <c r="N237" s="354"/>
      <c r="O237" s="354"/>
      <c r="P237" s="354"/>
      <c r="Q237" s="354"/>
      <c r="R237" s="354"/>
      <c r="S237" s="354"/>
      <c r="T237" s="354"/>
      <c r="U237" s="354"/>
      <c r="V237" s="354"/>
      <c r="W237" s="354"/>
      <c r="X237" s="354"/>
      <c r="Y237" s="354"/>
      <c r="Z237" s="354"/>
      <c r="AA237" s="354"/>
      <c r="AB237" s="354"/>
      <c r="AC237" s="354"/>
      <c r="AD237" s="357"/>
      <c r="AE237" s="357"/>
      <c r="AF237" s="357"/>
      <c r="AG237" s="357"/>
      <c r="AH237" s="357"/>
    </row>
    <row r="238" spans="1:34" ht="45">
      <c r="A238" s="356" t="s">
        <v>29</v>
      </c>
      <c r="B238" s="346" t="s">
        <v>623</v>
      </c>
      <c r="C238" s="356" t="s">
        <v>263</v>
      </c>
      <c r="D238" s="356"/>
      <c r="E238" s="378" t="s">
        <v>381</v>
      </c>
      <c r="F238" s="378" t="s">
        <v>624</v>
      </c>
      <c r="G238" s="118">
        <v>3128.703</v>
      </c>
      <c r="H238" s="118"/>
      <c r="I238" s="118"/>
      <c r="J238" s="118"/>
      <c r="K238" s="118">
        <v>3128.703</v>
      </c>
      <c r="L238" s="118">
        <v>2805</v>
      </c>
      <c r="M238" s="118"/>
      <c r="N238" s="118"/>
      <c r="O238" s="118">
        <v>2805</v>
      </c>
      <c r="P238" s="118">
        <v>2303.0349999999999</v>
      </c>
      <c r="Q238" s="118"/>
      <c r="R238" s="118"/>
      <c r="S238" s="118">
        <v>2303.0349999999999</v>
      </c>
      <c r="T238" s="118">
        <v>500</v>
      </c>
      <c r="U238" s="118"/>
      <c r="V238" s="118"/>
      <c r="W238" s="118"/>
      <c r="X238" s="118">
        <v>500</v>
      </c>
      <c r="Y238" s="118">
        <v>400</v>
      </c>
      <c r="Z238" s="118"/>
      <c r="AA238" s="118"/>
      <c r="AB238" s="118"/>
      <c r="AC238" s="118">
        <v>400</v>
      </c>
      <c r="AD238" s="357">
        <f t="shared" si="12"/>
        <v>0.8</v>
      </c>
      <c r="AE238" s="357"/>
      <c r="AF238" s="357"/>
      <c r="AG238" s="357"/>
      <c r="AH238" s="357">
        <f>AC238/X238</f>
        <v>0.8</v>
      </c>
    </row>
    <row r="239" spans="1:34" ht="47.25">
      <c r="A239" s="356" t="s">
        <v>29</v>
      </c>
      <c r="B239" s="346" t="s">
        <v>625</v>
      </c>
      <c r="C239" s="356" t="s">
        <v>408</v>
      </c>
      <c r="D239" s="356"/>
      <c r="E239" s="378" t="s">
        <v>288</v>
      </c>
      <c r="F239" s="378" t="s">
        <v>626</v>
      </c>
      <c r="G239" s="118">
        <v>60948.472999999998</v>
      </c>
      <c r="H239" s="118"/>
      <c r="I239" s="118">
        <v>35000</v>
      </c>
      <c r="J239" s="118"/>
      <c r="K239" s="118">
        <v>25948.473000000002</v>
      </c>
      <c r="L239" s="118">
        <v>15520.619000000001</v>
      </c>
      <c r="M239" s="118"/>
      <c r="N239" s="118">
        <v>15002</v>
      </c>
      <c r="O239" s="118">
        <v>518.61900000000003</v>
      </c>
      <c r="P239" s="118">
        <v>15518.619000000001</v>
      </c>
      <c r="Q239" s="118"/>
      <c r="R239" s="118">
        <v>15000</v>
      </c>
      <c r="S239" s="118">
        <v>518.61900000000003</v>
      </c>
      <c r="T239" s="118">
        <v>11150</v>
      </c>
      <c r="U239" s="118"/>
      <c r="V239" s="118"/>
      <c r="W239" s="118"/>
      <c r="X239" s="118">
        <v>11150</v>
      </c>
      <c r="Y239" s="118">
        <v>10813.663</v>
      </c>
      <c r="Z239" s="118"/>
      <c r="AA239" s="118">
        <v>10650</v>
      </c>
      <c r="AB239" s="118"/>
      <c r="AC239" s="118">
        <v>163.66300000000047</v>
      </c>
      <c r="AD239" s="357">
        <f t="shared" si="12"/>
        <v>0.96983524663677134</v>
      </c>
      <c r="AE239" s="357"/>
      <c r="AF239" s="357"/>
      <c r="AG239" s="357"/>
      <c r="AH239" s="357">
        <f>AC239/X239</f>
        <v>1.4678295964125601E-2</v>
      </c>
    </row>
    <row r="240" spans="1:34" s="355" customFormat="1">
      <c r="A240" s="343">
        <v>44</v>
      </c>
      <c r="B240" s="344" t="s">
        <v>181</v>
      </c>
      <c r="C240" s="343"/>
      <c r="D240" s="343"/>
      <c r="E240" s="366"/>
      <c r="F240" s="366"/>
      <c r="G240" s="354"/>
      <c r="H240" s="354"/>
      <c r="I240" s="354"/>
      <c r="J240" s="354"/>
      <c r="K240" s="354"/>
      <c r="L240" s="354"/>
      <c r="M240" s="354"/>
      <c r="N240" s="354"/>
      <c r="O240" s="354"/>
      <c r="P240" s="354"/>
      <c r="Q240" s="354"/>
      <c r="R240" s="354"/>
      <c r="S240" s="354"/>
      <c r="T240" s="354"/>
      <c r="U240" s="354"/>
      <c r="V240" s="354"/>
      <c r="W240" s="354"/>
      <c r="X240" s="354"/>
      <c r="Y240" s="354"/>
      <c r="Z240" s="354"/>
      <c r="AA240" s="354"/>
      <c r="AB240" s="354"/>
      <c r="AC240" s="354"/>
      <c r="AD240" s="357"/>
      <c r="AE240" s="357"/>
      <c r="AF240" s="357"/>
      <c r="AG240" s="357"/>
      <c r="AH240" s="357"/>
    </row>
    <row r="241" spans="1:34" ht="31.5">
      <c r="A241" s="356" t="s">
        <v>29</v>
      </c>
      <c r="B241" s="346" t="s">
        <v>627</v>
      </c>
      <c r="C241" s="356"/>
      <c r="D241" s="356"/>
      <c r="E241" s="378"/>
      <c r="F241" s="378" t="s">
        <v>628</v>
      </c>
      <c r="G241" s="118">
        <v>10109</v>
      </c>
      <c r="H241" s="118"/>
      <c r="I241" s="118"/>
      <c r="J241" s="118"/>
      <c r="K241" s="118">
        <v>10109</v>
      </c>
      <c r="L241" s="118">
        <f>6408+1500</f>
        <v>7908</v>
      </c>
      <c r="M241" s="118"/>
      <c r="N241" s="118"/>
      <c r="O241" s="118">
        <v>7908</v>
      </c>
      <c r="P241" s="118">
        <v>7908</v>
      </c>
      <c r="Q241" s="118"/>
      <c r="R241" s="118"/>
      <c r="S241" s="118">
        <v>7908</v>
      </c>
      <c r="T241" s="118">
        <v>1500</v>
      </c>
      <c r="U241" s="118"/>
      <c r="V241" s="118"/>
      <c r="W241" s="118"/>
      <c r="X241" s="118">
        <v>1500</v>
      </c>
      <c r="Y241" s="118">
        <v>1500</v>
      </c>
      <c r="Z241" s="118"/>
      <c r="AA241" s="118"/>
      <c r="AB241" s="118"/>
      <c r="AC241" s="118">
        <v>1500</v>
      </c>
      <c r="AD241" s="357">
        <f t="shared" si="12"/>
        <v>1</v>
      </c>
      <c r="AE241" s="357"/>
      <c r="AF241" s="357"/>
      <c r="AG241" s="357"/>
      <c r="AH241" s="357">
        <f>AC241/X241</f>
        <v>1</v>
      </c>
    </row>
    <row r="242" spans="1:34" s="355" customFormat="1">
      <c r="A242" s="343">
        <v>45</v>
      </c>
      <c r="B242" s="344" t="s">
        <v>182</v>
      </c>
      <c r="C242" s="343"/>
      <c r="D242" s="343"/>
      <c r="E242" s="366"/>
      <c r="F242" s="366"/>
      <c r="G242" s="354"/>
      <c r="H242" s="354"/>
      <c r="I242" s="354"/>
      <c r="J242" s="354"/>
      <c r="K242" s="354"/>
      <c r="L242" s="354"/>
      <c r="M242" s="354"/>
      <c r="N242" s="354"/>
      <c r="O242" s="354"/>
      <c r="P242" s="354"/>
      <c r="Q242" s="354"/>
      <c r="R242" s="354"/>
      <c r="S242" s="354"/>
      <c r="T242" s="354"/>
      <c r="U242" s="354"/>
      <c r="V242" s="354"/>
      <c r="W242" s="354"/>
      <c r="X242" s="354"/>
      <c r="Y242" s="354"/>
      <c r="Z242" s="354"/>
      <c r="AA242" s="354"/>
      <c r="AB242" s="354"/>
      <c r="AC242" s="354"/>
      <c r="AD242" s="357"/>
      <c r="AE242" s="357"/>
      <c r="AF242" s="357"/>
      <c r="AG242" s="357"/>
      <c r="AH242" s="357"/>
    </row>
    <row r="243" spans="1:34" ht="31.5">
      <c r="A243" s="356" t="s">
        <v>29</v>
      </c>
      <c r="B243" s="346" t="s">
        <v>629</v>
      </c>
      <c r="C243" s="356" t="s">
        <v>310</v>
      </c>
      <c r="D243" s="356"/>
      <c r="E243" s="378" t="s">
        <v>390</v>
      </c>
      <c r="F243" s="378" t="s">
        <v>630</v>
      </c>
      <c r="G243" s="118">
        <v>2582.54</v>
      </c>
      <c r="H243" s="118"/>
      <c r="I243" s="118"/>
      <c r="J243" s="118"/>
      <c r="K243" s="118">
        <v>2582.54</v>
      </c>
      <c r="L243" s="118">
        <v>2080</v>
      </c>
      <c r="M243" s="118"/>
      <c r="N243" s="118"/>
      <c r="O243" s="118">
        <v>2080</v>
      </c>
      <c r="P243" s="118">
        <v>2080.1010000000001</v>
      </c>
      <c r="Q243" s="118"/>
      <c r="R243" s="118"/>
      <c r="S243" s="118">
        <v>2080.1010000000001</v>
      </c>
      <c r="T243" s="118">
        <v>100</v>
      </c>
      <c r="U243" s="118"/>
      <c r="V243" s="118"/>
      <c r="W243" s="118"/>
      <c r="X243" s="118">
        <v>100</v>
      </c>
      <c r="Y243" s="118">
        <v>80.100981000000004</v>
      </c>
      <c r="Z243" s="118"/>
      <c r="AA243" s="118"/>
      <c r="AB243" s="118"/>
      <c r="AC243" s="118">
        <v>80.100981000000004</v>
      </c>
      <c r="AD243" s="357">
        <f t="shared" si="12"/>
        <v>0.80100981000000004</v>
      </c>
      <c r="AE243" s="357"/>
      <c r="AF243" s="357"/>
      <c r="AG243" s="357"/>
      <c r="AH243" s="357">
        <f>AC243/X243</f>
        <v>0.80100981000000004</v>
      </c>
    </row>
    <row r="244" spans="1:34" s="355" customFormat="1">
      <c r="A244" s="343">
        <v>46</v>
      </c>
      <c r="B244" s="344" t="s">
        <v>183</v>
      </c>
      <c r="C244" s="343"/>
      <c r="D244" s="343"/>
      <c r="E244" s="366"/>
      <c r="F244" s="366"/>
      <c r="G244" s="354"/>
      <c r="H244" s="354"/>
      <c r="I244" s="354"/>
      <c r="J244" s="354"/>
      <c r="K244" s="354"/>
      <c r="L244" s="354"/>
      <c r="M244" s="354"/>
      <c r="N244" s="354"/>
      <c r="O244" s="354"/>
      <c r="P244" s="354"/>
      <c r="Q244" s="354"/>
      <c r="R244" s="354"/>
      <c r="S244" s="354"/>
      <c r="T244" s="354"/>
      <c r="U244" s="354"/>
      <c r="V244" s="354"/>
      <c r="W244" s="354"/>
      <c r="X244" s="354"/>
      <c r="Y244" s="354"/>
      <c r="Z244" s="354"/>
      <c r="AA244" s="354"/>
      <c r="AB244" s="354"/>
      <c r="AC244" s="354"/>
      <c r="AD244" s="357"/>
      <c r="AE244" s="357"/>
      <c r="AF244" s="357"/>
      <c r="AG244" s="357"/>
      <c r="AH244" s="357"/>
    </row>
    <row r="245" spans="1:34" ht="47.25">
      <c r="A245" s="356" t="s">
        <v>29</v>
      </c>
      <c r="B245" s="346" t="s">
        <v>631</v>
      </c>
      <c r="C245" s="356" t="s">
        <v>225</v>
      </c>
      <c r="D245" s="356"/>
      <c r="E245" s="378" t="s">
        <v>293</v>
      </c>
      <c r="F245" s="378" t="s">
        <v>632</v>
      </c>
      <c r="G245" s="118">
        <v>14972</v>
      </c>
      <c r="H245" s="118"/>
      <c r="I245" s="118"/>
      <c r="J245" s="118"/>
      <c r="K245" s="118">
        <v>14972</v>
      </c>
      <c r="L245" s="118">
        <v>14573</v>
      </c>
      <c r="M245" s="118"/>
      <c r="N245" s="118"/>
      <c r="O245" s="118">
        <v>14573</v>
      </c>
      <c r="P245" s="118">
        <v>9546</v>
      </c>
      <c r="Q245" s="118"/>
      <c r="R245" s="118"/>
      <c r="S245" s="118">
        <v>9546</v>
      </c>
      <c r="T245" s="118">
        <v>4500</v>
      </c>
      <c r="U245" s="118"/>
      <c r="V245" s="118"/>
      <c r="W245" s="118"/>
      <c r="X245" s="118">
        <v>4500</v>
      </c>
      <c r="Y245" s="118">
        <v>4500</v>
      </c>
      <c r="Z245" s="118"/>
      <c r="AA245" s="118"/>
      <c r="AB245" s="118"/>
      <c r="AC245" s="118">
        <v>4500</v>
      </c>
      <c r="AD245" s="357">
        <f t="shared" si="12"/>
        <v>1</v>
      </c>
      <c r="AE245" s="357"/>
      <c r="AF245" s="357"/>
      <c r="AG245" s="357"/>
      <c r="AH245" s="357">
        <f>AC245/X245</f>
        <v>1</v>
      </c>
    </row>
    <row r="246" spans="1:34" s="355" customFormat="1">
      <c r="A246" s="343">
        <v>47</v>
      </c>
      <c r="B246" s="344" t="s">
        <v>184</v>
      </c>
      <c r="C246" s="343"/>
      <c r="D246" s="343"/>
      <c r="E246" s="366"/>
      <c r="F246" s="366"/>
      <c r="G246" s="354"/>
      <c r="H246" s="354"/>
      <c r="I246" s="354"/>
      <c r="J246" s="354"/>
      <c r="K246" s="354"/>
      <c r="L246" s="354"/>
      <c r="M246" s="354"/>
      <c r="N246" s="354"/>
      <c r="O246" s="354"/>
      <c r="P246" s="354"/>
      <c r="Q246" s="354"/>
      <c r="R246" s="354"/>
      <c r="S246" s="354"/>
      <c r="T246" s="354"/>
      <c r="U246" s="354"/>
      <c r="V246" s="354"/>
      <c r="W246" s="354"/>
      <c r="X246" s="354"/>
      <c r="Y246" s="354"/>
      <c r="Z246" s="354"/>
      <c r="AA246" s="354"/>
      <c r="AB246" s="354"/>
      <c r="AC246" s="354"/>
      <c r="AD246" s="357"/>
      <c r="AE246" s="357"/>
      <c r="AF246" s="357"/>
      <c r="AG246" s="357"/>
      <c r="AH246" s="357"/>
    </row>
    <row r="247" spans="1:34" ht="31.5">
      <c r="A247" s="356" t="s">
        <v>29</v>
      </c>
      <c r="B247" s="346" t="s">
        <v>633</v>
      </c>
      <c r="C247" s="356" t="s">
        <v>634</v>
      </c>
      <c r="D247" s="356"/>
      <c r="E247" s="378"/>
      <c r="F247" s="378" t="s">
        <v>635</v>
      </c>
      <c r="G247" s="118">
        <v>2540</v>
      </c>
      <c r="H247" s="118"/>
      <c r="I247" s="118"/>
      <c r="J247" s="118"/>
      <c r="K247" s="118">
        <v>2540</v>
      </c>
      <c r="L247" s="118">
        <f>2104+281</f>
        <v>2385</v>
      </c>
      <c r="M247" s="118"/>
      <c r="N247" s="118"/>
      <c r="O247" s="118">
        <v>2385</v>
      </c>
      <c r="P247" s="118">
        <v>2385</v>
      </c>
      <c r="Q247" s="118"/>
      <c r="R247" s="118"/>
      <c r="S247" s="118">
        <v>2385</v>
      </c>
      <c r="T247" s="118">
        <v>281</v>
      </c>
      <c r="U247" s="118"/>
      <c r="V247" s="118"/>
      <c r="W247" s="118"/>
      <c r="X247" s="118">
        <v>281</v>
      </c>
      <c r="Y247" s="118">
        <v>274.77499999999998</v>
      </c>
      <c r="Z247" s="118"/>
      <c r="AA247" s="118"/>
      <c r="AB247" s="118"/>
      <c r="AC247" s="118">
        <v>274.77499999999998</v>
      </c>
      <c r="AD247" s="357">
        <f t="shared" si="12"/>
        <v>0.9778469750889679</v>
      </c>
      <c r="AE247" s="357"/>
      <c r="AF247" s="357"/>
      <c r="AG247" s="357"/>
      <c r="AH247" s="357">
        <f>AC247/X247</f>
        <v>0.9778469750889679</v>
      </c>
    </row>
    <row r="248" spans="1:34" s="355" customFormat="1">
      <c r="A248" s="343">
        <v>48</v>
      </c>
      <c r="B248" s="344" t="s">
        <v>185</v>
      </c>
      <c r="C248" s="343"/>
      <c r="D248" s="343"/>
      <c r="E248" s="366"/>
      <c r="F248" s="366"/>
      <c r="G248" s="354"/>
      <c r="H248" s="354"/>
      <c r="I248" s="354"/>
      <c r="J248" s="354"/>
      <c r="K248" s="354"/>
      <c r="L248" s="354"/>
      <c r="M248" s="354"/>
      <c r="N248" s="354"/>
      <c r="O248" s="354"/>
      <c r="P248" s="354"/>
      <c r="Q248" s="354"/>
      <c r="R248" s="354"/>
      <c r="S248" s="354"/>
      <c r="T248" s="354"/>
      <c r="U248" s="354"/>
      <c r="V248" s="354"/>
      <c r="W248" s="354"/>
      <c r="X248" s="354"/>
      <c r="Y248" s="354"/>
      <c r="Z248" s="354"/>
      <c r="AA248" s="354"/>
      <c r="AB248" s="354"/>
      <c r="AC248" s="354"/>
      <c r="AD248" s="357"/>
      <c r="AE248" s="357"/>
      <c r="AF248" s="357"/>
      <c r="AG248" s="357"/>
      <c r="AH248" s="357"/>
    </row>
    <row r="249" spans="1:34" ht="63">
      <c r="A249" s="356" t="s">
        <v>29</v>
      </c>
      <c r="B249" s="346" t="s">
        <v>636</v>
      </c>
      <c r="C249" s="356"/>
      <c r="D249" s="356"/>
      <c r="E249" s="378"/>
      <c r="F249" s="378"/>
      <c r="G249" s="118"/>
      <c r="H249" s="118"/>
      <c r="I249" s="118"/>
      <c r="J249" s="118"/>
      <c r="K249" s="118"/>
      <c r="L249" s="118"/>
      <c r="M249" s="118"/>
      <c r="N249" s="118"/>
      <c r="O249" s="118"/>
      <c r="P249" s="118"/>
      <c r="Q249" s="118"/>
      <c r="R249" s="118"/>
      <c r="S249" s="118"/>
      <c r="T249" s="118">
        <v>205.28543199999999</v>
      </c>
      <c r="U249" s="118"/>
      <c r="V249" s="118"/>
      <c r="W249" s="118"/>
      <c r="X249" s="118">
        <v>205.28543199999999</v>
      </c>
      <c r="Y249" s="118">
        <v>205.28543199999999</v>
      </c>
      <c r="Z249" s="118"/>
      <c r="AA249" s="118"/>
      <c r="AB249" s="118"/>
      <c r="AC249" s="118">
        <v>205.28543199999999</v>
      </c>
      <c r="AD249" s="357">
        <f t="shared" si="12"/>
        <v>1</v>
      </c>
      <c r="AE249" s="357"/>
      <c r="AF249" s="357"/>
      <c r="AG249" s="357"/>
      <c r="AH249" s="357">
        <f>AC249/X249</f>
        <v>1</v>
      </c>
    </row>
    <row r="250" spans="1:34" ht="60">
      <c r="A250" s="356" t="s">
        <v>29</v>
      </c>
      <c r="B250" s="346" t="s">
        <v>637</v>
      </c>
      <c r="C250" s="356" t="s">
        <v>634</v>
      </c>
      <c r="D250" s="356"/>
      <c r="E250" s="378">
        <v>2017</v>
      </c>
      <c r="F250" s="378" t="s">
        <v>638</v>
      </c>
      <c r="G250" s="118">
        <v>782.36599999999999</v>
      </c>
      <c r="H250" s="118"/>
      <c r="I250" s="118"/>
      <c r="J250" s="118"/>
      <c r="K250" s="118">
        <v>782.36599999999999</v>
      </c>
      <c r="L250" s="118">
        <v>670</v>
      </c>
      <c r="M250" s="118"/>
      <c r="N250" s="118"/>
      <c r="O250" s="118">
        <v>670</v>
      </c>
      <c r="P250" s="118">
        <v>670</v>
      </c>
      <c r="Q250" s="118"/>
      <c r="R250" s="118"/>
      <c r="S250" s="118">
        <v>670</v>
      </c>
      <c r="T250" s="118">
        <v>670</v>
      </c>
      <c r="U250" s="118"/>
      <c r="V250" s="118"/>
      <c r="W250" s="118"/>
      <c r="X250" s="118">
        <v>670</v>
      </c>
      <c r="Y250" s="118">
        <v>670</v>
      </c>
      <c r="Z250" s="118"/>
      <c r="AA250" s="118"/>
      <c r="AB250" s="118"/>
      <c r="AC250" s="118">
        <v>670</v>
      </c>
      <c r="AD250" s="357">
        <f t="shared" si="12"/>
        <v>1</v>
      </c>
      <c r="AE250" s="357"/>
      <c r="AF250" s="357"/>
      <c r="AG250" s="357"/>
      <c r="AH250" s="357">
        <f>AC250/X250</f>
        <v>1</v>
      </c>
    </row>
    <row r="251" spans="1:34" s="355" customFormat="1">
      <c r="A251" s="343">
        <v>49</v>
      </c>
      <c r="B251" s="344" t="s">
        <v>186</v>
      </c>
      <c r="C251" s="343"/>
      <c r="D251" s="343"/>
      <c r="E251" s="366"/>
      <c r="F251" s="366"/>
      <c r="G251" s="354"/>
      <c r="H251" s="354"/>
      <c r="I251" s="354"/>
      <c r="J251" s="354"/>
      <c r="K251" s="354"/>
      <c r="L251" s="354"/>
      <c r="M251" s="354"/>
      <c r="N251" s="354"/>
      <c r="O251" s="354"/>
      <c r="P251" s="354"/>
      <c r="Q251" s="354"/>
      <c r="R251" s="354"/>
      <c r="S251" s="354"/>
      <c r="T251" s="354"/>
      <c r="U251" s="354"/>
      <c r="V251" s="354"/>
      <c r="W251" s="354"/>
      <c r="X251" s="354"/>
      <c r="Y251" s="354"/>
      <c r="Z251" s="354"/>
      <c r="AA251" s="354"/>
      <c r="AB251" s="354"/>
      <c r="AC251" s="354"/>
      <c r="AD251" s="357"/>
      <c r="AE251" s="357"/>
      <c r="AF251" s="357"/>
      <c r="AG251" s="357"/>
      <c r="AH251" s="357"/>
    </row>
    <row r="252" spans="1:34" ht="47.25">
      <c r="A252" s="356" t="s">
        <v>29</v>
      </c>
      <c r="B252" s="346" t="s">
        <v>639</v>
      </c>
      <c r="C252" s="356"/>
      <c r="D252" s="356"/>
      <c r="E252" s="378"/>
      <c r="F252" s="378" t="s">
        <v>640</v>
      </c>
      <c r="G252" s="118">
        <v>96500</v>
      </c>
      <c r="H252" s="118"/>
      <c r="I252" s="118"/>
      <c r="J252" s="118"/>
      <c r="K252" s="118">
        <v>96500</v>
      </c>
      <c r="L252" s="118">
        <v>77481</v>
      </c>
      <c r="M252" s="118"/>
      <c r="N252" s="118"/>
      <c r="O252" s="118"/>
      <c r="P252" s="118">
        <v>74257.706999999995</v>
      </c>
      <c r="Q252" s="118"/>
      <c r="R252" s="118"/>
      <c r="S252" s="118">
        <v>74257.706999999995</v>
      </c>
      <c r="T252" s="118">
        <v>60187.759000999999</v>
      </c>
      <c r="U252" s="118"/>
      <c r="V252" s="118"/>
      <c r="W252" s="118"/>
      <c r="X252" s="118">
        <v>60187.759000999999</v>
      </c>
      <c r="Y252" s="118">
        <v>60184.705000000002</v>
      </c>
      <c r="Z252" s="118"/>
      <c r="AA252" s="118"/>
      <c r="AB252" s="118"/>
      <c r="AC252" s="118">
        <v>60184.705000000002</v>
      </c>
      <c r="AD252" s="357">
        <f t="shared" si="12"/>
        <v>0.99994925876871499</v>
      </c>
      <c r="AE252" s="357"/>
      <c r="AF252" s="357"/>
      <c r="AG252" s="357"/>
      <c r="AH252" s="357">
        <f>AC252/X252</f>
        <v>0.99994925876871499</v>
      </c>
    </row>
    <row r="253" spans="1:34" s="355" customFormat="1">
      <c r="A253" s="343">
        <v>50</v>
      </c>
      <c r="B253" s="344" t="s">
        <v>187</v>
      </c>
      <c r="C253" s="343"/>
      <c r="D253" s="343"/>
      <c r="E253" s="366"/>
      <c r="F253" s="366"/>
      <c r="G253" s="354"/>
      <c r="H253" s="354"/>
      <c r="I253" s="354"/>
      <c r="J253" s="354"/>
      <c r="K253" s="354"/>
      <c r="L253" s="354"/>
      <c r="M253" s="354"/>
      <c r="N253" s="354"/>
      <c r="O253" s="354"/>
      <c r="P253" s="354"/>
      <c r="Q253" s="354"/>
      <c r="R253" s="354"/>
      <c r="S253" s="354"/>
      <c r="T253" s="354"/>
      <c r="U253" s="354"/>
      <c r="V253" s="354"/>
      <c r="W253" s="354"/>
      <c r="X253" s="354"/>
      <c r="Y253" s="354"/>
      <c r="Z253" s="354"/>
      <c r="AA253" s="354"/>
      <c r="AB253" s="354"/>
      <c r="AC253" s="354"/>
      <c r="AD253" s="357"/>
      <c r="AE253" s="357"/>
      <c r="AF253" s="357"/>
      <c r="AG253" s="357"/>
      <c r="AH253" s="357"/>
    </row>
    <row r="254" spans="1:34" ht="31.5">
      <c r="A254" s="356" t="s">
        <v>29</v>
      </c>
      <c r="B254" s="346" t="s">
        <v>641</v>
      </c>
      <c r="C254" s="356" t="s">
        <v>363</v>
      </c>
      <c r="D254" s="356"/>
      <c r="E254" s="378" t="s">
        <v>642</v>
      </c>
      <c r="F254" s="378" t="s">
        <v>643</v>
      </c>
      <c r="G254" s="118">
        <v>1864</v>
      </c>
      <c r="H254" s="118"/>
      <c r="I254" s="118"/>
      <c r="J254" s="118"/>
      <c r="K254" s="118">
        <v>1864</v>
      </c>
      <c r="L254" s="118">
        <v>700</v>
      </c>
      <c r="M254" s="118"/>
      <c r="N254" s="118"/>
      <c r="O254" s="118">
        <v>700</v>
      </c>
      <c r="P254" s="118">
        <v>700.26800000000003</v>
      </c>
      <c r="Q254" s="118"/>
      <c r="R254" s="118"/>
      <c r="S254" s="118">
        <v>700.26800000000003</v>
      </c>
      <c r="T254" s="118">
        <v>74.718999999999994</v>
      </c>
      <c r="U254" s="118"/>
      <c r="V254" s="118"/>
      <c r="W254" s="118"/>
      <c r="X254" s="118">
        <v>74.718999999999994</v>
      </c>
      <c r="Y254" s="118">
        <v>74.718999999999994</v>
      </c>
      <c r="Z254" s="118"/>
      <c r="AA254" s="118"/>
      <c r="AB254" s="118"/>
      <c r="AC254" s="118">
        <v>74.718999999999994</v>
      </c>
      <c r="AD254" s="357">
        <f t="shared" si="12"/>
        <v>1</v>
      </c>
      <c r="AE254" s="357"/>
      <c r="AF254" s="357"/>
      <c r="AG254" s="357"/>
      <c r="AH254" s="357">
        <f>AC254/X254</f>
        <v>1</v>
      </c>
    </row>
    <row r="255" spans="1:34" ht="31.5">
      <c r="A255" s="356" t="s">
        <v>29</v>
      </c>
      <c r="B255" s="346" t="s">
        <v>644</v>
      </c>
      <c r="C255" s="356" t="s">
        <v>310</v>
      </c>
      <c r="D255" s="356"/>
      <c r="E255" s="378" t="s">
        <v>238</v>
      </c>
      <c r="F255" s="378" t="s">
        <v>645</v>
      </c>
      <c r="G255" s="118">
        <v>11629</v>
      </c>
      <c r="H255" s="118"/>
      <c r="I255" s="118">
        <v>7559</v>
      </c>
      <c r="J255" s="118"/>
      <c r="K255" s="118">
        <v>4070</v>
      </c>
      <c r="L255" s="118">
        <v>10175</v>
      </c>
      <c r="M255" s="118"/>
      <c r="N255" s="118">
        <v>6512</v>
      </c>
      <c r="O255" s="118">
        <v>3663</v>
      </c>
      <c r="P255" s="118">
        <v>10174.041999999999</v>
      </c>
      <c r="Q255" s="118"/>
      <c r="R255" s="118">
        <v>6511.9570000000003</v>
      </c>
      <c r="S255" s="118">
        <v>3662.085</v>
      </c>
      <c r="T255" s="118">
        <v>663.08500000000004</v>
      </c>
      <c r="U255" s="118"/>
      <c r="V255" s="118"/>
      <c r="W255" s="118"/>
      <c r="X255" s="118">
        <v>663.08500000000004</v>
      </c>
      <c r="Y255" s="118">
        <v>662.08500000000004</v>
      </c>
      <c r="Z255" s="118"/>
      <c r="AA255" s="118"/>
      <c r="AB255" s="118"/>
      <c r="AC255" s="118">
        <v>662.08500000000004</v>
      </c>
      <c r="AD255" s="357">
        <f t="shared" si="12"/>
        <v>0.9984918977205034</v>
      </c>
      <c r="AE255" s="357"/>
      <c r="AF255" s="357"/>
      <c r="AG255" s="357"/>
      <c r="AH255" s="357">
        <f>AC255/X255</f>
        <v>0.9984918977205034</v>
      </c>
    </row>
    <row r="256" spans="1:34" ht="31.5">
      <c r="A256" s="356" t="s">
        <v>29</v>
      </c>
      <c r="B256" s="346" t="s">
        <v>646</v>
      </c>
      <c r="C256" s="356" t="s">
        <v>310</v>
      </c>
      <c r="D256" s="356"/>
      <c r="E256" s="378" t="s">
        <v>238</v>
      </c>
      <c r="F256" s="378" t="s">
        <v>645</v>
      </c>
      <c r="G256" s="118">
        <v>46089</v>
      </c>
      <c r="H256" s="118"/>
      <c r="I256" s="118">
        <v>36551</v>
      </c>
      <c r="J256" s="118"/>
      <c r="K256" s="118">
        <v>9538</v>
      </c>
      <c r="L256" s="118">
        <v>41816</v>
      </c>
      <c r="M256" s="118"/>
      <c r="N256" s="118">
        <v>34801</v>
      </c>
      <c r="O256" s="118">
        <v>7015</v>
      </c>
      <c r="P256" s="118">
        <v>41815.921999999999</v>
      </c>
      <c r="Q256" s="118"/>
      <c r="R256" s="118">
        <v>34801</v>
      </c>
      <c r="S256" s="118">
        <v>7014.9219999999996</v>
      </c>
      <c r="T256" s="118">
        <v>17.244</v>
      </c>
      <c r="U256" s="118"/>
      <c r="V256" s="118">
        <v>17.244</v>
      </c>
      <c r="W256" s="118"/>
      <c r="X256" s="118"/>
      <c r="Y256" s="118">
        <v>17.244</v>
      </c>
      <c r="Z256" s="118"/>
      <c r="AA256" s="118">
        <v>17.244</v>
      </c>
      <c r="AB256" s="118"/>
      <c r="AC256" s="118"/>
      <c r="AD256" s="357">
        <f t="shared" si="12"/>
        <v>1</v>
      </c>
      <c r="AE256" s="357"/>
      <c r="AF256" s="357">
        <f t="shared" ref="AF256:AF260" si="13">AA256/V256</f>
        <v>1</v>
      </c>
      <c r="AG256" s="357"/>
      <c r="AH256" s="357"/>
    </row>
    <row r="257" spans="1:34" ht="31.5">
      <c r="A257" s="356" t="s">
        <v>29</v>
      </c>
      <c r="B257" s="346" t="s">
        <v>647</v>
      </c>
      <c r="C257" s="356" t="s">
        <v>310</v>
      </c>
      <c r="D257" s="356"/>
      <c r="E257" s="378" t="s">
        <v>251</v>
      </c>
      <c r="F257" s="378" t="s">
        <v>648</v>
      </c>
      <c r="G257" s="118">
        <v>27251</v>
      </c>
      <c r="H257" s="118"/>
      <c r="I257" s="118">
        <v>17713</v>
      </c>
      <c r="J257" s="118"/>
      <c r="K257" s="118">
        <v>9538</v>
      </c>
      <c r="L257" s="118">
        <v>23365</v>
      </c>
      <c r="M257" s="118"/>
      <c r="N257" s="118">
        <v>16350</v>
      </c>
      <c r="O257" s="118">
        <v>7015</v>
      </c>
      <c r="P257" s="118">
        <v>23364.921999999999</v>
      </c>
      <c r="Q257" s="118"/>
      <c r="R257" s="118">
        <v>16350</v>
      </c>
      <c r="S257" s="118">
        <v>7014.9219999999996</v>
      </c>
      <c r="T257" s="118">
        <v>7069.9219999999996</v>
      </c>
      <c r="U257" s="118"/>
      <c r="V257" s="118">
        <v>55</v>
      </c>
      <c r="W257" s="118"/>
      <c r="X257" s="118">
        <f>T257-V257</f>
        <v>7014.9219999999996</v>
      </c>
      <c r="Y257" s="118">
        <v>7069.9219999999996</v>
      </c>
      <c r="Z257" s="118"/>
      <c r="AA257" s="118">
        <v>55</v>
      </c>
      <c r="AB257" s="118"/>
      <c r="AC257" s="118">
        <v>7014.9219999999996</v>
      </c>
      <c r="AD257" s="357">
        <f t="shared" si="12"/>
        <v>1</v>
      </c>
      <c r="AE257" s="357"/>
      <c r="AF257" s="357">
        <f t="shared" si="13"/>
        <v>1</v>
      </c>
      <c r="AG257" s="357"/>
      <c r="AH257" s="357">
        <f t="shared" ref="AH257:AH304" si="14">AC257/X257</f>
        <v>1</v>
      </c>
    </row>
    <row r="258" spans="1:34" ht="47.25">
      <c r="A258" s="356" t="s">
        <v>29</v>
      </c>
      <c r="B258" s="346" t="s">
        <v>649</v>
      </c>
      <c r="C258" s="356"/>
      <c r="D258" s="356"/>
      <c r="E258" s="378"/>
      <c r="F258" s="378"/>
      <c r="G258" s="118"/>
      <c r="H258" s="118"/>
      <c r="I258" s="118"/>
      <c r="J258" s="118"/>
      <c r="K258" s="118"/>
      <c r="L258" s="118"/>
      <c r="M258" s="118"/>
      <c r="N258" s="118"/>
      <c r="O258" s="118"/>
      <c r="P258" s="118"/>
      <c r="Q258" s="118"/>
      <c r="R258" s="118"/>
      <c r="S258" s="118"/>
      <c r="T258" s="118">
        <v>6.78</v>
      </c>
      <c r="U258" s="118"/>
      <c r="V258" s="118"/>
      <c r="W258" s="118"/>
      <c r="X258" s="118">
        <v>6.78</v>
      </c>
      <c r="Y258" s="118">
        <v>6.78</v>
      </c>
      <c r="Z258" s="118"/>
      <c r="AA258" s="118"/>
      <c r="AB258" s="118"/>
      <c r="AC258" s="118">
        <v>6.78</v>
      </c>
      <c r="AD258" s="357">
        <f t="shared" si="12"/>
        <v>1</v>
      </c>
      <c r="AE258" s="357"/>
      <c r="AF258" s="357"/>
      <c r="AG258" s="357"/>
      <c r="AH258" s="357">
        <f t="shared" si="14"/>
        <v>1</v>
      </c>
    </row>
    <row r="259" spans="1:34" ht="47.25">
      <c r="A259" s="356" t="s">
        <v>29</v>
      </c>
      <c r="B259" s="346" t="s">
        <v>650</v>
      </c>
      <c r="C259" s="356"/>
      <c r="D259" s="356"/>
      <c r="E259" s="378"/>
      <c r="F259" s="378"/>
      <c r="G259" s="118"/>
      <c r="H259" s="118"/>
      <c r="I259" s="118"/>
      <c r="J259" s="118"/>
      <c r="K259" s="118"/>
      <c r="L259" s="118"/>
      <c r="M259" s="118"/>
      <c r="N259" s="118"/>
      <c r="O259" s="118"/>
      <c r="P259" s="118"/>
      <c r="Q259" s="118"/>
      <c r="R259" s="118"/>
      <c r="S259" s="118"/>
      <c r="T259" s="118">
        <v>22.745000000000001</v>
      </c>
      <c r="U259" s="118"/>
      <c r="V259" s="118"/>
      <c r="W259" s="118"/>
      <c r="X259" s="118">
        <v>22.745000000000001</v>
      </c>
      <c r="Y259" s="118">
        <v>22.745000000000001</v>
      </c>
      <c r="Z259" s="118"/>
      <c r="AA259" s="118"/>
      <c r="AB259" s="118"/>
      <c r="AC259" s="118">
        <v>22.745000000000001</v>
      </c>
      <c r="AD259" s="357">
        <f t="shared" si="12"/>
        <v>1</v>
      </c>
      <c r="AE259" s="357"/>
      <c r="AF259" s="357"/>
      <c r="AG259" s="357"/>
      <c r="AH259" s="357">
        <f t="shared" si="14"/>
        <v>1</v>
      </c>
    </row>
    <row r="260" spans="1:34" ht="31.5">
      <c r="A260" s="356" t="s">
        <v>29</v>
      </c>
      <c r="B260" s="346" t="s">
        <v>651</v>
      </c>
      <c r="C260" s="356" t="s">
        <v>408</v>
      </c>
      <c r="D260" s="356"/>
      <c r="E260" s="378" t="s">
        <v>652</v>
      </c>
      <c r="F260" s="378" t="s">
        <v>653</v>
      </c>
      <c r="G260" s="118">
        <v>687515</v>
      </c>
      <c r="H260" s="118"/>
      <c r="I260" s="118">
        <v>584388</v>
      </c>
      <c r="J260" s="118"/>
      <c r="K260" s="118">
        <v>103127</v>
      </c>
      <c r="L260" s="118">
        <v>114415</v>
      </c>
      <c r="M260" s="118"/>
      <c r="N260" s="118">
        <v>97253</v>
      </c>
      <c r="O260" s="118">
        <v>17162</v>
      </c>
      <c r="P260" s="118">
        <v>100134</v>
      </c>
      <c r="Q260" s="118"/>
      <c r="R260" s="118">
        <v>77634</v>
      </c>
      <c r="S260" s="118">
        <v>22500</v>
      </c>
      <c r="T260" s="118">
        <v>29376.731693000002</v>
      </c>
      <c r="U260" s="118"/>
      <c r="V260" s="118">
        <v>22800.977693000001</v>
      </c>
      <c r="W260" s="118"/>
      <c r="X260" s="118">
        <f>T260-V260</f>
        <v>6575.7540000000008</v>
      </c>
      <c r="Y260" s="118">
        <v>27557.799760999998</v>
      </c>
      <c r="Z260" s="118"/>
      <c r="AA260" s="118">
        <v>22081.977693000001</v>
      </c>
      <c r="AB260" s="118"/>
      <c r="AC260" s="118">
        <v>5475.8220679999977</v>
      </c>
      <c r="AD260" s="357">
        <f t="shared" si="12"/>
        <v>0.93808256306356141</v>
      </c>
      <c r="AE260" s="357"/>
      <c r="AF260" s="357">
        <f t="shared" si="13"/>
        <v>0.96846626448738926</v>
      </c>
      <c r="AG260" s="357"/>
      <c r="AH260" s="357">
        <f t="shared" si="14"/>
        <v>0.83272915440571482</v>
      </c>
    </row>
    <row r="261" spans="1:34" ht="94.5">
      <c r="A261" s="356" t="s">
        <v>29</v>
      </c>
      <c r="B261" s="346" t="s">
        <v>654</v>
      </c>
      <c r="C261" s="356" t="s">
        <v>655</v>
      </c>
      <c r="D261" s="356"/>
      <c r="E261" s="378" t="s">
        <v>656</v>
      </c>
      <c r="F261" s="378" t="s">
        <v>657</v>
      </c>
      <c r="G261" s="118">
        <v>105488</v>
      </c>
      <c r="H261" s="118"/>
      <c r="I261" s="118">
        <v>36551</v>
      </c>
      <c r="J261" s="118"/>
      <c r="K261" s="118">
        <v>68937</v>
      </c>
      <c r="L261" s="118">
        <v>93885</v>
      </c>
      <c r="M261" s="118"/>
      <c r="N261" s="118">
        <v>34801</v>
      </c>
      <c r="O261" s="118">
        <v>59084</v>
      </c>
      <c r="P261" s="118">
        <v>88141.440000000002</v>
      </c>
      <c r="Q261" s="118"/>
      <c r="R261" s="118">
        <v>34801.440000000002</v>
      </c>
      <c r="S261" s="118">
        <v>53340</v>
      </c>
      <c r="T261" s="118">
        <v>13504.239</v>
      </c>
      <c r="U261" s="118"/>
      <c r="V261" s="118"/>
      <c r="W261" s="118"/>
      <c r="X261" s="118">
        <v>13504.239</v>
      </c>
      <c r="Y261" s="118">
        <v>13311.856</v>
      </c>
      <c r="Z261" s="118"/>
      <c r="AA261" s="118"/>
      <c r="AB261" s="118"/>
      <c r="AC261" s="118">
        <v>13311.856</v>
      </c>
      <c r="AD261" s="357">
        <f t="shared" si="12"/>
        <v>0.98575388068887115</v>
      </c>
      <c r="AE261" s="357"/>
      <c r="AF261" s="357"/>
      <c r="AG261" s="357"/>
      <c r="AH261" s="357">
        <f t="shared" si="14"/>
        <v>0.98575388068887115</v>
      </c>
    </row>
    <row r="262" spans="1:34" ht="31.5">
      <c r="A262" s="356" t="s">
        <v>29</v>
      </c>
      <c r="B262" s="346" t="s">
        <v>658</v>
      </c>
      <c r="C262" s="356"/>
      <c r="D262" s="356"/>
      <c r="E262" s="378"/>
      <c r="F262" s="378"/>
      <c r="G262" s="118">
        <v>4326</v>
      </c>
      <c r="H262" s="118"/>
      <c r="I262" s="118"/>
      <c r="J262" s="118"/>
      <c r="K262" s="118">
        <v>4326</v>
      </c>
      <c r="L262" s="118"/>
      <c r="M262" s="118"/>
      <c r="N262" s="118"/>
      <c r="O262" s="118"/>
      <c r="P262" s="118"/>
      <c r="Q262" s="118"/>
      <c r="R262" s="118"/>
      <c r="S262" s="118"/>
      <c r="T262" s="118">
        <v>360</v>
      </c>
      <c r="U262" s="118"/>
      <c r="V262" s="118"/>
      <c r="W262" s="118"/>
      <c r="X262" s="118">
        <v>360</v>
      </c>
      <c r="Y262" s="118">
        <v>359.52100000000002</v>
      </c>
      <c r="Z262" s="118"/>
      <c r="AA262" s="118"/>
      <c r="AB262" s="118"/>
      <c r="AC262" s="118">
        <v>359.52100000000002</v>
      </c>
      <c r="AD262" s="357">
        <f t="shared" si="12"/>
        <v>0.9986694444444445</v>
      </c>
      <c r="AE262" s="357"/>
      <c r="AF262" s="357"/>
      <c r="AG262" s="357"/>
      <c r="AH262" s="357">
        <f t="shared" si="14"/>
        <v>0.9986694444444445</v>
      </c>
    </row>
    <row r="263" spans="1:34" ht="47.25">
      <c r="A263" s="356" t="s">
        <v>29</v>
      </c>
      <c r="B263" s="346" t="s">
        <v>659</v>
      </c>
      <c r="C263" s="356"/>
      <c r="D263" s="356"/>
      <c r="E263" s="378"/>
      <c r="F263" s="378"/>
      <c r="G263" s="118"/>
      <c r="H263" s="118"/>
      <c r="I263" s="118"/>
      <c r="J263" s="118"/>
      <c r="K263" s="118"/>
      <c r="L263" s="118"/>
      <c r="M263" s="118"/>
      <c r="N263" s="118"/>
      <c r="O263" s="118"/>
      <c r="P263" s="118"/>
      <c r="Q263" s="118"/>
      <c r="R263" s="118"/>
      <c r="S263" s="118"/>
      <c r="T263" s="118">
        <v>2.19</v>
      </c>
      <c r="U263" s="118"/>
      <c r="V263" s="118"/>
      <c r="W263" s="118"/>
      <c r="X263" s="118">
        <v>2.19</v>
      </c>
      <c r="Y263" s="118">
        <v>2.19</v>
      </c>
      <c r="Z263" s="118"/>
      <c r="AA263" s="118"/>
      <c r="AB263" s="118"/>
      <c r="AC263" s="118">
        <v>2.19</v>
      </c>
      <c r="AD263" s="357">
        <f t="shared" si="12"/>
        <v>1</v>
      </c>
      <c r="AE263" s="357"/>
      <c r="AF263" s="357"/>
      <c r="AG263" s="357"/>
      <c r="AH263" s="357">
        <f t="shared" si="14"/>
        <v>1</v>
      </c>
    </row>
    <row r="264" spans="1:34" ht="63">
      <c r="A264" s="356" t="s">
        <v>29</v>
      </c>
      <c r="B264" s="346" t="s">
        <v>660</v>
      </c>
      <c r="C264" s="356" t="s">
        <v>408</v>
      </c>
      <c r="D264" s="356"/>
      <c r="E264" s="378"/>
      <c r="F264" s="378" t="s">
        <v>661</v>
      </c>
      <c r="G264" s="118">
        <v>330</v>
      </c>
      <c r="H264" s="118"/>
      <c r="I264" s="118"/>
      <c r="J264" s="118"/>
      <c r="K264" s="118">
        <v>330</v>
      </c>
      <c r="L264" s="118">
        <v>330</v>
      </c>
      <c r="M264" s="118"/>
      <c r="N264" s="118"/>
      <c r="O264" s="118">
        <v>330</v>
      </c>
      <c r="P264" s="118">
        <v>230</v>
      </c>
      <c r="Q264" s="118"/>
      <c r="R264" s="118"/>
      <c r="S264" s="118">
        <v>230</v>
      </c>
      <c r="T264" s="118">
        <v>230</v>
      </c>
      <c r="U264" s="118"/>
      <c r="V264" s="118"/>
      <c r="W264" s="118"/>
      <c r="X264" s="118">
        <v>230</v>
      </c>
      <c r="Y264" s="118">
        <v>230</v>
      </c>
      <c r="Z264" s="118"/>
      <c r="AA264" s="118"/>
      <c r="AB264" s="118"/>
      <c r="AC264" s="118">
        <v>230</v>
      </c>
      <c r="AD264" s="357">
        <f t="shared" si="12"/>
        <v>1</v>
      </c>
      <c r="AE264" s="357"/>
      <c r="AF264" s="357"/>
      <c r="AG264" s="357"/>
      <c r="AH264" s="357">
        <f t="shared" si="14"/>
        <v>1</v>
      </c>
    </row>
    <row r="265" spans="1:34" ht="47.25">
      <c r="A265" s="356" t="s">
        <v>29</v>
      </c>
      <c r="B265" s="346" t="s">
        <v>662</v>
      </c>
      <c r="C265" s="356" t="s">
        <v>310</v>
      </c>
      <c r="D265" s="356"/>
      <c r="E265" s="378" t="s">
        <v>518</v>
      </c>
      <c r="F265" s="378" t="s">
        <v>663</v>
      </c>
      <c r="G265" s="118">
        <v>83600</v>
      </c>
      <c r="H265" s="118"/>
      <c r="I265" s="118">
        <v>60000</v>
      </c>
      <c r="J265" s="118"/>
      <c r="K265" s="118">
        <v>23600</v>
      </c>
      <c r="L265" s="118">
        <v>22995</v>
      </c>
      <c r="M265" s="118"/>
      <c r="N265" s="118">
        <v>16504</v>
      </c>
      <c r="O265" s="118">
        <v>6491</v>
      </c>
      <c r="P265" s="118">
        <v>33140</v>
      </c>
      <c r="Q265" s="118"/>
      <c r="R265" s="118">
        <v>32770</v>
      </c>
      <c r="S265" s="118">
        <v>370</v>
      </c>
      <c r="T265" s="118">
        <v>30460.235000000001</v>
      </c>
      <c r="U265" s="118"/>
      <c r="V265" s="118">
        <v>30243.928</v>
      </c>
      <c r="W265" s="118"/>
      <c r="X265" s="118">
        <f>T265-V265</f>
        <v>216.3070000000007</v>
      </c>
      <c r="Y265" s="118">
        <v>17699.374049999999</v>
      </c>
      <c r="Z265" s="118"/>
      <c r="AA265" s="118">
        <v>17699.374049999999</v>
      </c>
      <c r="AB265" s="118"/>
      <c r="AC265" s="118"/>
      <c r="AD265" s="357">
        <f t="shared" si="12"/>
        <v>0.58106492119972153</v>
      </c>
      <c r="AE265" s="357"/>
      <c r="AF265" s="357"/>
      <c r="AG265" s="357"/>
      <c r="AH265" s="357">
        <f t="shared" si="14"/>
        <v>0</v>
      </c>
    </row>
    <row r="266" spans="1:34" ht="31.5">
      <c r="A266" s="356" t="s">
        <v>29</v>
      </c>
      <c r="B266" s="346" t="s">
        <v>664</v>
      </c>
      <c r="C266" s="356" t="s">
        <v>273</v>
      </c>
      <c r="D266" s="356"/>
      <c r="E266" s="378"/>
      <c r="F266" s="378"/>
      <c r="G266" s="118"/>
      <c r="H266" s="118"/>
      <c r="I266" s="118"/>
      <c r="J266" s="118"/>
      <c r="K266" s="118"/>
      <c r="L266" s="118"/>
      <c r="M266" s="118"/>
      <c r="N266" s="118"/>
      <c r="O266" s="118"/>
      <c r="P266" s="118"/>
      <c r="Q266" s="118"/>
      <c r="R266" s="118"/>
      <c r="S266" s="118"/>
      <c r="T266" s="118">
        <v>2263.3560000000002</v>
      </c>
      <c r="U266" s="118"/>
      <c r="V266" s="118"/>
      <c r="W266" s="118"/>
      <c r="X266" s="118">
        <v>2263.3560000000002</v>
      </c>
      <c r="Y266" s="118">
        <v>2263.3560000000002</v>
      </c>
      <c r="Z266" s="118"/>
      <c r="AA266" s="118"/>
      <c r="AB266" s="118"/>
      <c r="AC266" s="118">
        <v>2263.3560000000002</v>
      </c>
      <c r="AD266" s="357">
        <f t="shared" si="12"/>
        <v>1</v>
      </c>
      <c r="AE266" s="357"/>
      <c r="AF266" s="357"/>
      <c r="AG266" s="357"/>
      <c r="AH266" s="357">
        <f t="shared" si="14"/>
        <v>1</v>
      </c>
    </row>
    <row r="267" spans="1:34" ht="47.25">
      <c r="A267" s="356" t="s">
        <v>29</v>
      </c>
      <c r="B267" s="346" t="s">
        <v>665</v>
      </c>
      <c r="C267" s="356" t="s">
        <v>408</v>
      </c>
      <c r="D267" s="356"/>
      <c r="E267" s="378"/>
      <c r="F267" s="378" t="s">
        <v>666</v>
      </c>
      <c r="G267" s="118">
        <v>5490</v>
      </c>
      <c r="H267" s="118"/>
      <c r="I267" s="118"/>
      <c r="J267" s="118"/>
      <c r="K267" s="118">
        <v>5490</v>
      </c>
      <c r="L267" s="118">
        <v>3034</v>
      </c>
      <c r="M267" s="118"/>
      <c r="N267" s="118"/>
      <c r="O267" s="118">
        <v>3034</v>
      </c>
      <c r="P267" s="118">
        <v>2196</v>
      </c>
      <c r="Q267" s="118"/>
      <c r="R267" s="118"/>
      <c r="S267" s="118">
        <v>2196</v>
      </c>
      <c r="T267" s="118">
        <v>2176</v>
      </c>
      <c r="U267" s="118"/>
      <c r="V267" s="118"/>
      <c r="W267" s="118"/>
      <c r="X267" s="118">
        <v>2176</v>
      </c>
      <c r="Y267" s="118">
        <v>2176</v>
      </c>
      <c r="Z267" s="118"/>
      <c r="AA267" s="118"/>
      <c r="AB267" s="118"/>
      <c r="AC267" s="118">
        <v>2176</v>
      </c>
      <c r="AD267" s="357">
        <f t="shared" si="12"/>
        <v>1</v>
      </c>
      <c r="AE267" s="357"/>
      <c r="AF267" s="357"/>
      <c r="AG267" s="357"/>
      <c r="AH267" s="357">
        <f t="shared" si="14"/>
        <v>1</v>
      </c>
    </row>
    <row r="268" spans="1:34" ht="31.5">
      <c r="A268" s="356" t="s">
        <v>29</v>
      </c>
      <c r="B268" s="346" t="s">
        <v>667</v>
      </c>
      <c r="C268" s="356"/>
      <c r="D268" s="356"/>
      <c r="E268" s="378"/>
      <c r="F268" s="378"/>
      <c r="G268" s="118"/>
      <c r="H268" s="118"/>
      <c r="I268" s="118"/>
      <c r="J268" s="118"/>
      <c r="K268" s="118"/>
      <c r="L268" s="118"/>
      <c r="M268" s="118"/>
      <c r="N268" s="118"/>
      <c r="O268" s="118"/>
      <c r="P268" s="118"/>
      <c r="Q268" s="118"/>
      <c r="R268" s="118"/>
      <c r="S268" s="118"/>
      <c r="T268" s="118">
        <v>892.44899999999996</v>
      </c>
      <c r="U268" s="118"/>
      <c r="V268" s="118"/>
      <c r="W268" s="118"/>
      <c r="X268" s="118">
        <v>892.44899999999996</v>
      </c>
      <c r="Y268" s="118">
        <v>892.44899999999996</v>
      </c>
      <c r="Z268" s="118"/>
      <c r="AA268" s="118"/>
      <c r="AB268" s="118"/>
      <c r="AC268" s="118">
        <v>892.44899999999996</v>
      </c>
      <c r="AD268" s="357">
        <f t="shared" si="12"/>
        <v>1</v>
      </c>
      <c r="AE268" s="357"/>
      <c r="AF268" s="357"/>
      <c r="AG268" s="357"/>
      <c r="AH268" s="357">
        <f t="shared" si="14"/>
        <v>1</v>
      </c>
    </row>
    <row r="269" spans="1:34" ht="47.25">
      <c r="A269" s="356" t="s">
        <v>29</v>
      </c>
      <c r="B269" s="346" t="s">
        <v>668</v>
      </c>
      <c r="C269" s="356" t="s">
        <v>408</v>
      </c>
      <c r="D269" s="356"/>
      <c r="E269" s="378"/>
      <c r="F269" s="378" t="s">
        <v>669</v>
      </c>
      <c r="G269" s="118">
        <v>1147</v>
      </c>
      <c r="H269" s="118"/>
      <c r="I269" s="118"/>
      <c r="J269" s="118"/>
      <c r="K269" s="118">
        <v>1147</v>
      </c>
      <c r="L269" s="118">
        <v>52</v>
      </c>
      <c r="M269" s="118"/>
      <c r="N269" s="118"/>
      <c r="O269" s="118">
        <v>52</v>
      </c>
      <c r="P269" s="118">
        <v>344</v>
      </c>
      <c r="Q269" s="118"/>
      <c r="R269" s="118"/>
      <c r="S269" s="118">
        <v>344</v>
      </c>
      <c r="T269" s="118">
        <v>344</v>
      </c>
      <c r="U269" s="118"/>
      <c r="V269" s="118"/>
      <c r="W269" s="118"/>
      <c r="X269" s="118">
        <v>344</v>
      </c>
      <c r="Y269" s="118">
        <v>43.350999999999999</v>
      </c>
      <c r="Z269" s="118"/>
      <c r="AA269" s="118"/>
      <c r="AB269" s="118"/>
      <c r="AC269" s="118">
        <v>43.350999999999999</v>
      </c>
      <c r="AD269" s="357">
        <f t="shared" si="12"/>
        <v>0.12602034883720931</v>
      </c>
      <c r="AE269" s="357"/>
      <c r="AF269" s="357"/>
      <c r="AG269" s="357"/>
      <c r="AH269" s="357">
        <f t="shared" si="14"/>
        <v>0.12602034883720931</v>
      </c>
    </row>
    <row r="270" spans="1:34" ht="47.25">
      <c r="A270" s="356" t="s">
        <v>29</v>
      </c>
      <c r="B270" s="346" t="s">
        <v>670</v>
      </c>
      <c r="C270" s="356" t="s">
        <v>408</v>
      </c>
      <c r="D270" s="356"/>
      <c r="E270" s="378"/>
      <c r="F270" s="378" t="s">
        <v>303</v>
      </c>
      <c r="G270" s="118">
        <v>653</v>
      </c>
      <c r="H270" s="118"/>
      <c r="I270" s="118"/>
      <c r="J270" s="118"/>
      <c r="K270" s="118">
        <v>653</v>
      </c>
      <c r="L270" s="118">
        <v>653</v>
      </c>
      <c r="M270" s="118"/>
      <c r="N270" s="118"/>
      <c r="O270" s="118">
        <v>653</v>
      </c>
      <c r="P270" s="118">
        <v>468</v>
      </c>
      <c r="Q270" s="118"/>
      <c r="R270" s="118"/>
      <c r="S270" s="118">
        <v>468</v>
      </c>
      <c r="T270" s="118">
        <v>440</v>
      </c>
      <c r="U270" s="118"/>
      <c r="V270" s="118"/>
      <c r="W270" s="118"/>
      <c r="X270" s="118">
        <v>440</v>
      </c>
      <c r="Y270" s="118">
        <v>440</v>
      </c>
      <c r="Z270" s="118"/>
      <c r="AA270" s="118"/>
      <c r="AB270" s="118"/>
      <c r="AC270" s="118">
        <v>440</v>
      </c>
      <c r="AD270" s="357">
        <f t="shared" ref="AD270:AF332" si="15">Y270/T270</f>
        <v>1</v>
      </c>
      <c r="AE270" s="357"/>
      <c r="AF270" s="357"/>
      <c r="AG270" s="357"/>
      <c r="AH270" s="357">
        <f t="shared" si="14"/>
        <v>1</v>
      </c>
    </row>
    <row r="271" spans="1:34" ht="31.5">
      <c r="A271" s="356" t="s">
        <v>29</v>
      </c>
      <c r="B271" s="346" t="s">
        <v>671</v>
      </c>
      <c r="C271" s="356" t="s">
        <v>263</v>
      </c>
      <c r="D271" s="356"/>
      <c r="E271" s="378">
        <v>2010</v>
      </c>
      <c r="F271" s="378" t="s">
        <v>672</v>
      </c>
      <c r="G271" s="118">
        <v>4722</v>
      </c>
      <c r="H271" s="118"/>
      <c r="I271" s="118"/>
      <c r="J271" s="118"/>
      <c r="K271" s="118">
        <v>4722</v>
      </c>
      <c r="L271" s="118">
        <v>3653</v>
      </c>
      <c r="M271" s="118"/>
      <c r="N271" s="118"/>
      <c r="O271" s="118">
        <v>3653</v>
      </c>
      <c r="P271" s="118">
        <v>3500</v>
      </c>
      <c r="Q271" s="118"/>
      <c r="R271" s="118"/>
      <c r="S271" s="118">
        <v>3500</v>
      </c>
      <c r="T271" s="118">
        <v>60.384000000000015</v>
      </c>
      <c r="U271" s="118"/>
      <c r="V271" s="118"/>
      <c r="W271" s="118"/>
      <c r="X271" s="118">
        <v>60.384000000000015</v>
      </c>
      <c r="Y271" s="118">
        <v>0</v>
      </c>
      <c r="Z271" s="118"/>
      <c r="AA271" s="118"/>
      <c r="AB271" s="118"/>
      <c r="AC271" s="118"/>
      <c r="AD271" s="357">
        <f t="shared" si="15"/>
        <v>0</v>
      </c>
      <c r="AE271" s="357"/>
      <c r="AF271" s="357"/>
      <c r="AG271" s="357"/>
      <c r="AH271" s="357">
        <f t="shared" si="14"/>
        <v>0</v>
      </c>
    </row>
    <row r="272" spans="1:34" s="355" customFormat="1">
      <c r="A272" s="343">
        <v>51</v>
      </c>
      <c r="B272" s="344" t="s">
        <v>188</v>
      </c>
      <c r="C272" s="343"/>
      <c r="D272" s="343"/>
      <c r="E272" s="366"/>
      <c r="F272" s="366"/>
      <c r="G272" s="354"/>
      <c r="H272" s="354"/>
      <c r="I272" s="354"/>
      <c r="J272" s="354"/>
      <c r="K272" s="354"/>
      <c r="L272" s="354"/>
      <c r="M272" s="354"/>
      <c r="N272" s="354"/>
      <c r="O272" s="354"/>
      <c r="P272" s="354"/>
      <c r="Q272" s="354"/>
      <c r="R272" s="354"/>
      <c r="S272" s="354"/>
      <c r="T272" s="354"/>
      <c r="U272" s="354"/>
      <c r="V272" s="354"/>
      <c r="W272" s="354"/>
      <c r="X272" s="354"/>
      <c r="Y272" s="354"/>
      <c r="Z272" s="354"/>
      <c r="AA272" s="354"/>
      <c r="AB272" s="354"/>
      <c r="AC272" s="354"/>
      <c r="AD272" s="357"/>
      <c r="AE272" s="357"/>
      <c r="AF272" s="357"/>
      <c r="AG272" s="357"/>
      <c r="AH272" s="357"/>
    </row>
    <row r="273" spans="1:34" ht="31.5">
      <c r="A273" s="356" t="s">
        <v>29</v>
      </c>
      <c r="B273" s="346" t="s">
        <v>673</v>
      </c>
      <c r="C273" s="356" t="s">
        <v>225</v>
      </c>
      <c r="D273" s="356"/>
      <c r="E273" s="378" t="s">
        <v>674</v>
      </c>
      <c r="F273" s="378" t="s">
        <v>675</v>
      </c>
      <c r="G273" s="118">
        <v>124395.83</v>
      </c>
      <c r="H273" s="118"/>
      <c r="I273" s="118"/>
      <c r="J273" s="118"/>
      <c r="K273" s="118">
        <v>124395.83</v>
      </c>
      <c r="L273" s="118">
        <v>88119.770999999993</v>
      </c>
      <c r="M273" s="118"/>
      <c r="N273" s="118"/>
      <c r="O273" s="118">
        <v>88119.770999999993</v>
      </c>
      <c r="P273" s="118">
        <v>94379.719501</v>
      </c>
      <c r="Q273" s="118"/>
      <c r="R273" s="118"/>
      <c r="S273" s="118">
        <v>94379.719501</v>
      </c>
      <c r="T273" s="118">
        <v>7266.2309999999998</v>
      </c>
      <c r="U273" s="118"/>
      <c r="V273" s="118"/>
      <c r="W273" s="118"/>
      <c r="X273" s="118">
        <v>7266.2309999999998</v>
      </c>
      <c r="Y273" s="118">
        <v>781.23099999999999</v>
      </c>
      <c r="Z273" s="118"/>
      <c r="AA273" s="118"/>
      <c r="AB273" s="118"/>
      <c r="AC273" s="118">
        <v>781.23099999999999</v>
      </c>
      <c r="AD273" s="357">
        <f t="shared" si="15"/>
        <v>0.10751529919706654</v>
      </c>
      <c r="AE273" s="357"/>
      <c r="AF273" s="357"/>
      <c r="AG273" s="357"/>
      <c r="AH273" s="357">
        <f t="shared" si="14"/>
        <v>0.10751529919706654</v>
      </c>
    </row>
    <row r="274" spans="1:34" ht="47.25">
      <c r="A274" s="356" t="s">
        <v>29</v>
      </c>
      <c r="B274" s="346" t="s">
        <v>676</v>
      </c>
      <c r="C274" s="356" t="s">
        <v>229</v>
      </c>
      <c r="D274" s="356"/>
      <c r="E274" s="378" t="s">
        <v>241</v>
      </c>
      <c r="F274" s="378" t="s">
        <v>677</v>
      </c>
      <c r="G274" s="118">
        <v>7730.49</v>
      </c>
      <c r="H274" s="118"/>
      <c r="I274" s="118"/>
      <c r="J274" s="118"/>
      <c r="K274" s="118">
        <v>7730.49</v>
      </c>
      <c r="L274" s="118">
        <v>7212</v>
      </c>
      <c r="M274" s="118"/>
      <c r="N274" s="118"/>
      <c r="O274" s="118">
        <v>7212</v>
      </c>
      <c r="P274" s="118">
        <v>5750</v>
      </c>
      <c r="Q274" s="118"/>
      <c r="R274" s="118"/>
      <c r="S274" s="118">
        <v>5750</v>
      </c>
      <c r="T274" s="118">
        <v>1129.3599999999999</v>
      </c>
      <c r="U274" s="118"/>
      <c r="V274" s="118"/>
      <c r="W274" s="118"/>
      <c r="X274" s="118">
        <v>1129.3599999999999</v>
      </c>
      <c r="Y274" s="118">
        <v>1129.3599999999999</v>
      </c>
      <c r="Z274" s="118"/>
      <c r="AA274" s="118"/>
      <c r="AB274" s="118"/>
      <c r="AC274" s="118">
        <v>1129.3599999999999</v>
      </c>
      <c r="AD274" s="357">
        <f t="shared" si="15"/>
        <v>1</v>
      </c>
      <c r="AE274" s="357"/>
      <c r="AF274" s="357"/>
      <c r="AG274" s="357"/>
      <c r="AH274" s="357">
        <f t="shared" si="14"/>
        <v>1</v>
      </c>
    </row>
    <row r="275" spans="1:34" ht="31.5">
      <c r="A275" s="356" t="s">
        <v>29</v>
      </c>
      <c r="B275" s="346" t="s">
        <v>678</v>
      </c>
      <c r="C275" s="356" t="s">
        <v>363</v>
      </c>
      <c r="D275" s="356"/>
      <c r="E275" s="378" t="s">
        <v>293</v>
      </c>
      <c r="F275" s="378" t="s">
        <v>679</v>
      </c>
      <c r="G275" s="118">
        <v>5728.86</v>
      </c>
      <c r="H275" s="118"/>
      <c r="I275" s="118"/>
      <c r="J275" s="118"/>
      <c r="K275" s="118">
        <v>5728.86</v>
      </c>
      <c r="L275" s="118">
        <v>5434</v>
      </c>
      <c r="M275" s="118"/>
      <c r="N275" s="118"/>
      <c r="O275" s="118">
        <v>5434</v>
      </c>
      <c r="P275" s="118">
        <v>4500</v>
      </c>
      <c r="Q275" s="118"/>
      <c r="R275" s="118"/>
      <c r="S275" s="118">
        <v>4500</v>
      </c>
      <c r="T275" s="118">
        <v>900</v>
      </c>
      <c r="U275" s="118"/>
      <c r="V275" s="118"/>
      <c r="W275" s="118"/>
      <c r="X275" s="118">
        <v>900</v>
      </c>
      <c r="Y275" s="118">
        <v>900</v>
      </c>
      <c r="Z275" s="118"/>
      <c r="AA275" s="118"/>
      <c r="AB275" s="118"/>
      <c r="AC275" s="118">
        <v>900</v>
      </c>
      <c r="AD275" s="357">
        <f t="shared" si="15"/>
        <v>1</v>
      </c>
      <c r="AE275" s="357"/>
      <c r="AF275" s="357"/>
      <c r="AG275" s="357"/>
      <c r="AH275" s="357">
        <f t="shared" si="14"/>
        <v>1</v>
      </c>
    </row>
    <row r="276" spans="1:34" ht="31.5">
      <c r="A276" s="356" t="s">
        <v>29</v>
      </c>
      <c r="B276" s="346" t="s">
        <v>680</v>
      </c>
      <c r="C276" s="356" t="s">
        <v>395</v>
      </c>
      <c r="D276" s="356"/>
      <c r="E276" s="378" t="s">
        <v>390</v>
      </c>
      <c r="F276" s="378" t="s">
        <v>681</v>
      </c>
      <c r="G276" s="118">
        <v>12086.82</v>
      </c>
      <c r="H276" s="118"/>
      <c r="I276" s="118"/>
      <c r="J276" s="118"/>
      <c r="K276" s="118">
        <v>12086.82</v>
      </c>
      <c r="L276" s="118">
        <v>8741.2250000000004</v>
      </c>
      <c r="M276" s="118"/>
      <c r="N276" s="118"/>
      <c r="O276" s="118">
        <v>8741.2250000000004</v>
      </c>
      <c r="P276" s="118">
        <v>8741.2250000000004</v>
      </c>
      <c r="Q276" s="118"/>
      <c r="R276" s="118"/>
      <c r="S276" s="118">
        <v>8741.2250000000004</v>
      </c>
      <c r="T276" s="118">
        <v>3441.2249999999999</v>
      </c>
      <c r="U276" s="118"/>
      <c r="V276" s="118"/>
      <c r="W276" s="118"/>
      <c r="X276" s="118">
        <v>3441.2249999999999</v>
      </c>
      <c r="Y276" s="118">
        <v>3349.877</v>
      </c>
      <c r="Z276" s="118"/>
      <c r="AA276" s="118"/>
      <c r="AB276" s="118"/>
      <c r="AC276" s="118">
        <v>3349.877</v>
      </c>
      <c r="AD276" s="357">
        <f t="shared" si="15"/>
        <v>0.97345480170578791</v>
      </c>
      <c r="AE276" s="357"/>
      <c r="AF276" s="357"/>
      <c r="AG276" s="357"/>
      <c r="AH276" s="357">
        <f t="shared" si="14"/>
        <v>0.97345480170578791</v>
      </c>
    </row>
    <row r="277" spans="1:34" ht="31.5">
      <c r="A277" s="356" t="s">
        <v>29</v>
      </c>
      <c r="B277" s="346" t="s">
        <v>682</v>
      </c>
      <c r="C277" s="356" t="s">
        <v>310</v>
      </c>
      <c r="D277" s="356"/>
      <c r="E277" s="378" t="s">
        <v>501</v>
      </c>
      <c r="F277" s="378" t="s">
        <v>279</v>
      </c>
      <c r="G277" s="118">
        <v>14864.45</v>
      </c>
      <c r="H277" s="118"/>
      <c r="I277" s="118"/>
      <c r="J277" s="118"/>
      <c r="K277" s="118">
        <v>14864.45</v>
      </c>
      <c r="L277" s="118">
        <v>11191</v>
      </c>
      <c r="M277" s="118"/>
      <c r="N277" s="118"/>
      <c r="O277" s="118">
        <v>11191</v>
      </c>
      <c r="P277" s="118">
        <v>9525</v>
      </c>
      <c r="Q277" s="118"/>
      <c r="R277" s="118"/>
      <c r="S277" s="118">
        <v>9525</v>
      </c>
      <c r="T277" s="118">
        <v>4795.5</v>
      </c>
      <c r="U277" s="118"/>
      <c r="V277" s="118"/>
      <c r="W277" s="118"/>
      <c r="X277" s="118">
        <v>4795.5</v>
      </c>
      <c r="Y277" s="118">
        <v>4795.5</v>
      </c>
      <c r="Z277" s="118"/>
      <c r="AA277" s="118"/>
      <c r="AB277" s="118"/>
      <c r="AC277" s="118">
        <v>4795.5</v>
      </c>
      <c r="AD277" s="357">
        <f t="shared" si="15"/>
        <v>1</v>
      </c>
      <c r="AE277" s="357"/>
      <c r="AF277" s="357"/>
      <c r="AG277" s="357"/>
      <c r="AH277" s="357">
        <f t="shared" si="14"/>
        <v>1</v>
      </c>
    </row>
    <row r="278" spans="1:34" ht="47.25">
      <c r="A278" s="356" t="s">
        <v>29</v>
      </c>
      <c r="B278" s="346" t="s">
        <v>683</v>
      </c>
      <c r="C278" s="356" t="s">
        <v>229</v>
      </c>
      <c r="D278" s="356"/>
      <c r="E278" s="378" t="s">
        <v>390</v>
      </c>
      <c r="F278" s="378" t="s">
        <v>684</v>
      </c>
      <c r="G278" s="118">
        <v>2886.6680000000001</v>
      </c>
      <c r="H278" s="118"/>
      <c r="I278" s="118"/>
      <c r="J278" s="118"/>
      <c r="K278" s="118">
        <v>2886.6680000000001</v>
      </c>
      <c r="L278" s="118">
        <v>2400.2199999999998</v>
      </c>
      <c r="M278" s="118"/>
      <c r="N278" s="118"/>
      <c r="O278" s="118">
        <v>2400.2199999999998</v>
      </c>
      <c r="P278" s="118">
        <v>2400</v>
      </c>
      <c r="Q278" s="118"/>
      <c r="R278" s="118"/>
      <c r="S278" s="118">
        <v>2400</v>
      </c>
      <c r="T278" s="118">
        <v>300</v>
      </c>
      <c r="U278" s="118"/>
      <c r="V278" s="118"/>
      <c r="W278" s="118"/>
      <c r="X278" s="118">
        <v>300</v>
      </c>
      <c r="Y278" s="118">
        <v>300</v>
      </c>
      <c r="Z278" s="118"/>
      <c r="AA278" s="118"/>
      <c r="AB278" s="118"/>
      <c r="AC278" s="118">
        <v>300</v>
      </c>
      <c r="AD278" s="357">
        <f t="shared" si="15"/>
        <v>1</v>
      </c>
      <c r="AE278" s="357"/>
      <c r="AF278" s="357"/>
      <c r="AG278" s="357"/>
      <c r="AH278" s="357">
        <f t="shared" si="14"/>
        <v>1</v>
      </c>
    </row>
    <row r="279" spans="1:34" ht="31.5">
      <c r="A279" s="356" t="s">
        <v>29</v>
      </c>
      <c r="B279" s="346" t="s">
        <v>685</v>
      </c>
      <c r="C279" s="356" t="s">
        <v>273</v>
      </c>
      <c r="D279" s="356"/>
      <c r="E279" s="378" t="s">
        <v>381</v>
      </c>
      <c r="F279" s="378" t="s">
        <v>686</v>
      </c>
      <c r="G279" s="118">
        <v>6477.8639999999996</v>
      </c>
      <c r="H279" s="118"/>
      <c r="I279" s="118"/>
      <c r="J279" s="118"/>
      <c r="K279" s="118">
        <v>6477.8639999999996</v>
      </c>
      <c r="L279" s="118">
        <v>5505.8940000000002</v>
      </c>
      <c r="M279" s="118"/>
      <c r="N279" s="118"/>
      <c r="O279" s="118">
        <v>5505.8940000000002</v>
      </c>
      <c r="P279" s="118">
        <v>5505</v>
      </c>
      <c r="Q279" s="118"/>
      <c r="R279" s="118"/>
      <c r="S279" s="118">
        <v>5505</v>
      </c>
      <c r="T279" s="118">
        <v>705</v>
      </c>
      <c r="U279" s="118"/>
      <c r="V279" s="118"/>
      <c r="W279" s="118"/>
      <c r="X279" s="118">
        <v>705</v>
      </c>
      <c r="Y279" s="234">
        <v>680.19500000000005</v>
      </c>
      <c r="Z279" s="118"/>
      <c r="AA279" s="118"/>
      <c r="AB279" s="118"/>
      <c r="AC279" s="234">
        <v>680.19500000000005</v>
      </c>
      <c r="AD279" s="357">
        <f t="shared" si="15"/>
        <v>0.9648156028368795</v>
      </c>
      <c r="AE279" s="357"/>
      <c r="AF279" s="357"/>
      <c r="AG279" s="357"/>
      <c r="AH279" s="357">
        <f t="shared" si="14"/>
        <v>0.9648156028368795</v>
      </c>
    </row>
    <row r="280" spans="1:34" ht="31.5">
      <c r="A280" s="356" t="s">
        <v>29</v>
      </c>
      <c r="B280" s="346" t="s">
        <v>687</v>
      </c>
      <c r="C280" s="356" t="s">
        <v>273</v>
      </c>
      <c r="D280" s="356"/>
      <c r="E280" s="378" t="s">
        <v>260</v>
      </c>
      <c r="F280" s="378" t="s">
        <v>688</v>
      </c>
      <c r="G280" s="118">
        <v>5152</v>
      </c>
      <c r="H280" s="118"/>
      <c r="I280" s="118"/>
      <c r="J280" s="118"/>
      <c r="K280" s="118">
        <v>5152</v>
      </c>
      <c r="L280" s="118">
        <v>1849</v>
      </c>
      <c r="M280" s="118"/>
      <c r="N280" s="118"/>
      <c r="O280" s="118">
        <v>1849</v>
      </c>
      <c r="P280" s="118">
        <v>1848.8340000000001</v>
      </c>
      <c r="Q280" s="118"/>
      <c r="R280" s="118"/>
      <c r="S280" s="118">
        <v>1848.8340000000001</v>
      </c>
      <c r="T280" s="118">
        <v>48.834000000000003</v>
      </c>
      <c r="U280" s="118"/>
      <c r="V280" s="118"/>
      <c r="W280" s="118"/>
      <c r="X280" s="118">
        <v>48.834000000000003</v>
      </c>
      <c r="Y280" s="118">
        <v>46.287999999999997</v>
      </c>
      <c r="Z280" s="118"/>
      <c r="AA280" s="118"/>
      <c r="AB280" s="118"/>
      <c r="AC280" s="118">
        <v>46.287999999999997</v>
      </c>
      <c r="AD280" s="357">
        <f t="shared" si="15"/>
        <v>0.94786419298030045</v>
      </c>
      <c r="AE280" s="357"/>
      <c r="AF280" s="357"/>
      <c r="AG280" s="357"/>
      <c r="AH280" s="357">
        <f t="shared" si="14"/>
        <v>0.94786419298030045</v>
      </c>
    </row>
    <row r="281" spans="1:34" ht="31.5">
      <c r="A281" s="356" t="s">
        <v>29</v>
      </c>
      <c r="B281" s="346" t="s">
        <v>689</v>
      </c>
      <c r="C281" s="356" t="s">
        <v>395</v>
      </c>
      <c r="D281" s="356"/>
      <c r="E281" s="378" t="s">
        <v>690</v>
      </c>
      <c r="F281" s="378" t="s">
        <v>691</v>
      </c>
      <c r="G281" s="118">
        <v>37077.54</v>
      </c>
      <c r="H281" s="118"/>
      <c r="I281" s="118"/>
      <c r="J281" s="118"/>
      <c r="K281" s="118">
        <v>37077.54</v>
      </c>
      <c r="L281" s="118">
        <v>26376.663</v>
      </c>
      <c r="M281" s="118"/>
      <c r="N281" s="118"/>
      <c r="O281" s="118">
        <v>26376.663</v>
      </c>
      <c r="P281" s="118">
        <v>24868.076000000001</v>
      </c>
      <c r="Q281" s="118"/>
      <c r="R281" s="118"/>
      <c r="S281" s="118">
        <v>24868.076000000001</v>
      </c>
      <c r="T281" s="118">
        <v>7100.8050000000003</v>
      </c>
      <c r="U281" s="118"/>
      <c r="V281" s="118"/>
      <c r="W281" s="118"/>
      <c r="X281" s="118">
        <v>7100.8050000000003</v>
      </c>
      <c r="Y281" s="118">
        <v>6324.6019999999999</v>
      </c>
      <c r="Z281" s="118"/>
      <c r="AA281" s="118"/>
      <c r="AB281" s="118"/>
      <c r="AC281" s="118">
        <v>6324.6019999999999</v>
      </c>
      <c r="AD281" s="357">
        <f t="shared" si="15"/>
        <v>0.89068802762503685</v>
      </c>
      <c r="AE281" s="357"/>
      <c r="AF281" s="357"/>
      <c r="AG281" s="357"/>
      <c r="AH281" s="357">
        <f t="shared" si="14"/>
        <v>0.89068802762503685</v>
      </c>
    </row>
    <row r="282" spans="1:34" ht="31.5">
      <c r="A282" s="356" t="s">
        <v>29</v>
      </c>
      <c r="B282" s="346" t="s">
        <v>692</v>
      </c>
      <c r="C282" s="356" t="s">
        <v>607</v>
      </c>
      <c r="D282" s="356"/>
      <c r="E282" s="378" t="s">
        <v>381</v>
      </c>
      <c r="F282" s="378" t="s">
        <v>693</v>
      </c>
      <c r="G282" s="118">
        <v>10054.379999999999</v>
      </c>
      <c r="H282" s="118"/>
      <c r="I282" s="118"/>
      <c r="J282" s="118"/>
      <c r="K282" s="118">
        <v>10054.379999999999</v>
      </c>
      <c r="L282" s="118">
        <v>8912.8780000000006</v>
      </c>
      <c r="M282" s="118"/>
      <c r="N282" s="118"/>
      <c r="O282" s="118">
        <v>8912.8780000000006</v>
      </c>
      <c r="P282" s="118">
        <v>8911.7759999999998</v>
      </c>
      <c r="Q282" s="118"/>
      <c r="R282" s="118"/>
      <c r="S282" s="118">
        <v>8911.7759999999998</v>
      </c>
      <c r="T282" s="118">
        <v>1364</v>
      </c>
      <c r="U282" s="118"/>
      <c r="V282" s="118"/>
      <c r="W282" s="118"/>
      <c r="X282" s="118">
        <v>1364</v>
      </c>
      <c r="Y282" s="118">
        <v>1364</v>
      </c>
      <c r="Z282" s="118"/>
      <c r="AA282" s="118"/>
      <c r="AB282" s="118"/>
      <c r="AC282" s="118">
        <v>1364</v>
      </c>
      <c r="AD282" s="357">
        <f t="shared" si="15"/>
        <v>1</v>
      </c>
      <c r="AE282" s="357"/>
      <c r="AF282" s="357"/>
      <c r="AG282" s="357"/>
      <c r="AH282" s="357">
        <f t="shared" si="14"/>
        <v>1</v>
      </c>
    </row>
    <row r="283" spans="1:34" ht="78.75">
      <c r="A283" s="356" t="s">
        <v>29</v>
      </c>
      <c r="B283" s="346" t="s">
        <v>694</v>
      </c>
      <c r="C283" s="356" t="s">
        <v>321</v>
      </c>
      <c r="D283" s="356"/>
      <c r="E283" s="378" t="s">
        <v>293</v>
      </c>
      <c r="F283" s="378" t="s">
        <v>695</v>
      </c>
      <c r="G283" s="118">
        <v>3043.88</v>
      </c>
      <c r="H283" s="118">
        <v>2411.4569999999999</v>
      </c>
      <c r="I283" s="118"/>
      <c r="J283" s="118"/>
      <c r="K283" s="118">
        <v>632.423</v>
      </c>
      <c r="L283" s="118">
        <v>2072.7260000000001</v>
      </c>
      <c r="M283" s="118">
        <v>1681.3150000000001</v>
      </c>
      <c r="N283" s="118"/>
      <c r="O283" s="118">
        <v>391.411</v>
      </c>
      <c r="P283" s="118">
        <v>1690</v>
      </c>
      <c r="Q283" s="118">
        <v>1090</v>
      </c>
      <c r="R283" s="118"/>
      <c r="S283" s="118">
        <v>600</v>
      </c>
      <c r="T283" s="118">
        <v>1553</v>
      </c>
      <c r="U283" s="118">
        <v>1090</v>
      </c>
      <c r="V283" s="118"/>
      <c r="W283" s="118"/>
      <c r="X283" s="118">
        <f>T283-U283</f>
        <v>463</v>
      </c>
      <c r="Y283" s="118">
        <v>1338.041391</v>
      </c>
      <c r="Z283" s="118">
        <v>1090</v>
      </c>
      <c r="AA283" s="118"/>
      <c r="AB283" s="118"/>
      <c r="AC283" s="118">
        <v>248.04139099999998</v>
      </c>
      <c r="AD283" s="357">
        <f t="shared" si="15"/>
        <v>0.86158492659368957</v>
      </c>
      <c r="AE283" s="357">
        <f t="shared" si="15"/>
        <v>1</v>
      </c>
      <c r="AF283" s="357"/>
      <c r="AG283" s="357"/>
      <c r="AH283" s="357">
        <f t="shared" si="14"/>
        <v>0.53572654643628503</v>
      </c>
    </row>
    <row r="284" spans="1:34" ht="78.75">
      <c r="A284" s="356" t="s">
        <v>29</v>
      </c>
      <c r="B284" s="346" t="s">
        <v>696</v>
      </c>
      <c r="C284" s="356" t="s">
        <v>488</v>
      </c>
      <c r="D284" s="356"/>
      <c r="E284" s="378" t="s">
        <v>293</v>
      </c>
      <c r="F284" s="378" t="s">
        <v>697</v>
      </c>
      <c r="G284" s="118">
        <v>3291.9780000000001</v>
      </c>
      <c r="H284" s="118">
        <v>2569.5050000000001</v>
      </c>
      <c r="I284" s="118"/>
      <c r="J284" s="118"/>
      <c r="K284" s="118">
        <v>722.47299999999996</v>
      </c>
      <c r="L284" s="118">
        <v>2774.877</v>
      </c>
      <c r="M284" s="118">
        <v>2193.9520000000002</v>
      </c>
      <c r="N284" s="118"/>
      <c r="O284" s="118">
        <v>580.92499999999995</v>
      </c>
      <c r="P284" s="118">
        <v>1759</v>
      </c>
      <c r="Q284" s="118">
        <v>1159</v>
      </c>
      <c r="R284" s="118"/>
      <c r="S284" s="118">
        <v>600</v>
      </c>
      <c r="T284" s="118">
        <v>1622</v>
      </c>
      <c r="U284" s="118">
        <v>1159</v>
      </c>
      <c r="V284" s="118"/>
      <c r="W284" s="118"/>
      <c r="X284" s="118">
        <f>T284-U284</f>
        <v>463</v>
      </c>
      <c r="Y284" s="118">
        <v>1511.126182</v>
      </c>
      <c r="Z284" s="118">
        <v>1159</v>
      </c>
      <c r="AA284" s="118"/>
      <c r="AB284" s="118"/>
      <c r="AC284" s="118">
        <v>352.12618199999997</v>
      </c>
      <c r="AD284" s="357">
        <f t="shared" si="15"/>
        <v>0.93164376202219479</v>
      </c>
      <c r="AE284" s="357">
        <f t="shared" si="15"/>
        <v>1</v>
      </c>
      <c r="AF284" s="357"/>
      <c r="AG284" s="357"/>
      <c r="AH284" s="357">
        <f t="shared" si="14"/>
        <v>0.76053171058315328</v>
      </c>
    </row>
    <row r="285" spans="1:34" ht="78.75">
      <c r="A285" s="356" t="s">
        <v>29</v>
      </c>
      <c r="B285" s="346" t="s">
        <v>698</v>
      </c>
      <c r="C285" s="356" t="s">
        <v>263</v>
      </c>
      <c r="D285" s="356"/>
      <c r="E285" s="378" t="s">
        <v>293</v>
      </c>
      <c r="F285" s="378" t="s">
        <v>699</v>
      </c>
      <c r="G285" s="118">
        <v>2843.2739999999999</v>
      </c>
      <c r="H285" s="118">
        <v>2250.0479999999998</v>
      </c>
      <c r="I285" s="118"/>
      <c r="J285" s="118"/>
      <c r="K285" s="118">
        <v>593.226</v>
      </c>
      <c r="L285" s="118">
        <v>2610.931</v>
      </c>
      <c r="M285" s="118">
        <v>2072.1729999999998</v>
      </c>
      <c r="N285" s="118"/>
      <c r="O285" s="118">
        <v>538.75699999999995</v>
      </c>
      <c r="P285" s="118">
        <v>1598</v>
      </c>
      <c r="Q285" s="118">
        <v>1048</v>
      </c>
      <c r="R285" s="118"/>
      <c r="S285" s="118">
        <v>550</v>
      </c>
      <c r="T285" s="118">
        <v>1471</v>
      </c>
      <c r="U285" s="118">
        <v>1048</v>
      </c>
      <c r="V285" s="118"/>
      <c r="W285" s="118"/>
      <c r="X285" s="118">
        <f>T285-U285</f>
        <v>423</v>
      </c>
      <c r="Y285" s="118">
        <v>1376.818636</v>
      </c>
      <c r="Z285" s="118">
        <v>1048</v>
      </c>
      <c r="AA285" s="118"/>
      <c r="AB285" s="118"/>
      <c r="AC285" s="118">
        <v>328.81863599999997</v>
      </c>
      <c r="AD285" s="357">
        <f t="shared" si="15"/>
        <v>0.93597459959211415</v>
      </c>
      <c r="AE285" s="357">
        <f t="shared" si="15"/>
        <v>1</v>
      </c>
      <c r="AF285" s="357"/>
      <c r="AG285" s="357"/>
      <c r="AH285" s="357">
        <f t="shared" si="14"/>
        <v>0.77734902127659566</v>
      </c>
    </row>
    <row r="286" spans="1:34" ht="78.75">
      <c r="A286" s="356" t="s">
        <v>29</v>
      </c>
      <c r="B286" s="346" t="s">
        <v>700</v>
      </c>
      <c r="C286" s="356" t="s">
        <v>315</v>
      </c>
      <c r="D286" s="356"/>
      <c r="E286" s="378" t="s">
        <v>293</v>
      </c>
      <c r="F286" s="378" t="s">
        <v>701</v>
      </c>
      <c r="G286" s="118">
        <v>3039.5740000000001</v>
      </c>
      <c r="H286" s="118">
        <v>2407.2069999999999</v>
      </c>
      <c r="I286" s="118"/>
      <c r="J286" s="118"/>
      <c r="K286" s="118">
        <v>632.36699999999996</v>
      </c>
      <c r="L286" s="118">
        <v>1725.9490000000001</v>
      </c>
      <c r="M286" s="118">
        <v>1364.626</v>
      </c>
      <c r="N286" s="118"/>
      <c r="O286" s="118">
        <v>361.32299999999998</v>
      </c>
      <c r="P286" s="118">
        <v>1812</v>
      </c>
      <c r="Q286" s="118">
        <v>1212</v>
      </c>
      <c r="R286" s="118"/>
      <c r="S286" s="118">
        <v>600</v>
      </c>
      <c r="T286" s="118">
        <v>1675</v>
      </c>
      <c r="U286" s="118">
        <v>1212</v>
      </c>
      <c r="V286" s="118"/>
      <c r="W286" s="118"/>
      <c r="X286" s="118">
        <f>T286-U286</f>
        <v>463</v>
      </c>
      <c r="Y286" s="118">
        <v>1433.2223730000001</v>
      </c>
      <c r="Z286" s="118">
        <v>1212</v>
      </c>
      <c r="AA286" s="118"/>
      <c r="AB286" s="118"/>
      <c r="AC286" s="118">
        <v>221.22237300000006</v>
      </c>
      <c r="AD286" s="357">
        <f t="shared" si="15"/>
        <v>0.85565514805970155</v>
      </c>
      <c r="AE286" s="357">
        <f t="shared" si="15"/>
        <v>1</v>
      </c>
      <c r="AF286" s="357"/>
      <c r="AG286" s="357"/>
      <c r="AH286" s="357">
        <f t="shared" si="14"/>
        <v>0.47780210151187918</v>
      </c>
    </row>
    <row r="287" spans="1:34" ht="78.75">
      <c r="A287" s="356" t="s">
        <v>29</v>
      </c>
      <c r="B287" s="346" t="s">
        <v>702</v>
      </c>
      <c r="C287" s="356" t="s">
        <v>321</v>
      </c>
      <c r="D287" s="356"/>
      <c r="E287" s="378" t="s">
        <v>293</v>
      </c>
      <c r="F287" s="378" t="s">
        <v>703</v>
      </c>
      <c r="G287" s="118">
        <v>3120.8339999999998</v>
      </c>
      <c r="H287" s="118">
        <v>2473.5630000000001</v>
      </c>
      <c r="I287" s="118"/>
      <c r="J287" s="118"/>
      <c r="K287" s="118">
        <v>647.27099999999996</v>
      </c>
      <c r="L287" s="118">
        <v>2951.462</v>
      </c>
      <c r="M287" s="118">
        <v>2360.6779999999999</v>
      </c>
      <c r="N287" s="118"/>
      <c r="O287" s="118">
        <v>590.78399999999999</v>
      </c>
      <c r="P287" s="118">
        <v>1831</v>
      </c>
      <c r="Q287" s="118">
        <v>1181</v>
      </c>
      <c r="R287" s="118"/>
      <c r="S287" s="118">
        <v>650</v>
      </c>
      <c r="T287" s="118">
        <v>1694</v>
      </c>
      <c r="U287" s="118">
        <v>1181</v>
      </c>
      <c r="V287" s="118"/>
      <c r="W287" s="118"/>
      <c r="X287" s="118">
        <f>T287-U287</f>
        <v>513</v>
      </c>
      <c r="Y287" s="118">
        <v>1541.6608180000001</v>
      </c>
      <c r="Z287" s="118">
        <v>1181</v>
      </c>
      <c r="AA287" s="118"/>
      <c r="AB287" s="118"/>
      <c r="AC287" s="118">
        <v>360.66081800000006</v>
      </c>
      <c r="AD287" s="357">
        <f t="shared" si="15"/>
        <v>0.91007132113341205</v>
      </c>
      <c r="AE287" s="357">
        <f t="shared" si="15"/>
        <v>1</v>
      </c>
      <c r="AF287" s="357"/>
      <c r="AG287" s="357"/>
      <c r="AH287" s="357">
        <f t="shared" si="14"/>
        <v>0.70304253021442509</v>
      </c>
    </row>
    <row r="288" spans="1:34" ht="47.25">
      <c r="A288" s="356" t="s">
        <v>29</v>
      </c>
      <c r="B288" s="346" t="s">
        <v>704</v>
      </c>
      <c r="C288" s="356" t="s">
        <v>273</v>
      </c>
      <c r="D288" s="356"/>
      <c r="E288" s="378" t="s">
        <v>293</v>
      </c>
      <c r="F288" s="378" t="s">
        <v>705</v>
      </c>
      <c r="G288" s="118">
        <v>3160.6120000000001</v>
      </c>
      <c r="H288" s="118"/>
      <c r="I288" s="118"/>
      <c r="J288" s="118"/>
      <c r="K288" s="118">
        <v>3160.6120000000001</v>
      </c>
      <c r="L288" s="118">
        <v>2611</v>
      </c>
      <c r="M288" s="118"/>
      <c r="N288" s="118"/>
      <c r="O288" s="118">
        <v>2611</v>
      </c>
      <c r="P288" s="118">
        <v>2400</v>
      </c>
      <c r="Q288" s="118"/>
      <c r="R288" s="118"/>
      <c r="S288" s="118">
        <v>2400</v>
      </c>
      <c r="T288" s="118">
        <v>1200</v>
      </c>
      <c r="U288" s="118"/>
      <c r="V288" s="118"/>
      <c r="W288" s="118"/>
      <c r="X288" s="118">
        <v>1200</v>
      </c>
      <c r="Y288" s="118">
        <v>1200</v>
      </c>
      <c r="Z288" s="118"/>
      <c r="AA288" s="118"/>
      <c r="AB288" s="118"/>
      <c r="AC288" s="118">
        <v>1200</v>
      </c>
      <c r="AD288" s="357">
        <f t="shared" si="15"/>
        <v>1</v>
      </c>
      <c r="AE288" s="357"/>
      <c r="AF288" s="357"/>
      <c r="AG288" s="357"/>
      <c r="AH288" s="357">
        <f t="shared" si="14"/>
        <v>1</v>
      </c>
    </row>
    <row r="289" spans="1:34" ht="47.25">
      <c r="A289" s="356" t="s">
        <v>29</v>
      </c>
      <c r="B289" s="346" t="s">
        <v>706</v>
      </c>
      <c r="C289" s="356" t="s">
        <v>439</v>
      </c>
      <c r="D289" s="356"/>
      <c r="E289" s="378" t="s">
        <v>293</v>
      </c>
      <c r="F289" s="378" t="s">
        <v>707</v>
      </c>
      <c r="G289" s="118">
        <v>7444.5839999999998</v>
      </c>
      <c r="H289" s="118"/>
      <c r="I289" s="118"/>
      <c r="J289" s="118"/>
      <c r="K289" s="118">
        <v>7444.5839999999998</v>
      </c>
      <c r="L289" s="118">
        <v>7245</v>
      </c>
      <c r="M289" s="118"/>
      <c r="N289" s="118"/>
      <c r="O289" s="118">
        <v>7245</v>
      </c>
      <c r="P289" s="118">
        <v>6315.6269279999997</v>
      </c>
      <c r="Q289" s="118"/>
      <c r="R289" s="118"/>
      <c r="S289" s="118">
        <v>6315.6269279999997</v>
      </c>
      <c r="T289" s="118">
        <v>5200.6269279999997</v>
      </c>
      <c r="U289" s="118"/>
      <c r="V289" s="118"/>
      <c r="W289" s="118"/>
      <c r="X289" s="118">
        <v>5200.6269279999997</v>
      </c>
      <c r="Y289" s="118">
        <v>5200.6269279999997</v>
      </c>
      <c r="Z289" s="118"/>
      <c r="AA289" s="118"/>
      <c r="AB289" s="118"/>
      <c r="AC289" s="118">
        <v>5200.6269279999997</v>
      </c>
      <c r="AD289" s="357">
        <f t="shared" si="15"/>
        <v>1</v>
      </c>
      <c r="AE289" s="357"/>
      <c r="AF289" s="357"/>
      <c r="AG289" s="357"/>
      <c r="AH289" s="357">
        <f t="shared" si="14"/>
        <v>1</v>
      </c>
    </row>
    <row r="290" spans="1:34" ht="63">
      <c r="A290" s="356" t="s">
        <v>29</v>
      </c>
      <c r="B290" s="346" t="s">
        <v>708</v>
      </c>
      <c r="C290" s="356" t="s">
        <v>607</v>
      </c>
      <c r="D290" s="356"/>
      <c r="E290" s="378" t="s">
        <v>293</v>
      </c>
      <c r="F290" s="378" t="s">
        <v>709</v>
      </c>
      <c r="G290" s="118">
        <v>2286.7930000000001</v>
      </c>
      <c r="H290" s="118"/>
      <c r="I290" s="118"/>
      <c r="J290" s="118"/>
      <c r="K290" s="118">
        <v>2286.7930000000001</v>
      </c>
      <c r="L290" s="118">
        <v>2059</v>
      </c>
      <c r="M290" s="118"/>
      <c r="N290" s="118"/>
      <c r="O290" s="118">
        <v>2059</v>
      </c>
      <c r="P290" s="118">
        <v>2059.096</v>
      </c>
      <c r="Q290" s="118"/>
      <c r="R290" s="118"/>
      <c r="S290" s="118">
        <v>2059.096</v>
      </c>
      <c r="T290" s="118">
        <v>1259.096</v>
      </c>
      <c r="U290" s="118"/>
      <c r="V290" s="118"/>
      <c r="W290" s="118"/>
      <c r="X290" s="118">
        <v>1259.096</v>
      </c>
      <c r="Y290" s="118">
        <v>1217.57</v>
      </c>
      <c r="Z290" s="118"/>
      <c r="AA290" s="118"/>
      <c r="AB290" s="118"/>
      <c r="AC290" s="118">
        <v>1217.57</v>
      </c>
      <c r="AD290" s="357">
        <f t="shared" si="15"/>
        <v>0.96701919472383358</v>
      </c>
      <c r="AE290" s="357"/>
      <c r="AF290" s="357"/>
      <c r="AG290" s="357"/>
      <c r="AH290" s="357">
        <f t="shared" si="14"/>
        <v>0.96701919472383358</v>
      </c>
    </row>
    <row r="291" spans="1:34" ht="31.5">
      <c r="A291" s="356" t="s">
        <v>29</v>
      </c>
      <c r="B291" s="346" t="s">
        <v>710</v>
      </c>
      <c r="C291" s="356" t="s">
        <v>363</v>
      </c>
      <c r="D291" s="356"/>
      <c r="E291" s="378" t="s">
        <v>230</v>
      </c>
      <c r="F291" s="378" t="s">
        <v>711</v>
      </c>
      <c r="G291" s="118">
        <v>33233.834999999999</v>
      </c>
      <c r="H291" s="118"/>
      <c r="I291" s="118"/>
      <c r="J291" s="118"/>
      <c r="K291" s="118">
        <v>33233.834999999999</v>
      </c>
      <c r="L291" s="118">
        <v>9928.6710000000003</v>
      </c>
      <c r="M291" s="118"/>
      <c r="N291" s="118"/>
      <c r="O291" s="118">
        <v>9928.6710000000003</v>
      </c>
      <c r="P291" s="118">
        <v>13000</v>
      </c>
      <c r="Q291" s="118"/>
      <c r="R291" s="118"/>
      <c r="S291" s="118">
        <v>13000</v>
      </c>
      <c r="T291" s="118">
        <v>9222</v>
      </c>
      <c r="U291" s="118"/>
      <c r="V291" s="118"/>
      <c r="W291" s="118"/>
      <c r="X291" s="118">
        <v>9222</v>
      </c>
      <c r="Y291" s="118">
        <v>6129</v>
      </c>
      <c r="Z291" s="118"/>
      <c r="AA291" s="118"/>
      <c r="AB291" s="118"/>
      <c r="AC291" s="118">
        <v>6129</v>
      </c>
      <c r="AD291" s="357">
        <f t="shared" si="15"/>
        <v>0.66460637605725437</v>
      </c>
      <c r="AE291" s="357"/>
      <c r="AF291" s="357"/>
      <c r="AG291" s="357"/>
      <c r="AH291" s="357">
        <f t="shared" si="14"/>
        <v>0.66460637605725437</v>
      </c>
    </row>
    <row r="292" spans="1:34" ht="31.5">
      <c r="A292" s="356" t="s">
        <v>29</v>
      </c>
      <c r="B292" s="346" t="s">
        <v>712</v>
      </c>
      <c r="C292" s="356" t="s">
        <v>439</v>
      </c>
      <c r="D292" s="356"/>
      <c r="E292" s="378" t="s">
        <v>293</v>
      </c>
      <c r="F292" s="378" t="s">
        <v>713</v>
      </c>
      <c r="G292" s="118">
        <v>33989.572999999997</v>
      </c>
      <c r="H292" s="118"/>
      <c r="I292" s="118"/>
      <c r="J292" s="118"/>
      <c r="K292" s="118">
        <v>33989.572999999997</v>
      </c>
      <c r="L292" s="118">
        <v>28933</v>
      </c>
      <c r="M292" s="118"/>
      <c r="N292" s="118"/>
      <c r="O292" s="118">
        <v>28933</v>
      </c>
      <c r="P292" s="118">
        <v>21000</v>
      </c>
      <c r="Q292" s="118"/>
      <c r="R292" s="118"/>
      <c r="S292" s="118">
        <v>21000</v>
      </c>
      <c r="T292" s="118">
        <v>17870</v>
      </c>
      <c r="U292" s="118"/>
      <c r="V292" s="118"/>
      <c r="W292" s="118"/>
      <c r="X292" s="118">
        <v>17870</v>
      </c>
      <c r="Y292" s="118">
        <v>17870</v>
      </c>
      <c r="Z292" s="118"/>
      <c r="AA292" s="118"/>
      <c r="AB292" s="118"/>
      <c r="AC292" s="118">
        <v>17870</v>
      </c>
      <c r="AD292" s="357">
        <f t="shared" si="15"/>
        <v>1</v>
      </c>
      <c r="AE292" s="357"/>
      <c r="AF292" s="357"/>
      <c r="AG292" s="357"/>
      <c r="AH292" s="357">
        <f t="shared" si="14"/>
        <v>1</v>
      </c>
    </row>
    <row r="293" spans="1:34" ht="63">
      <c r="A293" s="356" t="s">
        <v>29</v>
      </c>
      <c r="B293" s="346" t="s">
        <v>714</v>
      </c>
      <c r="C293" s="356" t="s">
        <v>225</v>
      </c>
      <c r="D293" s="356"/>
      <c r="E293" s="378" t="s">
        <v>293</v>
      </c>
      <c r="F293" s="378" t="s">
        <v>715</v>
      </c>
      <c r="G293" s="118">
        <v>3822.3020000000001</v>
      </c>
      <c r="H293" s="118"/>
      <c r="I293" s="118"/>
      <c r="J293" s="118"/>
      <c r="K293" s="118">
        <v>3822.3020000000001</v>
      </c>
      <c r="L293" s="118">
        <v>3768</v>
      </c>
      <c r="M293" s="118"/>
      <c r="N293" s="118"/>
      <c r="O293" s="118">
        <v>3768</v>
      </c>
      <c r="P293" s="118">
        <v>2700</v>
      </c>
      <c r="Q293" s="118"/>
      <c r="R293" s="118"/>
      <c r="S293" s="118">
        <v>2700</v>
      </c>
      <c r="T293" s="118">
        <v>1300</v>
      </c>
      <c r="U293" s="118"/>
      <c r="V293" s="118"/>
      <c r="W293" s="118"/>
      <c r="X293" s="118">
        <v>1300</v>
      </c>
      <c r="Y293" s="118">
        <v>1300</v>
      </c>
      <c r="Z293" s="118"/>
      <c r="AA293" s="118"/>
      <c r="AB293" s="118"/>
      <c r="AC293" s="118">
        <v>1300</v>
      </c>
      <c r="AD293" s="357">
        <f t="shared" si="15"/>
        <v>1</v>
      </c>
      <c r="AE293" s="357"/>
      <c r="AF293" s="357"/>
      <c r="AG293" s="357"/>
      <c r="AH293" s="357">
        <f t="shared" si="14"/>
        <v>1</v>
      </c>
    </row>
    <row r="294" spans="1:34" ht="47.25">
      <c r="A294" s="356" t="s">
        <v>29</v>
      </c>
      <c r="B294" s="346" t="s">
        <v>716</v>
      </c>
      <c r="C294" s="356" t="s">
        <v>612</v>
      </c>
      <c r="D294" s="356"/>
      <c r="E294" s="378" t="s">
        <v>293</v>
      </c>
      <c r="F294" s="378" t="s">
        <v>717</v>
      </c>
      <c r="G294" s="118">
        <v>5815.98</v>
      </c>
      <c r="H294" s="118"/>
      <c r="I294" s="118"/>
      <c r="J294" s="118"/>
      <c r="K294" s="118">
        <v>5815.98</v>
      </c>
      <c r="L294" s="118">
        <v>5768</v>
      </c>
      <c r="M294" s="118"/>
      <c r="N294" s="118"/>
      <c r="O294" s="118">
        <v>5768</v>
      </c>
      <c r="P294" s="118">
        <v>3500</v>
      </c>
      <c r="Q294" s="118"/>
      <c r="R294" s="118"/>
      <c r="S294" s="118">
        <v>3500</v>
      </c>
      <c r="T294" s="118">
        <v>2937</v>
      </c>
      <c r="U294" s="118"/>
      <c r="V294" s="118"/>
      <c r="W294" s="118"/>
      <c r="X294" s="118">
        <v>2937</v>
      </c>
      <c r="Y294" s="118">
        <v>2937</v>
      </c>
      <c r="Z294" s="118"/>
      <c r="AA294" s="118"/>
      <c r="AB294" s="118"/>
      <c r="AC294" s="118">
        <v>2937</v>
      </c>
      <c r="AD294" s="357">
        <f t="shared" si="15"/>
        <v>1</v>
      </c>
      <c r="AE294" s="357"/>
      <c r="AF294" s="357"/>
      <c r="AG294" s="357"/>
      <c r="AH294" s="357">
        <f t="shared" si="14"/>
        <v>1</v>
      </c>
    </row>
    <row r="295" spans="1:34" ht="63">
      <c r="A295" s="356" t="s">
        <v>29</v>
      </c>
      <c r="B295" s="346" t="s">
        <v>718</v>
      </c>
      <c r="C295" s="356" t="s">
        <v>488</v>
      </c>
      <c r="D295" s="356"/>
      <c r="E295" s="378" t="s">
        <v>293</v>
      </c>
      <c r="F295" s="378" t="s">
        <v>719</v>
      </c>
      <c r="G295" s="118">
        <v>3229.2710000000002</v>
      </c>
      <c r="H295" s="118"/>
      <c r="I295" s="118"/>
      <c r="J295" s="118"/>
      <c r="K295" s="118">
        <v>3229.2710000000002</v>
      </c>
      <c r="L295" s="118">
        <v>2857</v>
      </c>
      <c r="M295" s="118"/>
      <c r="N295" s="118"/>
      <c r="O295" s="118">
        <v>2857</v>
      </c>
      <c r="P295" s="118">
        <v>2856.6819999999998</v>
      </c>
      <c r="Q295" s="118"/>
      <c r="R295" s="118"/>
      <c r="S295" s="118">
        <v>2856.6819999999998</v>
      </c>
      <c r="T295" s="118">
        <v>1956.682</v>
      </c>
      <c r="U295" s="118"/>
      <c r="V295" s="118"/>
      <c r="W295" s="118"/>
      <c r="X295" s="118">
        <v>1956.682</v>
      </c>
      <c r="Y295" s="118">
        <v>1944.732</v>
      </c>
      <c r="Z295" s="118"/>
      <c r="AA295" s="118"/>
      <c r="AB295" s="118"/>
      <c r="AC295" s="118">
        <v>1944.732</v>
      </c>
      <c r="AD295" s="357">
        <f t="shared" si="15"/>
        <v>0.99389272247611005</v>
      </c>
      <c r="AE295" s="357"/>
      <c r="AF295" s="357"/>
      <c r="AG295" s="357"/>
      <c r="AH295" s="357">
        <f t="shared" si="14"/>
        <v>0.99389272247611005</v>
      </c>
    </row>
    <row r="296" spans="1:34" ht="31.5">
      <c r="A296" s="356" t="s">
        <v>29</v>
      </c>
      <c r="B296" s="346" t="s">
        <v>720</v>
      </c>
      <c r="C296" s="356" t="s">
        <v>488</v>
      </c>
      <c r="D296" s="356"/>
      <c r="E296" s="378">
        <v>2015</v>
      </c>
      <c r="F296" s="378" t="s">
        <v>721</v>
      </c>
      <c r="G296" s="118">
        <v>315.97899999999998</v>
      </c>
      <c r="H296" s="118"/>
      <c r="I296" s="118"/>
      <c r="J296" s="118"/>
      <c r="K296" s="118">
        <v>315.97899999999998</v>
      </c>
      <c r="L296" s="118">
        <v>312.88499999999999</v>
      </c>
      <c r="M296" s="118"/>
      <c r="N296" s="118"/>
      <c r="O296" s="118">
        <v>312.88499999999999</v>
      </c>
      <c r="P296" s="118">
        <v>312.88499999999999</v>
      </c>
      <c r="Q296" s="118"/>
      <c r="R296" s="118"/>
      <c r="S296" s="118">
        <v>312.88499999999999</v>
      </c>
      <c r="T296" s="118">
        <v>320</v>
      </c>
      <c r="U296" s="118"/>
      <c r="V296" s="118"/>
      <c r="W296" s="118"/>
      <c r="X296" s="118">
        <v>320</v>
      </c>
      <c r="Y296" s="118">
        <v>312.88499999999999</v>
      </c>
      <c r="Z296" s="118"/>
      <c r="AA296" s="118"/>
      <c r="AB296" s="118"/>
      <c r="AC296" s="118">
        <v>312.88499999999999</v>
      </c>
      <c r="AD296" s="357">
        <f t="shared" si="15"/>
        <v>0.97776562499999997</v>
      </c>
      <c r="AE296" s="357"/>
      <c r="AF296" s="357"/>
      <c r="AG296" s="357"/>
      <c r="AH296" s="357">
        <f t="shared" si="14"/>
        <v>0.97776562499999997</v>
      </c>
    </row>
    <row r="297" spans="1:34" ht="31.5">
      <c r="A297" s="356" t="s">
        <v>29</v>
      </c>
      <c r="B297" s="346" t="s">
        <v>722</v>
      </c>
      <c r="C297" s="356" t="s">
        <v>296</v>
      </c>
      <c r="D297" s="356"/>
      <c r="E297" s="378">
        <v>2015</v>
      </c>
      <c r="F297" s="378" t="s">
        <v>723</v>
      </c>
      <c r="G297" s="118">
        <v>314.25200000000001</v>
      </c>
      <c r="H297" s="118"/>
      <c r="I297" s="118"/>
      <c r="J297" s="118"/>
      <c r="K297" s="118">
        <v>314.25200000000001</v>
      </c>
      <c r="L297" s="118">
        <v>314.25200000000001</v>
      </c>
      <c r="M297" s="118"/>
      <c r="N297" s="118"/>
      <c r="O297" s="118">
        <v>314.25200000000001</v>
      </c>
      <c r="P297" s="118">
        <v>314.25200000000001</v>
      </c>
      <c r="Q297" s="118"/>
      <c r="R297" s="118"/>
      <c r="S297" s="118">
        <v>314.25200000000001</v>
      </c>
      <c r="T297" s="118">
        <v>320</v>
      </c>
      <c r="U297" s="118"/>
      <c r="V297" s="118"/>
      <c r="W297" s="118"/>
      <c r="X297" s="118">
        <v>320</v>
      </c>
      <c r="Y297" s="118">
        <v>314.25200000000001</v>
      </c>
      <c r="Z297" s="118"/>
      <c r="AA297" s="118"/>
      <c r="AB297" s="118"/>
      <c r="AC297" s="118">
        <v>314.25200000000001</v>
      </c>
      <c r="AD297" s="357">
        <f t="shared" si="15"/>
        <v>0.98203750000000001</v>
      </c>
      <c r="AE297" s="357"/>
      <c r="AF297" s="357"/>
      <c r="AG297" s="357"/>
      <c r="AH297" s="357">
        <f t="shared" si="14"/>
        <v>0.98203750000000001</v>
      </c>
    </row>
    <row r="298" spans="1:34" ht="31.5">
      <c r="A298" s="356" t="s">
        <v>29</v>
      </c>
      <c r="B298" s="346" t="s">
        <v>724</v>
      </c>
      <c r="C298" s="356" t="s">
        <v>296</v>
      </c>
      <c r="D298" s="356"/>
      <c r="E298" s="378">
        <v>2015</v>
      </c>
      <c r="F298" s="378" t="s">
        <v>725</v>
      </c>
      <c r="G298" s="118">
        <v>311.56</v>
      </c>
      <c r="H298" s="118"/>
      <c r="I298" s="118"/>
      <c r="J298" s="118"/>
      <c r="K298" s="118">
        <v>311.56</v>
      </c>
      <c r="L298" s="118">
        <v>308.48500000000001</v>
      </c>
      <c r="M298" s="118"/>
      <c r="N298" s="118"/>
      <c r="O298" s="118">
        <v>308.48500000000001</v>
      </c>
      <c r="P298" s="118">
        <v>308.48500000000001</v>
      </c>
      <c r="Q298" s="118"/>
      <c r="R298" s="118"/>
      <c r="S298" s="118">
        <v>308.48500000000001</v>
      </c>
      <c r="T298" s="118">
        <v>320</v>
      </c>
      <c r="U298" s="118"/>
      <c r="V298" s="118"/>
      <c r="W298" s="118"/>
      <c r="X298" s="118">
        <v>320</v>
      </c>
      <c r="Y298" s="118">
        <v>308.48500000000001</v>
      </c>
      <c r="Z298" s="118"/>
      <c r="AA298" s="118"/>
      <c r="AB298" s="118"/>
      <c r="AC298" s="118">
        <v>308.48500000000001</v>
      </c>
      <c r="AD298" s="357">
        <f t="shared" si="15"/>
        <v>0.96401562500000004</v>
      </c>
      <c r="AE298" s="357"/>
      <c r="AF298" s="357"/>
      <c r="AG298" s="357"/>
      <c r="AH298" s="357">
        <f t="shared" si="14"/>
        <v>0.96401562500000004</v>
      </c>
    </row>
    <row r="299" spans="1:34" ht="31.5">
      <c r="A299" s="356" t="s">
        <v>29</v>
      </c>
      <c r="B299" s="346" t="s">
        <v>726</v>
      </c>
      <c r="C299" s="356" t="s">
        <v>488</v>
      </c>
      <c r="D299" s="356"/>
      <c r="E299" s="378">
        <v>2015</v>
      </c>
      <c r="F299" s="378" t="s">
        <v>727</v>
      </c>
      <c r="G299" s="118">
        <v>315.154</v>
      </c>
      <c r="H299" s="118"/>
      <c r="I299" s="118"/>
      <c r="J299" s="118"/>
      <c r="K299" s="118">
        <v>315.154</v>
      </c>
      <c r="L299" s="118">
        <v>315.08499999999998</v>
      </c>
      <c r="M299" s="118"/>
      <c r="N299" s="118"/>
      <c r="O299" s="118">
        <v>315.08499999999998</v>
      </c>
      <c r="P299" s="118">
        <v>315.08499999999998</v>
      </c>
      <c r="Q299" s="118"/>
      <c r="R299" s="118"/>
      <c r="S299" s="118">
        <v>315.08499999999998</v>
      </c>
      <c r="T299" s="118">
        <v>320</v>
      </c>
      <c r="U299" s="118"/>
      <c r="V299" s="118"/>
      <c r="W299" s="118"/>
      <c r="X299" s="118">
        <v>320</v>
      </c>
      <c r="Y299" s="118">
        <v>315.08499999999998</v>
      </c>
      <c r="Z299" s="118"/>
      <c r="AA299" s="118"/>
      <c r="AB299" s="118"/>
      <c r="AC299" s="118">
        <v>315.08499999999998</v>
      </c>
      <c r="AD299" s="357">
        <f t="shared" si="15"/>
        <v>0.98464062499999994</v>
      </c>
      <c r="AE299" s="357"/>
      <c r="AF299" s="357"/>
      <c r="AG299" s="357"/>
      <c r="AH299" s="357">
        <f t="shared" si="14"/>
        <v>0.98464062499999994</v>
      </c>
    </row>
    <row r="300" spans="1:34" ht="31.5">
      <c r="A300" s="356" t="s">
        <v>29</v>
      </c>
      <c r="B300" s="346" t="s">
        <v>728</v>
      </c>
      <c r="C300" s="356" t="s">
        <v>374</v>
      </c>
      <c r="D300" s="356"/>
      <c r="E300" s="378">
        <v>2015</v>
      </c>
      <c r="F300" s="378" t="s">
        <v>729</v>
      </c>
      <c r="G300" s="118">
        <v>315.97899999999998</v>
      </c>
      <c r="H300" s="118"/>
      <c r="I300" s="118"/>
      <c r="J300" s="118"/>
      <c r="K300" s="118">
        <v>315.97899999999998</v>
      </c>
      <c r="L300" s="118">
        <v>311.40199999999999</v>
      </c>
      <c r="M300" s="118"/>
      <c r="N300" s="118"/>
      <c r="O300" s="118">
        <v>311.40199999999999</v>
      </c>
      <c r="P300" s="118">
        <v>311.40199999999999</v>
      </c>
      <c r="Q300" s="118"/>
      <c r="R300" s="118"/>
      <c r="S300" s="118">
        <v>311.40199999999999</v>
      </c>
      <c r="T300" s="118">
        <v>320</v>
      </c>
      <c r="U300" s="118"/>
      <c r="V300" s="118"/>
      <c r="W300" s="118"/>
      <c r="X300" s="118">
        <v>320</v>
      </c>
      <c r="Y300" s="118">
        <v>311.40199999999999</v>
      </c>
      <c r="Z300" s="118"/>
      <c r="AA300" s="118"/>
      <c r="AB300" s="118"/>
      <c r="AC300" s="118">
        <v>311.40199999999999</v>
      </c>
      <c r="AD300" s="357">
        <f t="shared" si="15"/>
        <v>0.97313125</v>
      </c>
      <c r="AE300" s="357"/>
      <c r="AF300" s="357"/>
      <c r="AG300" s="357"/>
      <c r="AH300" s="357">
        <f t="shared" si="14"/>
        <v>0.97313125</v>
      </c>
    </row>
    <row r="301" spans="1:34" ht="31.5">
      <c r="A301" s="356" t="s">
        <v>29</v>
      </c>
      <c r="B301" s="346" t="s">
        <v>730</v>
      </c>
      <c r="C301" s="356" t="s">
        <v>374</v>
      </c>
      <c r="D301" s="356"/>
      <c r="E301" s="378">
        <v>2015</v>
      </c>
      <c r="F301" s="378" t="s">
        <v>731</v>
      </c>
      <c r="G301" s="118">
        <v>315.125</v>
      </c>
      <c r="H301" s="118"/>
      <c r="I301" s="118"/>
      <c r="J301" s="118"/>
      <c r="K301" s="118">
        <v>315.125</v>
      </c>
      <c r="L301" s="118">
        <v>312.07100000000003</v>
      </c>
      <c r="M301" s="118"/>
      <c r="N301" s="118"/>
      <c r="O301" s="118">
        <v>312.07100000000003</v>
      </c>
      <c r="P301" s="118">
        <v>312.07100000000003</v>
      </c>
      <c r="Q301" s="118"/>
      <c r="R301" s="118"/>
      <c r="S301" s="118">
        <v>312.07100000000003</v>
      </c>
      <c r="T301" s="118">
        <v>320</v>
      </c>
      <c r="U301" s="118"/>
      <c r="V301" s="118"/>
      <c r="W301" s="118"/>
      <c r="X301" s="118">
        <v>320</v>
      </c>
      <c r="Y301" s="118">
        <v>312.07100000000003</v>
      </c>
      <c r="Z301" s="118"/>
      <c r="AA301" s="118"/>
      <c r="AB301" s="118"/>
      <c r="AC301" s="118">
        <v>312.07100000000003</v>
      </c>
      <c r="AD301" s="357">
        <f t="shared" si="15"/>
        <v>0.97522187500000013</v>
      </c>
      <c r="AE301" s="357"/>
      <c r="AF301" s="357"/>
      <c r="AG301" s="357"/>
      <c r="AH301" s="357">
        <f t="shared" si="14"/>
        <v>0.97522187500000013</v>
      </c>
    </row>
    <row r="302" spans="1:34" ht="31.5">
      <c r="A302" s="356" t="s">
        <v>29</v>
      </c>
      <c r="B302" s="346" t="s">
        <v>732</v>
      </c>
      <c r="C302" s="356" t="s">
        <v>321</v>
      </c>
      <c r="D302" s="356"/>
      <c r="E302" s="378">
        <v>2015</v>
      </c>
      <c r="F302" s="378" t="s">
        <v>733</v>
      </c>
      <c r="G302" s="118">
        <v>318.40600000000001</v>
      </c>
      <c r="H302" s="118"/>
      <c r="I302" s="118"/>
      <c r="J302" s="118"/>
      <c r="K302" s="118">
        <v>318.40600000000001</v>
      </c>
      <c r="L302" s="118">
        <v>297.49200000000002</v>
      </c>
      <c r="M302" s="118"/>
      <c r="N302" s="118"/>
      <c r="O302" s="118">
        <v>297.49200000000002</v>
      </c>
      <c r="P302" s="118">
        <v>297.49200000000002</v>
      </c>
      <c r="Q302" s="118"/>
      <c r="R302" s="118"/>
      <c r="S302" s="118">
        <v>297.49200000000002</v>
      </c>
      <c r="T302" s="118">
        <v>320</v>
      </c>
      <c r="U302" s="118"/>
      <c r="V302" s="118"/>
      <c r="W302" s="118"/>
      <c r="X302" s="118">
        <v>320</v>
      </c>
      <c r="Y302" s="118">
        <v>297.49200000000002</v>
      </c>
      <c r="Z302" s="118"/>
      <c r="AA302" s="118"/>
      <c r="AB302" s="118"/>
      <c r="AC302" s="118">
        <v>297.49200000000002</v>
      </c>
      <c r="AD302" s="357">
        <f t="shared" si="15"/>
        <v>0.92966250000000006</v>
      </c>
      <c r="AE302" s="357"/>
      <c r="AF302" s="357"/>
      <c r="AG302" s="357"/>
      <c r="AH302" s="357">
        <f t="shared" si="14"/>
        <v>0.92966250000000006</v>
      </c>
    </row>
    <row r="303" spans="1:34" ht="31.5">
      <c r="A303" s="356" t="s">
        <v>29</v>
      </c>
      <c r="B303" s="346" t="s">
        <v>734</v>
      </c>
      <c r="C303" s="356" t="s">
        <v>321</v>
      </c>
      <c r="D303" s="356"/>
      <c r="E303" s="378">
        <v>2015</v>
      </c>
      <c r="F303" s="378" t="s">
        <v>735</v>
      </c>
      <c r="G303" s="118">
        <v>318.47899999999998</v>
      </c>
      <c r="H303" s="118"/>
      <c r="I303" s="118"/>
      <c r="J303" s="118"/>
      <c r="K303" s="118">
        <v>318.47899999999998</v>
      </c>
      <c r="L303" s="118">
        <v>297.59399999999999</v>
      </c>
      <c r="M303" s="118"/>
      <c r="N303" s="118"/>
      <c r="O303" s="118">
        <v>297.59399999999999</v>
      </c>
      <c r="P303" s="118">
        <v>297.59399999999999</v>
      </c>
      <c r="Q303" s="118"/>
      <c r="R303" s="118"/>
      <c r="S303" s="118">
        <v>297.59399999999999</v>
      </c>
      <c r="T303" s="118">
        <v>320</v>
      </c>
      <c r="U303" s="118"/>
      <c r="V303" s="118"/>
      <c r="W303" s="118"/>
      <c r="X303" s="118">
        <v>320</v>
      </c>
      <c r="Y303" s="118">
        <v>297.59399999999999</v>
      </c>
      <c r="Z303" s="118"/>
      <c r="AA303" s="118"/>
      <c r="AB303" s="118"/>
      <c r="AC303" s="118">
        <v>297.59399999999999</v>
      </c>
      <c r="AD303" s="357">
        <f t="shared" si="15"/>
        <v>0.92998124999999998</v>
      </c>
      <c r="AE303" s="357"/>
      <c r="AF303" s="357"/>
      <c r="AG303" s="357"/>
      <c r="AH303" s="357">
        <f t="shared" si="14"/>
        <v>0.92998124999999998</v>
      </c>
    </row>
    <row r="304" spans="1:34" ht="31.5">
      <c r="A304" s="356" t="s">
        <v>29</v>
      </c>
      <c r="B304" s="346" t="s">
        <v>736</v>
      </c>
      <c r="C304" s="356" t="s">
        <v>299</v>
      </c>
      <c r="D304" s="356"/>
      <c r="E304" s="378">
        <v>2015</v>
      </c>
      <c r="F304" s="378" t="s">
        <v>737</v>
      </c>
      <c r="G304" s="118">
        <v>310.82400000000001</v>
      </c>
      <c r="H304" s="118"/>
      <c r="I304" s="118"/>
      <c r="J304" s="118"/>
      <c r="K304" s="118">
        <v>310.82400000000001</v>
      </c>
      <c r="L304" s="118">
        <v>307.81200000000001</v>
      </c>
      <c r="M304" s="118"/>
      <c r="N304" s="118"/>
      <c r="O304" s="118">
        <v>307.81200000000001</v>
      </c>
      <c r="P304" s="118">
        <v>307.81200000000001</v>
      </c>
      <c r="Q304" s="118"/>
      <c r="R304" s="118"/>
      <c r="S304" s="118">
        <v>307.81200000000001</v>
      </c>
      <c r="T304" s="118">
        <v>320</v>
      </c>
      <c r="U304" s="118"/>
      <c r="V304" s="118"/>
      <c r="W304" s="118"/>
      <c r="X304" s="118">
        <v>320</v>
      </c>
      <c r="Y304" s="118">
        <v>307.81200000000001</v>
      </c>
      <c r="Z304" s="118"/>
      <c r="AA304" s="118"/>
      <c r="AB304" s="118"/>
      <c r="AC304" s="118">
        <v>307.81200000000001</v>
      </c>
      <c r="AD304" s="357">
        <f t="shared" si="15"/>
        <v>0.96191250000000006</v>
      </c>
      <c r="AE304" s="357"/>
      <c r="AF304" s="357"/>
      <c r="AG304" s="357"/>
      <c r="AH304" s="357">
        <f t="shared" si="14"/>
        <v>0.96191250000000006</v>
      </c>
    </row>
    <row r="305" spans="1:35" s="355" customFormat="1">
      <c r="A305" s="343">
        <v>52</v>
      </c>
      <c r="B305" s="344" t="s">
        <v>189</v>
      </c>
      <c r="C305" s="343"/>
      <c r="D305" s="343"/>
      <c r="E305" s="366"/>
      <c r="F305" s="366"/>
      <c r="G305" s="354"/>
      <c r="H305" s="354"/>
      <c r="I305" s="354"/>
      <c r="J305" s="354"/>
      <c r="K305" s="354"/>
      <c r="L305" s="354"/>
      <c r="M305" s="354"/>
      <c r="N305" s="354"/>
      <c r="O305" s="354"/>
      <c r="P305" s="354"/>
      <c r="Q305" s="354"/>
      <c r="R305" s="354"/>
      <c r="S305" s="354"/>
      <c r="T305" s="354"/>
      <c r="U305" s="354"/>
      <c r="V305" s="354"/>
      <c r="W305" s="354"/>
      <c r="X305" s="354"/>
      <c r="Y305" s="354"/>
      <c r="Z305" s="354"/>
      <c r="AA305" s="354"/>
      <c r="AB305" s="354"/>
      <c r="AC305" s="354"/>
      <c r="AD305" s="357"/>
      <c r="AE305" s="357"/>
      <c r="AF305" s="357"/>
      <c r="AG305" s="357"/>
      <c r="AH305" s="357"/>
    </row>
    <row r="306" spans="1:35" ht="47.25">
      <c r="A306" s="356" t="s">
        <v>29</v>
      </c>
      <c r="B306" s="346" t="s">
        <v>738</v>
      </c>
      <c r="C306" s="356" t="s">
        <v>296</v>
      </c>
      <c r="D306" s="356"/>
      <c r="E306" s="378" t="s">
        <v>483</v>
      </c>
      <c r="F306" s="378" t="s">
        <v>739</v>
      </c>
      <c r="G306" s="118">
        <v>522506</v>
      </c>
      <c r="H306" s="118"/>
      <c r="I306" s="118">
        <v>445170</v>
      </c>
      <c r="J306" s="118"/>
      <c r="K306" s="118">
        <v>77336</v>
      </c>
      <c r="L306" s="118">
        <v>490079</v>
      </c>
      <c r="M306" s="118"/>
      <c r="N306" s="118">
        <v>445170</v>
      </c>
      <c r="O306" s="118">
        <v>44909</v>
      </c>
      <c r="P306" s="118">
        <v>490079</v>
      </c>
      <c r="Q306" s="118"/>
      <c r="R306" s="118">
        <v>445170</v>
      </c>
      <c r="S306" s="118">
        <v>44909</v>
      </c>
      <c r="T306" s="118">
        <v>44908.58</v>
      </c>
      <c r="U306" s="118"/>
      <c r="V306" s="118"/>
      <c r="W306" s="118"/>
      <c r="X306" s="118">
        <v>44908.58</v>
      </c>
      <c r="Y306" s="118">
        <v>43291.387863999997</v>
      </c>
      <c r="Z306" s="118"/>
      <c r="AA306" s="118"/>
      <c r="AB306" s="118"/>
      <c r="AC306" s="118">
        <v>43291.387863999997</v>
      </c>
      <c r="AD306" s="357">
        <f t="shared" si="15"/>
        <v>0.96398923911644485</v>
      </c>
      <c r="AE306" s="357"/>
      <c r="AF306" s="357"/>
      <c r="AG306" s="357"/>
      <c r="AH306" s="357">
        <f t="shared" ref="AH306:AH317" si="16">AC306/X306</f>
        <v>0.96398923911644485</v>
      </c>
    </row>
    <row r="307" spans="1:35" ht="47.25">
      <c r="A307" s="356" t="s">
        <v>29</v>
      </c>
      <c r="B307" s="346" t="s">
        <v>740</v>
      </c>
      <c r="C307" s="356" t="s">
        <v>439</v>
      </c>
      <c r="D307" s="356"/>
      <c r="E307" s="378" t="s">
        <v>248</v>
      </c>
      <c r="F307" s="378" t="s">
        <v>741</v>
      </c>
      <c r="G307" s="118">
        <v>125376</v>
      </c>
      <c r="H307" s="118"/>
      <c r="I307" s="118"/>
      <c r="J307" s="118"/>
      <c r="K307" s="118">
        <v>125376</v>
      </c>
      <c r="L307" s="118">
        <v>124575</v>
      </c>
      <c r="M307" s="118"/>
      <c r="N307" s="118"/>
      <c r="O307" s="118">
        <v>124575</v>
      </c>
      <c r="P307" s="118">
        <v>108000</v>
      </c>
      <c r="Q307" s="118"/>
      <c r="R307" s="118"/>
      <c r="S307" s="118">
        <v>108000</v>
      </c>
      <c r="T307" s="118">
        <v>28007.97</v>
      </c>
      <c r="U307" s="118"/>
      <c r="V307" s="118"/>
      <c r="W307" s="118"/>
      <c r="X307" s="118">
        <v>28007.97</v>
      </c>
      <c r="Y307" s="118">
        <v>25913.773000000001</v>
      </c>
      <c r="Z307" s="118"/>
      <c r="AA307" s="118"/>
      <c r="AB307" s="118"/>
      <c r="AC307" s="118">
        <v>25913.773000000001</v>
      </c>
      <c r="AD307" s="357">
        <f t="shared" si="15"/>
        <v>0.92522853316395293</v>
      </c>
      <c r="AE307" s="357"/>
      <c r="AF307" s="357"/>
      <c r="AG307" s="357"/>
      <c r="AH307" s="357">
        <f t="shared" si="16"/>
        <v>0.92522853316395293</v>
      </c>
    </row>
    <row r="308" spans="1:35" ht="31.5">
      <c r="A308" s="356" t="s">
        <v>29</v>
      </c>
      <c r="B308" s="346" t="s">
        <v>742</v>
      </c>
      <c r="C308" s="356" t="s">
        <v>439</v>
      </c>
      <c r="D308" s="356"/>
      <c r="E308" s="378" t="s">
        <v>235</v>
      </c>
      <c r="F308" s="378" t="s">
        <v>743</v>
      </c>
      <c r="G308" s="118">
        <v>175870</v>
      </c>
      <c r="H308" s="118"/>
      <c r="I308" s="118">
        <v>100000</v>
      </c>
      <c r="J308" s="118"/>
      <c r="K308" s="118">
        <v>75870</v>
      </c>
      <c r="L308" s="118">
        <v>149441</v>
      </c>
      <c r="M308" s="118"/>
      <c r="N308" s="118">
        <v>100000</v>
      </c>
      <c r="O308" s="118">
        <v>49441</v>
      </c>
      <c r="P308" s="118">
        <v>148904</v>
      </c>
      <c r="Q308" s="118"/>
      <c r="R308" s="118">
        <v>100000</v>
      </c>
      <c r="S308" s="118">
        <v>48904</v>
      </c>
      <c r="T308" s="118">
        <v>1054.4359999999999</v>
      </c>
      <c r="U308" s="118"/>
      <c r="V308" s="118"/>
      <c r="W308" s="118"/>
      <c r="X308" s="118">
        <v>1054.4359999999999</v>
      </c>
      <c r="Y308" s="118">
        <v>1054.4359999999999</v>
      </c>
      <c r="Z308" s="118"/>
      <c r="AA308" s="118"/>
      <c r="AB308" s="118"/>
      <c r="AC308" s="118">
        <v>1054.4359999999999</v>
      </c>
      <c r="AD308" s="357">
        <f t="shared" si="15"/>
        <v>1</v>
      </c>
      <c r="AE308" s="357"/>
      <c r="AF308" s="357"/>
      <c r="AG308" s="357"/>
      <c r="AH308" s="357">
        <f t="shared" si="16"/>
        <v>1</v>
      </c>
    </row>
    <row r="309" spans="1:35" ht="31.5">
      <c r="A309" s="356" t="s">
        <v>29</v>
      </c>
      <c r="B309" s="346" t="s">
        <v>744</v>
      </c>
      <c r="C309" s="356"/>
      <c r="D309" s="356"/>
      <c r="E309" s="378"/>
      <c r="F309" s="378"/>
      <c r="G309" s="118">
        <v>1816</v>
      </c>
      <c r="H309" s="118"/>
      <c r="I309" s="118"/>
      <c r="J309" s="118"/>
      <c r="K309" s="118">
        <v>1816</v>
      </c>
      <c r="L309" s="118"/>
      <c r="M309" s="118"/>
      <c r="N309" s="118"/>
      <c r="O309" s="118"/>
      <c r="P309" s="118"/>
      <c r="Q309" s="118"/>
      <c r="R309" s="118"/>
      <c r="S309" s="118"/>
      <c r="T309" s="118">
        <v>98.075000000000003</v>
      </c>
      <c r="U309" s="118"/>
      <c r="V309" s="118"/>
      <c r="W309" s="118"/>
      <c r="X309" s="118">
        <v>98.075000000000003</v>
      </c>
      <c r="Y309" s="118">
        <v>0</v>
      </c>
      <c r="Z309" s="118"/>
      <c r="AA309" s="118"/>
      <c r="AB309" s="118"/>
      <c r="AC309" s="118"/>
      <c r="AD309" s="357">
        <f t="shared" si="15"/>
        <v>0</v>
      </c>
      <c r="AE309" s="357"/>
      <c r="AF309" s="357"/>
      <c r="AG309" s="357"/>
      <c r="AH309" s="357">
        <f t="shared" si="16"/>
        <v>0</v>
      </c>
    </row>
    <row r="310" spans="1:35" ht="63">
      <c r="A310" s="356" t="s">
        <v>29</v>
      </c>
      <c r="B310" s="346" t="s">
        <v>745</v>
      </c>
      <c r="C310" s="356"/>
      <c r="D310" s="356"/>
      <c r="E310" s="378"/>
      <c r="F310" s="378"/>
      <c r="G310" s="118">
        <v>14080</v>
      </c>
      <c r="H310" s="118"/>
      <c r="I310" s="118"/>
      <c r="J310" s="118"/>
      <c r="K310" s="118">
        <v>14080</v>
      </c>
      <c r="L310" s="118"/>
      <c r="M310" s="118"/>
      <c r="N310" s="118"/>
      <c r="O310" s="118"/>
      <c r="P310" s="118"/>
      <c r="Q310" s="118"/>
      <c r="R310" s="118"/>
      <c r="S310" s="118"/>
      <c r="T310" s="118">
        <v>15.15</v>
      </c>
      <c r="U310" s="118"/>
      <c r="V310" s="118"/>
      <c r="W310" s="118"/>
      <c r="X310" s="118">
        <v>15.15</v>
      </c>
      <c r="Y310" s="118">
        <v>15.15</v>
      </c>
      <c r="Z310" s="118"/>
      <c r="AA310" s="118"/>
      <c r="AB310" s="118"/>
      <c r="AC310" s="118">
        <v>15.15</v>
      </c>
      <c r="AD310" s="357">
        <f t="shared" si="15"/>
        <v>1</v>
      </c>
      <c r="AE310" s="357"/>
      <c r="AF310" s="357"/>
      <c r="AG310" s="357"/>
      <c r="AH310" s="357">
        <f t="shared" si="16"/>
        <v>1</v>
      </c>
    </row>
    <row r="311" spans="1:35" ht="47.25">
      <c r="A311" s="356" t="s">
        <v>29</v>
      </c>
      <c r="B311" s="346" t="s">
        <v>746</v>
      </c>
      <c r="C311" s="356" t="s">
        <v>408</v>
      </c>
      <c r="D311" s="356"/>
      <c r="E311" s="378">
        <v>2015</v>
      </c>
      <c r="F311" s="378" t="s">
        <v>747</v>
      </c>
      <c r="G311" s="118">
        <v>9113</v>
      </c>
      <c r="H311" s="118"/>
      <c r="I311" s="118"/>
      <c r="J311" s="118"/>
      <c r="K311" s="118">
        <v>9113</v>
      </c>
      <c r="L311" s="118">
        <v>8059</v>
      </c>
      <c r="M311" s="118"/>
      <c r="N311" s="118"/>
      <c r="O311" s="118">
        <v>8059</v>
      </c>
      <c r="P311" s="118">
        <v>8059</v>
      </c>
      <c r="Q311" s="118"/>
      <c r="R311" s="118"/>
      <c r="S311" s="118">
        <v>8059</v>
      </c>
      <c r="T311" s="118">
        <v>1074.7650000000001</v>
      </c>
      <c r="U311" s="118"/>
      <c r="V311" s="118"/>
      <c r="W311" s="118"/>
      <c r="X311" s="118">
        <v>1074.7650000000001</v>
      </c>
      <c r="Y311" s="118">
        <v>1074.7650000000001</v>
      </c>
      <c r="Z311" s="118"/>
      <c r="AA311" s="118"/>
      <c r="AB311" s="118"/>
      <c r="AC311" s="118">
        <v>1074.7650000000001</v>
      </c>
      <c r="AD311" s="357">
        <f t="shared" si="15"/>
        <v>1</v>
      </c>
      <c r="AE311" s="357"/>
      <c r="AF311" s="357"/>
      <c r="AG311" s="357"/>
      <c r="AH311" s="357">
        <f t="shared" si="16"/>
        <v>1</v>
      </c>
    </row>
    <row r="312" spans="1:35" ht="63">
      <c r="A312" s="356" t="s">
        <v>29</v>
      </c>
      <c r="B312" s="346" t="s">
        <v>748</v>
      </c>
      <c r="C312" s="356" t="s">
        <v>488</v>
      </c>
      <c r="D312" s="356"/>
      <c r="E312" s="378" t="s">
        <v>293</v>
      </c>
      <c r="F312" s="378" t="s">
        <v>749</v>
      </c>
      <c r="G312" s="118">
        <v>80466</v>
      </c>
      <c r="H312" s="118"/>
      <c r="I312" s="118">
        <v>30000</v>
      </c>
      <c r="J312" s="118"/>
      <c r="K312" s="118">
        <v>50466</v>
      </c>
      <c r="L312" s="118">
        <v>53987</v>
      </c>
      <c r="M312" s="118"/>
      <c r="N312" s="118"/>
      <c r="O312" s="118"/>
      <c r="P312" s="118">
        <v>51583</v>
      </c>
      <c r="Q312" s="118"/>
      <c r="R312" s="118">
        <v>7000</v>
      </c>
      <c r="S312" s="118">
        <v>44583</v>
      </c>
      <c r="T312" s="118">
        <v>44552.478251</v>
      </c>
      <c r="U312" s="118"/>
      <c r="V312" s="118">
        <v>5225</v>
      </c>
      <c r="W312" s="118"/>
      <c r="X312" s="118">
        <f>T312-V312</f>
        <v>39327.478251</v>
      </c>
      <c r="Y312" s="118">
        <v>42791.744554999997</v>
      </c>
      <c r="Z312" s="118"/>
      <c r="AA312" s="118">
        <v>5225</v>
      </c>
      <c r="AB312" s="118"/>
      <c r="AC312" s="118">
        <v>37566.744554999997</v>
      </c>
      <c r="AD312" s="357">
        <f t="shared" si="15"/>
        <v>0.96047955657864037</v>
      </c>
      <c r="AE312" s="357"/>
      <c r="AF312" s="357">
        <f t="shared" si="15"/>
        <v>1</v>
      </c>
      <c r="AG312" s="357"/>
      <c r="AH312" s="357">
        <f t="shared" si="16"/>
        <v>0.95522891946535549</v>
      </c>
    </row>
    <row r="313" spans="1:35" ht="78.75">
      <c r="A313" s="356" t="s">
        <v>29</v>
      </c>
      <c r="B313" s="346" t="s">
        <v>750</v>
      </c>
      <c r="C313" s="356" t="s">
        <v>488</v>
      </c>
      <c r="D313" s="356"/>
      <c r="E313" s="378" t="s">
        <v>230</v>
      </c>
      <c r="F313" s="378" t="s">
        <v>751</v>
      </c>
      <c r="G313" s="118">
        <v>80157</v>
      </c>
      <c r="H313" s="118"/>
      <c r="I313" s="118">
        <v>30000</v>
      </c>
      <c r="J313" s="118"/>
      <c r="K313" s="118">
        <v>50157</v>
      </c>
      <c r="L313" s="118">
        <v>56401</v>
      </c>
      <c r="M313" s="118"/>
      <c r="N313" s="118"/>
      <c r="O313" s="118"/>
      <c r="P313" s="118">
        <v>54440</v>
      </c>
      <c r="Q313" s="118"/>
      <c r="R313" s="118">
        <v>7000</v>
      </c>
      <c r="S313" s="118">
        <v>47440</v>
      </c>
      <c r="T313" s="118">
        <v>46195.336619000002</v>
      </c>
      <c r="U313" s="118"/>
      <c r="V313" s="118">
        <f>406.585919+4838.414081</f>
        <v>5245</v>
      </c>
      <c r="W313" s="118"/>
      <c r="X313" s="118">
        <f>T313-V313</f>
        <v>40950.336619000002</v>
      </c>
      <c r="Y313" s="118">
        <v>33514.444132999997</v>
      </c>
      <c r="Z313" s="118"/>
      <c r="AA313" s="118">
        <v>406.58591899999999</v>
      </c>
      <c r="AB313" s="118"/>
      <c r="AC313" s="118">
        <v>33107.858214</v>
      </c>
      <c r="AD313" s="357">
        <f t="shared" si="15"/>
        <v>0.72549409931598174</v>
      </c>
      <c r="AE313" s="357"/>
      <c r="AF313" s="357">
        <f t="shared" si="15"/>
        <v>7.7518764346997143E-2</v>
      </c>
      <c r="AG313" s="357"/>
      <c r="AH313" s="357">
        <f t="shared" si="16"/>
        <v>0.80848806011129892</v>
      </c>
    </row>
    <row r="314" spans="1:35" ht="63">
      <c r="A314" s="356" t="s">
        <v>29</v>
      </c>
      <c r="B314" s="346" t="s">
        <v>752</v>
      </c>
      <c r="C314" s="356" t="s">
        <v>277</v>
      </c>
      <c r="D314" s="356"/>
      <c r="E314" s="378" t="s">
        <v>230</v>
      </c>
      <c r="F314" s="378" t="s">
        <v>753</v>
      </c>
      <c r="G314" s="118">
        <v>119467</v>
      </c>
      <c r="H314" s="118"/>
      <c r="I314" s="118">
        <v>119467</v>
      </c>
      <c r="J314" s="118"/>
      <c r="K314" s="118"/>
      <c r="L314" s="118">
        <v>69767</v>
      </c>
      <c r="M314" s="118"/>
      <c r="N314" s="118"/>
      <c r="O314" s="118"/>
      <c r="P314" s="118">
        <v>57243</v>
      </c>
      <c r="Q314" s="118"/>
      <c r="R314" s="118">
        <v>19803</v>
      </c>
      <c r="S314" s="118">
        <v>37440</v>
      </c>
      <c r="T314" s="118">
        <v>20230.006000000001</v>
      </c>
      <c r="U314" s="118"/>
      <c r="V314" s="118">
        <f>17543.1+775</f>
        <v>18318.099999999999</v>
      </c>
      <c r="W314" s="118"/>
      <c r="X314" s="118">
        <f>T314-V314</f>
        <v>1911.9060000000027</v>
      </c>
      <c r="Y314" s="118">
        <v>19195.543000000001</v>
      </c>
      <c r="Z314" s="118"/>
      <c r="AA314" s="118">
        <v>17543.099999999999</v>
      </c>
      <c r="AB314" s="118"/>
      <c r="AC314" s="118">
        <v>1652.4430000000029</v>
      </c>
      <c r="AD314" s="357">
        <f t="shared" si="15"/>
        <v>0.94886491877461632</v>
      </c>
      <c r="AE314" s="357"/>
      <c r="AF314" s="357">
        <f t="shared" si="15"/>
        <v>0.95769211872410343</v>
      </c>
      <c r="AG314" s="357"/>
      <c r="AH314" s="357">
        <f t="shared" si="16"/>
        <v>0.86429092225245419</v>
      </c>
    </row>
    <row r="315" spans="1:35" ht="63">
      <c r="A315" s="356" t="s">
        <v>29</v>
      </c>
      <c r="B315" s="346" t="s">
        <v>754</v>
      </c>
      <c r="C315" s="356" t="s">
        <v>488</v>
      </c>
      <c r="D315" s="356"/>
      <c r="E315" s="378" t="s">
        <v>230</v>
      </c>
      <c r="F315" s="378" t="s">
        <v>755</v>
      </c>
      <c r="G315" s="118">
        <v>193725</v>
      </c>
      <c r="H315" s="118"/>
      <c r="I315" s="118">
        <v>70000</v>
      </c>
      <c r="J315" s="118"/>
      <c r="K315" s="118">
        <v>123725</v>
      </c>
      <c r="L315" s="118">
        <v>90954</v>
      </c>
      <c r="M315" s="118"/>
      <c r="N315" s="118"/>
      <c r="O315" s="118"/>
      <c r="P315" s="118">
        <v>89116</v>
      </c>
      <c r="Q315" s="118"/>
      <c r="R315" s="118">
        <v>7000</v>
      </c>
      <c r="S315" s="118">
        <v>82116</v>
      </c>
      <c r="T315" s="118">
        <v>77918.728163000007</v>
      </c>
      <c r="U315" s="118"/>
      <c r="V315" s="118">
        <v>5000</v>
      </c>
      <c r="W315" s="118"/>
      <c r="X315" s="118">
        <f>T315-V315</f>
        <v>72918.728163000007</v>
      </c>
      <c r="Y315" s="118">
        <v>58403.943614000003</v>
      </c>
      <c r="Z315" s="118"/>
      <c r="AA315" s="118">
        <v>2288.1436349999999</v>
      </c>
      <c r="AB315" s="118"/>
      <c r="AC315" s="118">
        <v>56115.799979000003</v>
      </c>
      <c r="AD315" s="357">
        <f t="shared" si="15"/>
        <v>0.7495494984443718</v>
      </c>
      <c r="AE315" s="357"/>
      <c r="AF315" s="357">
        <f t="shared" si="15"/>
        <v>0.45762872699999996</v>
      </c>
      <c r="AG315" s="357"/>
      <c r="AH315" s="357">
        <f t="shared" si="16"/>
        <v>0.76956635685637143</v>
      </c>
    </row>
    <row r="316" spans="1:35" ht="63">
      <c r="A316" s="356" t="s">
        <v>29</v>
      </c>
      <c r="B316" s="346" t="s">
        <v>756</v>
      </c>
      <c r="C316" s="356" t="s">
        <v>296</v>
      </c>
      <c r="D316" s="356"/>
      <c r="E316" s="378" t="s">
        <v>757</v>
      </c>
      <c r="F316" s="378" t="s">
        <v>758</v>
      </c>
      <c r="G316" s="118">
        <v>268297</v>
      </c>
      <c r="H316" s="118"/>
      <c r="I316" s="118">
        <v>150000</v>
      </c>
      <c r="J316" s="118"/>
      <c r="K316" s="118">
        <v>118297</v>
      </c>
      <c r="L316" s="118">
        <v>237092</v>
      </c>
      <c r="M316" s="118"/>
      <c r="N316" s="118"/>
      <c r="O316" s="118"/>
      <c r="P316" s="118">
        <v>225120</v>
      </c>
      <c r="Q316" s="118"/>
      <c r="R316" s="118"/>
      <c r="S316" s="118">
        <v>225120</v>
      </c>
      <c r="T316" s="118">
        <v>203646.79816899999</v>
      </c>
      <c r="U316" s="118"/>
      <c r="V316" s="118"/>
      <c r="W316" s="118"/>
      <c r="X316" s="118">
        <v>203646.79816899999</v>
      </c>
      <c r="Y316" s="118">
        <v>189056.36337000001</v>
      </c>
      <c r="Z316" s="118"/>
      <c r="AA316" s="118"/>
      <c r="AB316" s="118"/>
      <c r="AC316" s="118">
        <v>189056.36337000001</v>
      </c>
      <c r="AD316" s="357">
        <f t="shared" si="15"/>
        <v>0.92835421460006529</v>
      </c>
      <c r="AE316" s="357"/>
      <c r="AF316" s="357"/>
      <c r="AG316" s="357"/>
      <c r="AH316" s="357">
        <f t="shared" si="16"/>
        <v>0.92835421460006529</v>
      </c>
    </row>
    <row r="317" spans="1:35" s="361" customFormat="1" ht="63">
      <c r="A317" s="358" t="s">
        <v>29</v>
      </c>
      <c r="B317" s="347" t="s">
        <v>759</v>
      </c>
      <c r="C317" s="358" t="s">
        <v>363</v>
      </c>
      <c r="D317" s="358"/>
      <c r="E317" s="379" t="s">
        <v>757</v>
      </c>
      <c r="F317" s="379" t="s">
        <v>760</v>
      </c>
      <c r="G317" s="279">
        <v>185733</v>
      </c>
      <c r="H317" s="279"/>
      <c r="I317" s="279">
        <v>110000</v>
      </c>
      <c r="J317" s="279"/>
      <c r="K317" s="279">
        <v>75733</v>
      </c>
      <c r="L317" s="279">
        <v>97929</v>
      </c>
      <c r="M317" s="279"/>
      <c r="N317" s="279"/>
      <c r="O317" s="279"/>
      <c r="P317" s="279">
        <v>79235</v>
      </c>
      <c r="Q317" s="279"/>
      <c r="R317" s="279">
        <f>+V317</f>
        <v>13098.144</v>
      </c>
      <c r="S317" s="279">
        <f>+P317-R317</f>
        <v>66136.856</v>
      </c>
      <c r="T317" s="279">
        <v>31618.910500000002</v>
      </c>
      <c r="U317" s="279"/>
      <c r="V317" s="279">
        <f>9589.638+3508.506</f>
        <v>13098.144</v>
      </c>
      <c r="W317" s="279"/>
      <c r="X317" s="279">
        <f>T317-V317</f>
        <v>18520.766500000002</v>
      </c>
      <c r="Y317" s="279">
        <v>30832.734</v>
      </c>
      <c r="Z317" s="279"/>
      <c r="AA317" s="279">
        <f>9589.638+3016.972</f>
        <v>12606.61</v>
      </c>
      <c r="AB317" s="279"/>
      <c r="AC317" s="279">
        <f>21243.096-3016.972</f>
        <v>18226.124</v>
      </c>
      <c r="AD317" s="359">
        <f t="shared" si="15"/>
        <v>0.97513587636107824</v>
      </c>
      <c r="AE317" s="359"/>
      <c r="AF317" s="359">
        <f t="shared" si="15"/>
        <v>0.96247300380878398</v>
      </c>
      <c r="AG317" s="359"/>
      <c r="AH317" s="359">
        <f t="shared" si="16"/>
        <v>0.98409123618074867</v>
      </c>
      <c r="AI317" s="360">
        <f>+V317-AA317</f>
        <v>491.53399999999965</v>
      </c>
    </row>
    <row r="318" spans="1:35" ht="30">
      <c r="A318" s="356" t="s">
        <v>29</v>
      </c>
      <c r="B318" s="346" t="s">
        <v>761</v>
      </c>
      <c r="C318" s="356" t="s">
        <v>408</v>
      </c>
      <c r="D318" s="356"/>
      <c r="E318" s="378" t="s">
        <v>762</v>
      </c>
      <c r="F318" s="378" t="s">
        <v>763</v>
      </c>
      <c r="G318" s="118">
        <v>1399000</v>
      </c>
      <c r="H318" s="118"/>
      <c r="I318" s="118"/>
      <c r="J318" s="118">
        <v>1399000</v>
      </c>
      <c r="K318" s="118"/>
      <c r="L318" s="118">
        <v>1396233</v>
      </c>
      <c r="M318" s="118"/>
      <c r="N318" s="118">
        <v>1396233</v>
      </c>
      <c r="O318" s="118"/>
      <c r="P318" s="118">
        <v>1272557</v>
      </c>
      <c r="Q318" s="118"/>
      <c r="R318" s="118">
        <v>1272557</v>
      </c>
      <c r="S318" s="118"/>
      <c r="T318" s="118">
        <v>11575.973816</v>
      </c>
      <c r="U318" s="118"/>
      <c r="V318" s="118"/>
      <c r="W318" s="118">
        <v>11575.973816</v>
      </c>
      <c r="X318" s="118"/>
      <c r="Y318" s="118">
        <v>8735.9560000000001</v>
      </c>
      <c r="Z318" s="118"/>
      <c r="AA318" s="118"/>
      <c r="AB318" s="118">
        <v>8735.9560000000001</v>
      </c>
      <c r="AC318" s="118"/>
      <c r="AD318" s="357">
        <f t="shared" si="15"/>
        <v>0.75466272979344484</v>
      </c>
      <c r="AE318" s="357"/>
      <c r="AF318" s="357"/>
      <c r="AG318" s="357">
        <f>AB318/W318</f>
        <v>0.75466272979344484</v>
      </c>
      <c r="AH318" s="357"/>
    </row>
    <row r="319" spans="1:35" ht="47.25">
      <c r="A319" s="356" t="s">
        <v>29</v>
      </c>
      <c r="B319" s="346" t="s">
        <v>764</v>
      </c>
      <c r="C319" s="356" t="s">
        <v>408</v>
      </c>
      <c r="D319" s="356"/>
      <c r="E319" s="378" t="s">
        <v>762</v>
      </c>
      <c r="F319" s="378"/>
      <c r="G319" s="118"/>
      <c r="H319" s="118"/>
      <c r="I319" s="118"/>
      <c r="J319" s="118"/>
      <c r="K319" s="118"/>
      <c r="L319" s="118"/>
      <c r="M319" s="118"/>
      <c r="N319" s="118"/>
      <c r="O319" s="118"/>
      <c r="P319" s="118"/>
      <c r="Q319" s="118"/>
      <c r="R319" s="118"/>
      <c r="S319" s="118"/>
      <c r="T319" s="118">
        <v>132.6379</v>
      </c>
      <c r="U319" s="118"/>
      <c r="V319" s="118"/>
      <c r="W319" s="118">
        <v>132.6379</v>
      </c>
      <c r="X319" s="118"/>
      <c r="Y319" s="118">
        <v>107.78400000000001</v>
      </c>
      <c r="Z319" s="118"/>
      <c r="AA319" s="118"/>
      <c r="AB319" s="118">
        <v>107.78400000000001</v>
      </c>
      <c r="AC319" s="118"/>
      <c r="AD319" s="357">
        <f t="shared" si="15"/>
        <v>0.8126184144954044</v>
      </c>
      <c r="AE319" s="357"/>
      <c r="AF319" s="357"/>
      <c r="AG319" s="357">
        <f>AB319/W319</f>
        <v>0.8126184144954044</v>
      </c>
      <c r="AH319" s="357"/>
    </row>
    <row r="320" spans="1:35" ht="47.25">
      <c r="A320" s="356" t="s">
        <v>29</v>
      </c>
      <c r="B320" s="346" t="s">
        <v>765</v>
      </c>
      <c r="C320" s="356"/>
      <c r="D320" s="356"/>
      <c r="E320" s="378"/>
      <c r="F320" s="378"/>
      <c r="G320" s="118"/>
      <c r="H320" s="118"/>
      <c r="I320" s="118"/>
      <c r="J320" s="118"/>
      <c r="K320" s="118"/>
      <c r="L320" s="118"/>
      <c r="M320" s="118"/>
      <c r="N320" s="118"/>
      <c r="O320" s="118"/>
      <c r="P320" s="118"/>
      <c r="Q320" s="118"/>
      <c r="R320" s="118"/>
      <c r="S320" s="118"/>
      <c r="T320" s="118">
        <v>4566.5679</v>
      </c>
      <c r="U320" s="118"/>
      <c r="V320" s="118"/>
      <c r="W320" s="118">
        <v>4566.5679</v>
      </c>
      <c r="X320" s="118"/>
      <c r="Y320" s="118">
        <v>3788.9355620000001</v>
      </c>
      <c r="Z320" s="118"/>
      <c r="AA320" s="118"/>
      <c r="AB320" s="118">
        <v>3788.9355620000001</v>
      </c>
      <c r="AC320" s="118"/>
      <c r="AD320" s="357">
        <f t="shared" si="15"/>
        <v>0.82971186347628822</v>
      </c>
      <c r="AE320" s="357"/>
      <c r="AF320" s="357"/>
      <c r="AG320" s="357">
        <f>AB320/W320</f>
        <v>0.82971186347628822</v>
      </c>
      <c r="AH320" s="357"/>
    </row>
    <row r="321" spans="1:34" s="355" customFormat="1">
      <c r="A321" s="343">
        <v>53</v>
      </c>
      <c r="B321" s="344" t="s">
        <v>190</v>
      </c>
      <c r="C321" s="343"/>
      <c r="D321" s="343"/>
      <c r="E321" s="366"/>
      <c r="F321" s="366"/>
      <c r="G321" s="354"/>
      <c r="H321" s="354"/>
      <c r="I321" s="354"/>
      <c r="J321" s="354"/>
      <c r="K321" s="354"/>
      <c r="L321" s="354"/>
      <c r="M321" s="354"/>
      <c r="N321" s="354"/>
      <c r="O321" s="354"/>
      <c r="P321" s="354"/>
      <c r="Q321" s="354"/>
      <c r="R321" s="354"/>
      <c r="S321" s="354"/>
      <c r="T321" s="354"/>
      <c r="U321" s="354"/>
      <c r="V321" s="354"/>
      <c r="W321" s="354"/>
      <c r="X321" s="354"/>
      <c r="Y321" s="354"/>
      <c r="Z321" s="354"/>
      <c r="AA321" s="354"/>
      <c r="AB321" s="354"/>
      <c r="AC321" s="354"/>
      <c r="AD321" s="357"/>
      <c r="AE321" s="357"/>
      <c r="AF321" s="357"/>
      <c r="AG321" s="357"/>
      <c r="AH321" s="357"/>
    </row>
    <row r="322" spans="1:34" ht="31.5">
      <c r="A322" s="356" t="s">
        <v>29</v>
      </c>
      <c r="B322" s="346" t="s">
        <v>766</v>
      </c>
      <c r="C322" s="356"/>
      <c r="D322" s="356"/>
      <c r="E322" s="378"/>
      <c r="F322" s="378" t="s">
        <v>767</v>
      </c>
      <c r="G322" s="118">
        <v>104604</v>
      </c>
      <c r="H322" s="118">
        <v>82554</v>
      </c>
      <c r="I322" s="118">
        <v>11025</v>
      </c>
      <c r="J322" s="118"/>
      <c r="K322" s="118">
        <f>G322-H322-I322</f>
        <v>11025</v>
      </c>
      <c r="L322" s="118">
        <v>38134.436999999998</v>
      </c>
      <c r="M322" s="118"/>
      <c r="N322" s="118"/>
      <c r="O322" s="118"/>
      <c r="P322" s="118">
        <f>32142+5992.437</f>
        <v>38134.436999999998</v>
      </c>
      <c r="Q322" s="118">
        <v>27571</v>
      </c>
      <c r="R322" s="118"/>
      <c r="S322" s="118"/>
      <c r="T322" s="118">
        <v>5992.4369999999999</v>
      </c>
      <c r="U322" s="118"/>
      <c r="V322" s="118"/>
      <c r="W322" s="118"/>
      <c r="X322" s="118">
        <v>5992.4369999999999</v>
      </c>
      <c r="Y322" s="118">
        <v>4464</v>
      </c>
      <c r="Z322" s="118"/>
      <c r="AA322" s="118"/>
      <c r="AB322" s="118"/>
      <c r="AC322" s="118">
        <v>4464</v>
      </c>
      <c r="AD322" s="357">
        <f t="shared" si="15"/>
        <v>0.74493899560395882</v>
      </c>
      <c r="AE322" s="357"/>
      <c r="AF322" s="357"/>
      <c r="AG322" s="357"/>
      <c r="AH322" s="357">
        <f>AC322/X322</f>
        <v>0.74493899560395882</v>
      </c>
    </row>
    <row r="323" spans="1:34" ht="47.25">
      <c r="A323" s="356" t="s">
        <v>29</v>
      </c>
      <c r="B323" s="346" t="s">
        <v>768</v>
      </c>
      <c r="C323" s="356"/>
      <c r="D323" s="356"/>
      <c r="E323" s="378"/>
      <c r="F323" s="378"/>
      <c r="G323" s="118">
        <v>2443.67</v>
      </c>
      <c r="H323" s="118"/>
      <c r="I323" s="118"/>
      <c r="J323" s="118"/>
      <c r="K323" s="118">
        <v>2443.67</v>
      </c>
      <c r="L323" s="118"/>
      <c r="M323" s="118"/>
      <c r="N323" s="118"/>
      <c r="O323" s="118"/>
      <c r="P323" s="118"/>
      <c r="Q323" s="118"/>
      <c r="R323" s="118"/>
      <c r="S323" s="118"/>
      <c r="T323" s="118">
        <v>1700</v>
      </c>
      <c r="U323" s="118"/>
      <c r="V323" s="118"/>
      <c r="W323" s="118"/>
      <c r="X323" s="118">
        <v>1700</v>
      </c>
      <c r="Y323" s="118">
        <v>1700</v>
      </c>
      <c r="Z323" s="118"/>
      <c r="AA323" s="118"/>
      <c r="AB323" s="118"/>
      <c r="AC323" s="118">
        <v>1700</v>
      </c>
      <c r="AD323" s="357">
        <f t="shared" si="15"/>
        <v>1</v>
      </c>
      <c r="AE323" s="357"/>
      <c r="AF323" s="357"/>
      <c r="AG323" s="357"/>
      <c r="AH323" s="357">
        <f>AC323/X323</f>
        <v>1</v>
      </c>
    </row>
    <row r="324" spans="1:34" s="355" customFormat="1">
      <c r="A324" s="343">
        <v>54</v>
      </c>
      <c r="B324" s="344" t="s">
        <v>191</v>
      </c>
      <c r="C324" s="343"/>
      <c r="D324" s="343"/>
      <c r="E324" s="366"/>
      <c r="F324" s="366"/>
      <c r="G324" s="354"/>
      <c r="H324" s="354"/>
      <c r="I324" s="354"/>
      <c r="J324" s="354"/>
      <c r="K324" s="354"/>
      <c r="L324" s="354"/>
      <c r="M324" s="354"/>
      <c r="N324" s="354"/>
      <c r="O324" s="354"/>
      <c r="P324" s="354"/>
      <c r="Q324" s="354"/>
      <c r="R324" s="354"/>
      <c r="S324" s="354"/>
      <c r="T324" s="354"/>
      <c r="U324" s="354"/>
      <c r="V324" s="354"/>
      <c r="W324" s="354"/>
      <c r="X324" s="354"/>
      <c r="Y324" s="354"/>
      <c r="Z324" s="354"/>
      <c r="AA324" s="354"/>
      <c r="AB324" s="354"/>
      <c r="AC324" s="354"/>
      <c r="AD324" s="357"/>
      <c r="AE324" s="357"/>
      <c r="AF324" s="357"/>
      <c r="AG324" s="357"/>
      <c r="AH324" s="357"/>
    </row>
    <row r="325" spans="1:34" ht="47.25">
      <c r="A325" s="356" t="s">
        <v>29</v>
      </c>
      <c r="B325" s="346" t="s">
        <v>769</v>
      </c>
      <c r="C325" s="356" t="s">
        <v>374</v>
      </c>
      <c r="D325" s="356"/>
      <c r="E325" s="378" t="s">
        <v>375</v>
      </c>
      <c r="F325" s="378" t="s">
        <v>770</v>
      </c>
      <c r="G325" s="118">
        <v>9405.5</v>
      </c>
      <c r="H325" s="118"/>
      <c r="I325" s="118"/>
      <c r="J325" s="118"/>
      <c r="K325" s="118">
        <v>9405.5</v>
      </c>
      <c r="L325" s="118">
        <v>8358</v>
      </c>
      <c r="M325" s="118"/>
      <c r="N325" s="118"/>
      <c r="O325" s="118">
        <v>8358</v>
      </c>
      <c r="P325" s="118">
        <v>8358</v>
      </c>
      <c r="Q325" s="118"/>
      <c r="R325" s="118"/>
      <c r="S325" s="118">
        <v>8358</v>
      </c>
      <c r="T325" s="118">
        <v>1497.9860000000001</v>
      </c>
      <c r="U325" s="118"/>
      <c r="V325" s="118"/>
      <c r="W325" s="118"/>
      <c r="X325" s="118">
        <v>1497.9860000000001</v>
      </c>
      <c r="Y325" s="118">
        <v>1496.605</v>
      </c>
      <c r="Z325" s="118"/>
      <c r="AA325" s="118"/>
      <c r="AB325" s="118"/>
      <c r="AC325" s="118">
        <v>1496.605</v>
      </c>
      <c r="AD325" s="357">
        <f t="shared" si="15"/>
        <v>0.99907809552292204</v>
      </c>
      <c r="AE325" s="357"/>
      <c r="AF325" s="357"/>
      <c r="AG325" s="357"/>
      <c r="AH325" s="357">
        <f>AC325/X325</f>
        <v>0.99907809552292204</v>
      </c>
    </row>
    <row r="326" spans="1:34" ht="31.5">
      <c r="A326" s="356" t="s">
        <v>29</v>
      </c>
      <c r="B326" s="346" t="s">
        <v>771</v>
      </c>
      <c r="C326" s="356" t="s">
        <v>374</v>
      </c>
      <c r="D326" s="356"/>
      <c r="E326" s="378" t="s">
        <v>656</v>
      </c>
      <c r="F326" s="378" t="s">
        <v>772</v>
      </c>
      <c r="G326" s="118">
        <v>11900.3</v>
      </c>
      <c r="H326" s="118"/>
      <c r="I326" s="118"/>
      <c r="J326" s="118"/>
      <c r="K326" s="118">
        <v>11900.3</v>
      </c>
      <c r="L326" s="118">
        <v>8292.2999999999993</v>
      </c>
      <c r="M326" s="118"/>
      <c r="N326" s="118"/>
      <c r="O326" s="118">
        <v>8292.2999999999993</v>
      </c>
      <c r="P326" s="118">
        <v>8000</v>
      </c>
      <c r="Q326" s="118"/>
      <c r="R326" s="118"/>
      <c r="S326" s="118">
        <v>8000</v>
      </c>
      <c r="T326" s="118">
        <v>6101.3355000000001</v>
      </c>
      <c r="U326" s="118"/>
      <c r="V326" s="118"/>
      <c r="W326" s="118"/>
      <c r="X326" s="118">
        <v>6101.3355000000001</v>
      </c>
      <c r="Y326" s="118">
        <v>6061.5141000000003</v>
      </c>
      <c r="Z326" s="118"/>
      <c r="AA326" s="118"/>
      <c r="AB326" s="118"/>
      <c r="AC326" s="118">
        <v>6061.5141000000003</v>
      </c>
      <c r="AD326" s="357">
        <f t="shared" si="15"/>
        <v>0.99347333055197506</v>
      </c>
      <c r="AE326" s="357"/>
      <c r="AF326" s="357"/>
      <c r="AG326" s="357"/>
      <c r="AH326" s="357">
        <f>AC326/X326</f>
        <v>0.99347333055197506</v>
      </c>
    </row>
    <row r="327" spans="1:34" s="355" customFormat="1">
      <c r="A327" s="343">
        <v>55</v>
      </c>
      <c r="B327" s="344" t="s">
        <v>192</v>
      </c>
      <c r="C327" s="343"/>
      <c r="D327" s="343"/>
      <c r="E327" s="366"/>
      <c r="F327" s="378"/>
      <c r="G327" s="354"/>
      <c r="H327" s="354"/>
      <c r="I327" s="354"/>
      <c r="J327" s="354"/>
      <c r="K327" s="354"/>
      <c r="L327" s="354"/>
      <c r="M327" s="354"/>
      <c r="N327" s="354"/>
      <c r="O327" s="354"/>
      <c r="P327" s="354"/>
      <c r="Q327" s="354"/>
      <c r="R327" s="354"/>
      <c r="S327" s="354"/>
      <c r="T327" s="354"/>
      <c r="U327" s="354"/>
      <c r="V327" s="354"/>
      <c r="W327" s="354"/>
      <c r="X327" s="354"/>
      <c r="Y327" s="354"/>
      <c r="Z327" s="354"/>
      <c r="AA327" s="354"/>
      <c r="AB327" s="354"/>
      <c r="AC327" s="354"/>
      <c r="AD327" s="357"/>
      <c r="AE327" s="357"/>
      <c r="AF327" s="357"/>
      <c r="AG327" s="357"/>
      <c r="AH327" s="357"/>
    </row>
    <row r="328" spans="1:34" ht="47.25">
      <c r="A328" s="356" t="s">
        <v>29</v>
      </c>
      <c r="B328" s="346" t="s">
        <v>773</v>
      </c>
      <c r="C328" s="356" t="s">
        <v>310</v>
      </c>
      <c r="D328" s="356"/>
      <c r="E328" s="378" t="s">
        <v>774</v>
      </c>
      <c r="F328" s="378" t="s">
        <v>775</v>
      </c>
      <c r="G328" s="118">
        <v>81666</v>
      </c>
      <c r="H328" s="118"/>
      <c r="I328" s="118">
        <v>70000</v>
      </c>
      <c r="J328" s="118"/>
      <c r="K328" s="118">
        <v>11666</v>
      </c>
      <c r="L328" s="118">
        <v>48984</v>
      </c>
      <c r="M328" s="118"/>
      <c r="N328" s="118">
        <v>40207</v>
      </c>
      <c r="O328" s="118">
        <v>8777</v>
      </c>
      <c r="P328" s="118">
        <v>55857</v>
      </c>
      <c r="Q328" s="118"/>
      <c r="R328" s="118">
        <v>40207</v>
      </c>
      <c r="S328" s="118">
        <v>15650</v>
      </c>
      <c r="T328" s="118">
        <v>1072.01</v>
      </c>
      <c r="U328" s="118"/>
      <c r="V328" s="118">
        <v>72.010000000000005</v>
      </c>
      <c r="W328" s="118"/>
      <c r="X328" s="118">
        <v>1000</v>
      </c>
      <c r="Y328" s="118">
        <v>1007</v>
      </c>
      <c r="Z328" s="118"/>
      <c r="AA328" s="118"/>
      <c r="AB328" s="118"/>
      <c r="AC328" s="118">
        <v>1007</v>
      </c>
      <c r="AD328" s="357">
        <f t="shared" si="15"/>
        <v>0.93935690898405799</v>
      </c>
      <c r="AE328" s="357"/>
      <c r="AF328" s="357">
        <f t="shared" si="15"/>
        <v>0</v>
      </c>
      <c r="AG328" s="357"/>
      <c r="AH328" s="357">
        <f>AC328/X328</f>
        <v>1.0069999999999999</v>
      </c>
    </row>
    <row r="329" spans="1:34" ht="31.5">
      <c r="A329" s="356" t="s">
        <v>29</v>
      </c>
      <c r="B329" s="346" t="s">
        <v>776</v>
      </c>
      <c r="C329" s="356" t="s">
        <v>225</v>
      </c>
      <c r="D329" s="356"/>
      <c r="E329" s="378" t="s">
        <v>293</v>
      </c>
      <c r="F329" s="378" t="s">
        <v>777</v>
      </c>
      <c r="G329" s="118">
        <v>3881</v>
      </c>
      <c r="H329" s="118"/>
      <c r="I329" s="118"/>
      <c r="J329" s="118"/>
      <c r="K329" s="118">
        <v>3881</v>
      </c>
      <c r="L329" s="118">
        <v>3859</v>
      </c>
      <c r="M329" s="118"/>
      <c r="N329" s="118"/>
      <c r="O329" s="118">
        <v>3859</v>
      </c>
      <c r="P329" s="118">
        <v>2700</v>
      </c>
      <c r="Q329" s="118"/>
      <c r="R329" s="118"/>
      <c r="S329" s="118">
        <v>2700</v>
      </c>
      <c r="T329" s="118">
        <v>2059</v>
      </c>
      <c r="U329" s="118"/>
      <c r="V329" s="118"/>
      <c r="W329" s="118"/>
      <c r="X329" s="118">
        <v>2059</v>
      </c>
      <c r="Y329" s="118">
        <v>2059</v>
      </c>
      <c r="Z329" s="118"/>
      <c r="AA329" s="118"/>
      <c r="AB329" s="118"/>
      <c r="AC329" s="118">
        <v>2059</v>
      </c>
      <c r="AD329" s="357">
        <f t="shared" si="15"/>
        <v>1</v>
      </c>
      <c r="AE329" s="357"/>
      <c r="AF329" s="357"/>
      <c r="AG329" s="357"/>
      <c r="AH329" s="357">
        <f>AC329/X329</f>
        <v>1</v>
      </c>
    </row>
    <row r="330" spans="1:34">
      <c r="A330" s="356" t="s">
        <v>29</v>
      </c>
      <c r="B330" s="346" t="s">
        <v>778</v>
      </c>
      <c r="C330" s="356"/>
      <c r="D330" s="356"/>
      <c r="E330" s="378"/>
      <c r="F330" s="378"/>
      <c r="G330" s="118"/>
      <c r="H330" s="118"/>
      <c r="I330" s="118"/>
      <c r="J330" s="118"/>
      <c r="K330" s="118"/>
      <c r="L330" s="118"/>
      <c r="M330" s="118"/>
      <c r="N330" s="118"/>
      <c r="O330" s="118"/>
      <c r="P330" s="118"/>
      <c r="Q330" s="118"/>
      <c r="R330" s="118"/>
      <c r="S330" s="118"/>
      <c r="T330" s="118">
        <v>21.610054000000019</v>
      </c>
      <c r="U330" s="118"/>
      <c r="V330" s="118"/>
      <c r="W330" s="118"/>
      <c r="X330" s="118">
        <v>21.610054000000019</v>
      </c>
      <c r="Y330" s="118">
        <v>0</v>
      </c>
      <c r="Z330" s="118"/>
      <c r="AA330" s="118"/>
      <c r="AB330" s="118"/>
      <c r="AC330" s="118"/>
      <c r="AD330" s="357">
        <f t="shared" si="15"/>
        <v>0</v>
      </c>
      <c r="AE330" s="357"/>
      <c r="AF330" s="357"/>
      <c r="AG330" s="357"/>
      <c r="AH330" s="357">
        <f>AC330/X330</f>
        <v>0</v>
      </c>
    </row>
    <row r="331" spans="1:34" ht="31.5">
      <c r="A331" s="356" t="s">
        <v>29</v>
      </c>
      <c r="B331" s="346" t="s">
        <v>779</v>
      </c>
      <c r="C331" s="356" t="s">
        <v>374</v>
      </c>
      <c r="D331" s="356"/>
      <c r="E331" s="378" t="s">
        <v>230</v>
      </c>
      <c r="F331" s="378" t="s">
        <v>780</v>
      </c>
      <c r="G331" s="118">
        <v>11293</v>
      </c>
      <c r="H331" s="118"/>
      <c r="I331" s="118"/>
      <c r="J331" s="118"/>
      <c r="K331" s="118">
        <v>11293</v>
      </c>
      <c r="L331" s="118">
        <v>11015</v>
      </c>
      <c r="M331" s="118"/>
      <c r="N331" s="118"/>
      <c r="O331" s="118">
        <v>11015</v>
      </c>
      <c r="P331" s="118">
        <v>6000</v>
      </c>
      <c r="Q331" s="118"/>
      <c r="R331" s="118"/>
      <c r="S331" s="118">
        <v>6000</v>
      </c>
      <c r="T331" s="118">
        <v>5637</v>
      </c>
      <c r="U331" s="118"/>
      <c r="V331" s="118"/>
      <c r="W331" s="118"/>
      <c r="X331" s="118">
        <v>5637</v>
      </c>
      <c r="Y331" s="118">
        <v>5637</v>
      </c>
      <c r="Z331" s="118"/>
      <c r="AA331" s="118"/>
      <c r="AB331" s="118"/>
      <c r="AC331" s="118">
        <v>5637</v>
      </c>
      <c r="AD331" s="357">
        <f t="shared" si="15"/>
        <v>1</v>
      </c>
      <c r="AE331" s="357"/>
      <c r="AF331" s="357"/>
      <c r="AG331" s="357"/>
      <c r="AH331" s="357">
        <f>AC331/X331</f>
        <v>1</v>
      </c>
    </row>
    <row r="332" spans="1:34" ht="63">
      <c r="A332" s="356" t="s">
        <v>29</v>
      </c>
      <c r="B332" s="346" t="s">
        <v>781</v>
      </c>
      <c r="C332" s="356" t="s">
        <v>310</v>
      </c>
      <c r="D332" s="356"/>
      <c r="E332" s="378" t="s">
        <v>597</v>
      </c>
      <c r="F332" s="378" t="s">
        <v>782</v>
      </c>
      <c r="G332" s="118">
        <v>850</v>
      </c>
      <c r="H332" s="118"/>
      <c r="I332" s="118"/>
      <c r="J332" s="118"/>
      <c r="K332" s="118">
        <v>850</v>
      </c>
      <c r="L332" s="118">
        <v>787.85799999999995</v>
      </c>
      <c r="M332" s="118"/>
      <c r="N332" s="118"/>
      <c r="O332" s="118">
        <v>787.85799999999995</v>
      </c>
      <c r="P332" s="118">
        <v>850</v>
      </c>
      <c r="Q332" s="118"/>
      <c r="R332" s="118"/>
      <c r="S332" s="118">
        <v>850</v>
      </c>
      <c r="T332" s="118">
        <v>850</v>
      </c>
      <c r="U332" s="118"/>
      <c r="V332" s="118"/>
      <c r="W332" s="118"/>
      <c r="X332" s="118">
        <v>850</v>
      </c>
      <c r="Y332" s="118">
        <v>787.85799999999995</v>
      </c>
      <c r="Z332" s="118"/>
      <c r="AA332" s="118"/>
      <c r="AB332" s="118"/>
      <c r="AC332" s="118">
        <v>787.85799999999995</v>
      </c>
      <c r="AD332" s="357">
        <f t="shared" si="15"/>
        <v>0.9268917647058823</v>
      </c>
      <c r="AE332" s="357"/>
      <c r="AF332" s="357"/>
      <c r="AG332" s="357"/>
      <c r="AH332" s="357">
        <f>AC332/X332</f>
        <v>0.9268917647058823</v>
      </c>
    </row>
    <row r="333" spans="1:34" s="355" customFormat="1">
      <c r="A333" s="343">
        <v>56</v>
      </c>
      <c r="B333" s="344" t="s">
        <v>193</v>
      </c>
      <c r="C333" s="343"/>
      <c r="D333" s="343"/>
      <c r="E333" s="366"/>
      <c r="F333" s="366"/>
      <c r="G333" s="354"/>
      <c r="H333" s="354"/>
      <c r="I333" s="354"/>
      <c r="J333" s="354"/>
      <c r="K333" s="354"/>
      <c r="L333" s="354"/>
      <c r="M333" s="354"/>
      <c r="N333" s="354"/>
      <c r="O333" s="354"/>
      <c r="P333" s="354"/>
      <c r="Q333" s="354"/>
      <c r="R333" s="354"/>
      <c r="S333" s="354"/>
      <c r="T333" s="354"/>
      <c r="U333" s="354"/>
      <c r="V333" s="354"/>
      <c r="W333" s="354"/>
      <c r="X333" s="354"/>
      <c r="Y333" s="354"/>
      <c r="Z333" s="354"/>
      <c r="AA333" s="354"/>
      <c r="AB333" s="354"/>
      <c r="AC333" s="354"/>
      <c r="AD333" s="357"/>
      <c r="AE333" s="357"/>
      <c r="AF333" s="357"/>
      <c r="AG333" s="357"/>
      <c r="AH333" s="357"/>
    </row>
    <row r="334" spans="1:34">
      <c r="A334" s="356" t="s">
        <v>29</v>
      </c>
      <c r="B334" s="346" t="s">
        <v>783</v>
      </c>
      <c r="C334" s="356"/>
      <c r="D334" s="356"/>
      <c r="E334" s="378"/>
      <c r="F334" s="378"/>
      <c r="G334" s="118"/>
      <c r="H334" s="118"/>
      <c r="I334" s="118"/>
      <c r="J334" s="118"/>
      <c r="K334" s="118"/>
      <c r="L334" s="118"/>
      <c r="M334" s="118"/>
      <c r="N334" s="118"/>
      <c r="O334" s="118"/>
      <c r="P334" s="118"/>
      <c r="Q334" s="118"/>
      <c r="R334" s="118"/>
      <c r="S334" s="118"/>
      <c r="T334" s="118">
        <v>650</v>
      </c>
      <c r="U334" s="118"/>
      <c r="V334" s="118"/>
      <c r="W334" s="118"/>
      <c r="X334" s="118">
        <v>650</v>
      </c>
      <c r="Y334" s="118">
        <v>270.71368100000001</v>
      </c>
      <c r="Z334" s="118"/>
      <c r="AA334" s="118"/>
      <c r="AB334" s="118"/>
      <c r="AC334" s="118">
        <v>270.71368100000001</v>
      </c>
      <c r="AD334" s="357">
        <f t="shared" ref="AD334:AD397" si="17">Y334/T334</f>
        <v>0.41648258615384615</v>
      </c>
      <c r="AE334" s="357"/>
      <c r="AF334" s="357"/>
      <c r="AG334" s="357"/>
      <c r="AH334" s="357">
        <f>AC334/X334</f>
        <v>0.41648258615384615</v>
      </c>
    </row>
    <row r="335" spans="1:34" ht="47.25">
      <c r="A335" s="356" t="s">
        <v>29</v>
      </c>
      <c r="B335" s="346" t="s">
        <v>784</v>
      </c>
      <c r="C335" s="356" t="s">
        <v>785</v>
      </c>
      <c r="D335" s="356"/>
      <c r="E335" s="378" t="s">
        <v>375</v>
      </c>
      <c r="F335" s="378" t="s">
        <v>786</v>
      </c>
      <c r="G335" s="118">
        <v>88445.991999999998</v>
      </c>
      <c r="H335" s="118">
        <v>75871.509999999995</v>
      </c>
      <c r="I335" s="118"/>
      <c r="J335" s="118"/>
      <c r="K335" s="118">
        <v>12574.482</v>
      </c>
      <c r="L335" s="118">
        <v>76503.191999999995</v>
      </c>
      <c r="M335" s="118">
        <v>66003.293000000005</v>
      </c>
      <c r="N335" s="118"/>
      <c r="O335" s="118">
        <v>10499.898999999999</v>
      </c>
      <c r="P335" s="118">
        <v>76503.293000000005</v>
      </c>
      <c r="Q335" s="118">
        <v>66003.293000000005</v>
      </c>
      <c r="R335" s="118"/>
      <c r="S335" s="118">
        <v>10500</v>
      </c>
      <c r="T335" s="118">
        <v>2740.5922999999998</v>
      </c>
      <c r="U335" s="118"/>
      <c r="V335" s="118"/>
      <c r="W335" s="118"/>
      <c r="X335" s="118">
        <v>2740.5922999999998</v>
      </c>
      <c r="Y335" s="118">
        <v>2740.5922999999998</v>
      </c>
      <c r="Z335" s="118"/>
      <c r="AA335" s="118"/>
      <c r="AB335" s="118"/>
      <c r="AC335" s="118">
        <v>2740.5922999999998</v>
      </c>
      <c r="AD335" s="357">
        <f t="shared" si="17"/>
        <v>1</v>
      </c>
      <c r="AE335" s="357"/>
      <c r="AF335" s="357"/>
      <c r="AG335" s="357"/>
      <c r="AH335" s="357">
        <f>AC335/X335</f>
        <v>1</v>
      </c>
    </row>
    <row r="336" spans="1:34" ht="31.5">
      <c r="A336" s="356" t="s">
        <v>29</v>
      </c>
      <c r="B336" s="346" t="s">
        <v>787</v>
      </c>
      <c r="C336" s="356" t="s">
        <v>408</v>
      </c>
      <c r="D336" s="356"/>
      <c r="E336" s="378" t="s">
        <v>238</v>
      </c>
      <c r="F336" s="378" t="s">
        <v>788</v>
      </c>
      <c r="G336" s="118">
        <v>5963</v>
      </c>
      <c r="H336" s="118"/>
      <c r="I336" s="118">
        <v>5963</v>
      </c>
      <c r="J336" s="118"/>
      <c r="K336" s="118"/>
      <c r="L336" s="118">
        <v>1323.229</v>
      </c>
      <c r="M336" s="118"/>
      <c r="N336" s="118">
        <v>1323.229</v>
      </c>
      <c r="O336" s="118"/>
      <c r="P336" s="118">
        <v>1323.229</v>
      </c>
      <c r="Q336" s="118"/>
      <c r="R336" s="118">
        <v>1323.229</v>
      </c>
      <c r="S336" s="118"/>
      <c r="T336" s="118">
        <v>79.156575000000004</v>
      </c>
      <c r="U336" s="118"/>
      <c r="V336" s="118">
        <v>79.156575000000004</v>
      </c>
      <c r="W336" s="118"/>
      <c r="X336" s="118"/>
      <c r="Y336" s="118">
        <v>53.444626999999997</v>
      </c>
      <c r="Z336" s="118"/>
      <c r="AA336" s="118">
        <v>53.444626999999997</v>
      </c>
      <c r="AB336" s="118"/>
      <c r="AC336" s="118"/>
      <c r="AD336" s="357">
        <f t="shared" si="17"/>
        <v>0.67517609244715293</v>
      </c>
      <c r="AE336" s="357"/>
      <c r="AF336" s="357">
        <f t="shared" ref="AF336:AF394" si="18">AA336/V336</f>
        <v>0.67517609244715293</v>
      </c>
      <c r="AG336" s="357"/>
      <c r="AH336" s="357"/>
    </row>
    <row r="337" spans="1:34" ht="31.5">
      <c r="A337" s="356" t="s">
        <v>29</v>
      </c>
      <c r="B337" s="346" t="s">
        <v>789</v>
      </c>
      <c r="C337" s="356" t="s">
        <v>408</v>
      </c>
      <c r="D337" s="356"/>
      <c r="E337" s="378" t="s">
        <v>790</v>
      </c>
      <c r="F337" s="378" t="s">
        <v>791</v>
      </c>
      <c r="G337" s="118">
        <v>394930.967</v>
      </c>
      <c r="H337" s="118">
        <v>364096.54200000002</v>
      </c>
      <c r="I337" s="118"/>
      <c r="J337" s="118"/>
      <c r="K337" s="118">
        <v>30834.424999999999</v>
      </c>
      <c r="L337" s="118">
        <v>199907.71</v>
      </c>
      <c r="M337" s="118">
        <v>188012.11799999999</v>
      </c>
      <c r="N337" s="118"/>
      <c r="O337" s="118">
        <v>11895.592000000001</v>
      </c>
      <c r="P337" s="118">
        <v>193451.274</v>
      </c>
      <c r="Q337" s="118">
        <v>176183.826</v>
      </c>
      <c r="R337" s="118"/>
      <c r="S337" s="118">
        <v>17267.448</v>
      </c>
      <c r="T337" s="118">
        <v>4566.375873</v>
      </c>
      <c r="U337" s="118"/>
      <c r="V337" s="118"/>
      <c r="W337" s="118"/>
      <c r="X337" s="118">
        <v>4566.375873</v>
      </c>
      <c r="Y337" s="118">
        <v>3295.9597709999998</v>
      </c>
      <c r="Z337" s="118"/>
      <c r="AA337" s="118"/>
      <c r="AB337" s="118"/>
      <c r="AC337" s="118">
        <v>3295.9597709999998</v>
      </c>
      <c r="AD337" s="357">
        <f t="shared" si="17"/>
        <v>0.72178897722552848</v>
      </c>
      <c r="AE337" s="357"/>
      <c r="AF337" s="357"/>
      <c r="AG337" s="357"/>
      <c r="AH337" s="357">
        <f>AC337/X337</f>
        <v>0.72178897722552848</v>
      </c>
    </row>
    <row r="338" spans="1:34" ht="30">
      <c r="A338" s="356" t="s">
        <v>29</v>
      </c>
      <c r="B338" s="346" t="s">
        <v>792</v>
      </c>
      <c r="C338" s="356" t="s">
        <v>408</v>
      </c>
      <c r="D338" s="356"/>
      <c r="E338" s="378" t="s">
        <v>793</v>
      </c>
      <c r="F338" s="378" t="s">
        <v>794</v>
      </c>
      <c r="G338" s="118">
        <v>700728</v>
      </c>
      <c r="H338" s="118">
        <v>616811</v>
      </c>
      <c r="I338" s="118">
        <v>68101</v>
      </c>
      <c r="J338" s="118"/>
      <c r="K338" s="118">
        <v>15816</v>
      </c>
      <c r="L338" s="118">
        <v>335093.86099999998</v>
      </c>
      <c r="M338" s="118">
        <v>306951.34399999998</v>
      </c>
      <c r="N338" s="118">
        <v>16529.307000000001</v>
      </c>
      <c r="O338" s="118">
        <v>11613.21</v>
      </c>
      <c r="P338" s="118">
        <v>350107.15899999999</v>
      </c>
      <c r="Q338" s="118">
        <v>318929.84399999998</v>
      </c>
      <c r="R338" s="118">
        <v>17900</v>
      </c>
      <c r="S338" s="118">
        <v>13277.315000000001</v>
      </c>
      <c r="T338" s="118">
        <v>6881.331666</v>
      </c>
      <c r="U338" s="118"/>
      <c r="V338" s="118"/>
      <c r="W338" s="118"/>
      <c r="X338" s="118">
        <v>6881.331666</v>
      </c>
      <c r="Y338" s="118">
        <v>4239.42119</v>
      </c>
      <c r="Z338" s="118"/>
      <c r="AA338" s="118"/>
      <c r="AB338" s="118"/>
      <c r="AC338" s="118">
        <v>4239.42119</v>
      </c>
      <c r="AD338" s="357">
        <f t="shared" si="17"/>
        <v>0.61607569519524452</v>
      </c>
      <c r="AE338" s="357"/>
      <c r="AF338" s="357"/>
      <c r="AG338" s="357"/>
      <c r="AH338" s="357">
        <f>AC338/X338</f>
        <v>0.61607569519524452</v>
      </c>
    </row>
    <row r="339" spans="1:34" ht="63">
      <c r="A339" s="356" t="s">
        <v>29</v>
      </c>
      <c r="B339" s="346" t="s">
        <v>795</v>
      </c>
      <c r="C339" s="356" t="s">
        <v>612</v>
      </c>
      <c r="D339" s="356"/>
      <c r="E339" s="378" t="s">
        <v>260</v>
      </c>
      <c r="F339" s="378" t="s">
        <v>703</v>
      </c>
      <c r="G339" s="118">
        <v>19135.272000000001</v>
      </c>
      <c r="H339" s="118"/>
      <c r="I339" s="118">
        <v>19135.272000000001</v>
      </c>
      <c r="J339" s="118"/>
      <c r="K339" s="118"/>
      <c r="L339" s="118">
        <v>13776.833000000001</v>
      </c>
      <c r="M339" s="118"/>
      <c r="N339" s="118">
        <v>12000</v>
      </c>
      <c r="O339" s="118">
        <v>1776.8330000000001</v>
      </c>
      <c r="P339" s="118">
        <v>13776.833000000001</v>
      </c>
      <c r="Q339" s="118"/>
      <c r="R339" s="118">
        <v>12000</v>
      </c>
      <c r="S339" s="118">
        <v>1776.8330000000001</v>
      </c>
      <c r="T339" s="118">
        <v>1777</v>
      </c>
      <c r="U339" s="118"/>
      <c r="V339" s="118"/>
      <c r="W339" s="118"/>
      <c r="X339" s="118">
        <v>1777</v>
      </c>
      <c r="Y339" s="118">
        <v>1776.8330000000001</v>
      </c>
      <c r="Z339" s="118"/>
      <c r="AA339" s="118"/>
      <c r="AB339" s="118"/>
      <c r="AC339" s="118">
        <v>1776.8330000000001</v>
      </c>
      <c r="AD339" s="357">
        <f t="shared" si="17"/>
        <v>0.99990602138435569</v>
      </c>
      <c r="AE339" s="357"/>
      <c r="AF339" s="357"/>
      <c r="AG339" s="357"/>
      <c r="AH339" s="357">
        <f>AC339/X339</f>
        <v>0.99990602138435569</v>
      </c>
    </row>
    <row r="340" spans="1:34" ht="63">
      <c r="A340" s="356" t="s">
        <v>29</v>
      </c>
      <c r="B340" s="346" t="s">
        <v>796</v>
      </c>
      <c r="C340" s="356" t="s">
        <v>229</v>
      </c>
      <c r="D340" s="356"/>
      <c r="E340" s="378" t="s">
        <v>375</v>
      </c>
      <c r="F340" s="378" t="s">
        <v>797</v>
      </c>
      <c r="G340" s="118">
        <v>340.44099999999997</v>
      </c>
      <c r="H340" s="118"/>
      <c r="I340" s="118"/>
      <c r="J340" s="118"/>
      <c r="K340" s="118">
        <v>340.44099999999997</v>
      </c>
      <c r="L340" s="118">
        <v>339.42500000000001</v>
      </c>
      <c r="M340" s="118"/>
      <c r="N340" s="118"/>
      <c r="O340" s="118">
        <v>339.42500000000001</v>
      </c>
      <c r="P340" s="118">
        <v>339.42500000000001</v>
      </c>
      <c r="Q340" s="118"/>
      <c r="R340" s="118"/>
      <c r="S340" s="118">
        <v>339.42500000000001</v>
      </c>
      <c r="T340" s="118">
        <v>47.424999999999997</v>
      </c>
      <c r="U340" s="118"/>
      <c r="V340" s="118"/>
      <c r="W340" s="118"/>
      <c r="X340" s="118">
        <v>47.424999999999997</v>
      </c>
      <c r="Y340" s="118">
        <v>47.424999999999997</v>
      </c>
      <c r="Z340" s="118"/>
      <c r="AA340" s="118"/>
      <c r="AB340" s="118"/>
      <c r="AC340" s="118">
        <v>47.424999999999997</v>
      </c>
      <c r="AD340" s="357">
        <f t="shared" si="17"/>
        <v>1</v>
      </c>
      <c r="AE340" s="357"/>
      <c r="AF340" s="357"/>
      <c r="AG340" s="357"/>
      <c r="AH340" s="357">
        <f>AC340/X340</f>
        <v>1</v>
      </c>
    </row>
    <row r="341" spans="1:34" ht="31.5">
      <c r="A341" s="356" t="s">
        <v>29</v>
      </c>
      <c r="B341" s="346" t="s">
        <v>798</v>
      </c>
      <c r="C341" s="356" t="s">
        <v>273</v>
      </c>
      <c r="D341" s="356"/>
      <c r="E341" s="378" t="s">
        <v>375</v>
      </c>
      <c r="F341" s="378" t="s">
        <v>799</v>
      </c>
      <c r="G341" s="118">
        <v>4678.8549999999996</v>
      </c>
      <c r="H341" s="118"/>
      <c r="I341" s="118"/>
      <c r="J341" s="118"/>
      <c r="K341" s="118">
        <v>4678.8549999999996</v>
      </c>
      <c r="L341" s="118">
        <v>3225.44</v>
      </c>
      <c r="M341" s="118"/>
      <c r="N341" s="118"/>
      <c r="O341" s="118">
        <v>3225.44</v>
      </c>
      <c r="P341" s="118">
        <v>3047.52</v>
      </c>
      <c r="Q341" s="118"/>
      <c r="R341" s="118"/>
      <c r="S341" s="118">
        <v>3047.52</v>
      </c>
      <c r="T341" s="118">
        <v>148.47990000000004</v>
      </c>
      <c r="U341" s="118"/>
      <c r="V341" s="118"/>
      <c r="W341" s="118"/>
      <c r="X341" s="118">
        <v>148.47990000000004</v>
      </c>
      <c r="Y341" s="118">
        <v>148</v>
      </c>
      <c r="Z341" s="118"/>
      <c r="AA341" s="118"/>
      <c r="AB341" s="118"/>
      <c r="AC341" s="118">
        <v>148</v>
      </c>
      <c r="AD341" s="357">
        <f t="shared" si="17"/>
        <v>0.99676791269390641</v>
      </c>
      <c r="AE341" s="357"/>
      <c r="AF341" s="357"/>
      <c r="AG341" s="357"/>
      <c r="AH341" s="357">
        <f>AC341/X341</f>
        <v>0.99676791269390641</v>
      </c>
    </row>
    <row r="342" spans="1:34" ht="31.5">
      <c r="A342" s="356" t="s">
        <v>29</v>
      </c>
      <c r="B342" s="346" t="s">
        <v>800</v>
      </c>
      <c r="C342" s="356" t="s">
        <v>299</v>
      </c>
      <c r="D342" s="356"/>
      <c r="E342" s="378" t="s">
        <v>293</v>
      </c>
      <c r="F342" s="378" t="s">
        <v>801</v>
      </c>
      <c r="G342" s="118">
        <v>19011.332999999999</v>
      </c>
      <c r="H342" s="118"/>
      <c r="I342" s="118">
        <v>19011.332999999999</v>
      </c>
      <c r="J342" s="118"/>
      <c r="K342" s="118"/>
      <c r="L342" s="118">
        <v>12277.630999999999</v>
      </c>
      <c r="M342" s="118"/>
      <c r="N342" s="118">
        <v>12277.630999999999</v>
      </c>
      <c r="O342" s="118"/>
      <c r="P342" s="118">
        <v>16866.023000000001</v>
      </c>
      <c r="Q342" s="118"/>
      <c r="R342" s="118">
        <v>16866.023000000001</v>
      </c>
      <c r="S342" s="118"/>
      <c r="T342" s="118">
        <v>12935.767110000001</v>
      </c>
      <c r="U342" s="118"/>
      <c r="V342" s="118">
        <v>12935.767110000001</v>
      </c>
      <c r="W342" s="118"/>
      <c r="X342" s="118"/>
      <c r="Y342" s="118">
        <v>5385.3251099999998</v>
      </c>
      <c r="Z342" s="118"/>
      <c r="AA342" s="118">
        <v>5385.3251099999998</v>
      </c>
      <c r="AB342" s="118"/>
      <c r="AC342" s="118"/>
      <c r="AD342" s="357">
        <f t="shared" si="17"/>
        <v>0.41631277559387042</v>
      </c>
      <c r="AE342" s="357"/>
      <c r="AF342" s="357">
        <f t="shared" si="18"/>
        <v>0.41631277559387042</v>
      </c>
      <c r="AG342" s="357"/>
      <c r="AH342" s="357"/>
    </row>
    <row r="343" spans="1:34" ht="63">
      <c r="A343" s="356" t="s">
        <v>29</v>
      </c>
      <c r="B343" s="346" t="s">
        <v>802</v>
      </c>
      <c r="C343" s="356" t="s">
        <v>439</v>
      </c>
      <c r="D343" s="356"/>
      <c r="E343" s="378">
        <v>2014</v>
      </c>
      <c r="F343" s="378" t="s">
        <v>803</v>
      </c>
      <c r="G343" s="118">
        <v>17364.412</v>
      </c>
      <c r="H343" s="118"/>
      <c r="I343" s="118">
        <v>15627.971</v>
      </c>
      <c r="J343" s="118"/>
      <c r="K343" s="118">
        <v>1736.441</v>
      </c>
      <c r="L343" s="118">
        <v>13826</v>
      </c>
      <c r="M343" s="118"/>
      <c r="N343" s="118">
        <v>13826</v>
      </c>
      <c r="O343" s="118"/>
      <c r="P343" s="118">
        <v>13826</v>
      </c>
      <c r="Q343" s="118"/>
      <c r="R343" s="118">
        <v>13826</v>
      </c>
      <c r="S343" s="118"/>
      <c r="T343" s="118">
        <v>1826</v>
      </c>
      <c r="U343" s="118"/>
      <c r="V343" s="118">
        <v>1826</v>
      </c>
      <c r="W343" s="118"/>
      <c r="X343" s="118"/>
      <c r="Y343" s="118">
        <v>1826</v>
      </c>
      <c r="Z343" s="118"/>
      <c r="AA343" s="118">
        <v>1826</v>
      </c>
      <c r="AB343" s="118"/>
      <c r="AC343" s="118"/>
      <c r="AD343" s="357">
        <f t="shared" si="17"/>
        <v>1</v>
      </c>
      <c r="AE343" s="357"/>
      <c r="AF343" s="357">
        <f t="shared" si="18"/>
        <v>1</v>
      </c>
      <c r="AG343" s="357"/>
      <c r="AH343" s="357"/>
    </row>
    <row r="344" spans="1:34" ht="31.5">
      <c r="A344" s="356" t="s">
        <v>29</v>
      </c>
      <c r="B344" s="346" t="s">
        <v>804</v>
      </c>
      <c r="C344" s="356" t="s">
        <v>296</v>
      </c>
      <c r="D344" s="356"/>
      <c r="E344" s="378" t="s">
        <v>390</v>
      </c>
      <c r="F344" s="378" t="s">
        <v>805</v>
      </c>
      <c r="G344" s="118">
        <v>29456.742999999999</v>
      </c>
      <c r="H344" s="118"/>
      <c r="I344" s="118">
        <v>24000</v>
      </c>
      <c r="J344" s="118"/>
      <c r="K344" s="118">
        <v>5456.7430000000004</v>
      </c>
      <c r="L344" s="118">
        <v>28673.844000000001</v>
      </c>
      <c r="M344" s="118"/>
      <c r="N344" s="118">
        <v>24000</v>
      </c>
      <c r="O344" s="118">
        <v>4673.8440000000001</v>
      </c>
      <c r="P344" s="118">
        <v>27800</v>
      </c>
      <c r="Q344" s="118"/>
      <c r="R344" s="118">
        <v>24000</v>
      </c>
      <c r="S344" s="118">
        <v>3800</v>
      </c>
      <c r="T344" s="118">
        <v>2890.5230000000001</v>
      </c>
      <c r="U344" s="118"/>
      <c r="V344" s="118"/>
      <c r="W344" s="118"/>
      <c r="X344" s="118">
        <v>2890.5230000000001</v>
      </c>
      <c r="Y344" s="118">
        <v>2871.21</v>
      </c>
      <c r="Z344" s="118"/>
      <c r="AA344" s="118"/>
      <c r="AB344" s="118"/>
      <c r="AC344" s="118">
        <v>2871.21</v>
      </c>
      <c r="AD344" s="357">
        <f t="shared" si="17"/>
        <v>0.99331851017964568</v>
      </c>
      <c r="AE344" s="357"/>
      <c r="AF344" s="357"/>
      <c r="AG344" s="357"/>
      <c r="AH344" s="357">
        <f t="shared" ref="AH344:AH349" si="19">AC344/X344</f>
        <v>0.99331851017964568</v>
      </c>
    </row>
    <row r="345" spans="1:34" ht="47.25">
      <c r="A345" s="356" t="s">
        <v>29</v>
      </c>
      <c r="B345" s="346" t="s">
        <v>806</v>
      </c>
      <c r="C345" s="356" t="s">
        <v>408</v>
      </c>
      <c r="D345" s="356"/>
      <c r="E345" s="378" t="s">
        <v>248</v>
      </c>
      <c r="F345" s="378" t="s">
        <v>807</v>
      </c>
      <c r="G345" s="118">
        <v>3175.297</v>
      </c>
      <c r="H345" s="118"/>
      <c r="I345" s="118"/>
      <c r="J345" s="118"/>
      <c r="K345" s="118">
        <v>3175.297</v>
      </c>
      <c r="L345" s="118">
        <v>2527.3119999999999</v>
      </c>
      <c r="M345" s="118"/>
      <c r="N345" s="118"/>
      <c r="O345" s="118">
        <v>2527.3119999999999</v>
      </c>
      <c r="P345" s="118">
        <v>2527.3119999999999</v>
      </c>
      <c r="Q345" s="118"/>
      <c r="R345" s="118"/>
      <c r="S345" s="118">
        <v>2527.3119999999999</v>
      </c>
      <c r="T345" s="118">
        <v>1216.3119999999999</v>
      </c>
      <c r="U345" s="118"/>
      <c r="V345" s="118"/>
      <c r="W345" s="118"/>
      <c r="X345" s="118">
        <v>1216.3119999999999</v>
      </c>
      <c r="Y345" s="118">
        <v>1216.3119999999999</v>
      </c>
      <c r="Z345" s="118"/>
      <c r="AA345" s="118"/>
      <c r="AB345" s="118"/>
      <c r="AC345" s="118">
        <v>1216.3119999999999</v>
      </c>
      <c r="AD345" s="357">
        <f t="shared" si="17"/>
        <v>1</v>
      </c>
      <c r="AE345" s="357"/>
      <c r="AF345" s="357"/>
      <c r="AG345" s="357"/>
      <c r="AH345" s="357">
        <f t="shared" si="19"/>
        <v>1</v>
      </c>
    </row>
    <row r="346" spans="1:34" ht="78.75">
      <c r="A346" s="356" t="s">
        <v>29</v>
      </c>
      <c r="B346" s="346" t="s">
        <v>808</v>
      </c>
      <c r="C346" s="356" t="s">
        <v>277</v>
      </c>
      <c r="D346" s="356"/>
      <c r="E346" s="378" t="s">
        <v>518</v>
      </c>
      <c r="F346" s="378" t="s">
        <v>809</v>
      </c>
      <c r="G346" s="118">
        <v>25559.264999999999</v>
      </c>
      <c r="H346" s="118"/>
      <c r="I346" s="118">
        <v>20880</v>
      </c>
      <c r="J346" s="118"/>
      <c r="K346" s="118">
        <v>4679.2650000000003</v>
      </c>
      <c r="L346" s="118">
        <v>21276.485000000001</v>
      </c>
      <c r="M346" s="118"/>
      <c r="N346" s="118">
        <v>17377.921999999999</v>
      </c>
      <c r="O346" s="118">
        <v>3898.5630000000001</v>
      </c>
      <c r="P346" s="118">
        <v>20840.901000000002</v>
      </c>
      <c r="Q346" s="118">
        <v>1960</v>
      </c>
      <c r="R346" s="118">
        <v>15000</v>
      </c>
      <c r="S346" s="118">
        <v>3880.9009999999998</v>
      </c>
      <c r="T346" s="118">
        <v>7625.7892949999996</v>
      </c>
      <c r="U346" s="118"/>
      <c r="V346" s="118">
        <v>6517.4492950000003</v>
      </c>
      <c r="W346" s="118"/>
      <c r="X346" s="118">
        <f>T346-V346</f>
        <v>1108.3399999999992</v>
      </c>
      <c r="Y346" s="118">
        <v>7436.1342949999998</v>
      </c>
      <c r="Z346" s="118"/>
      <c r="AA346" s="118">
        <v>6467.4492950000003</v>
      </c>
      <c r="AB346" s="118"/>
      <c r="AC346" s="118">
        <v>968.68499999999949</v>
      </c>
      <c r="AD346" s="357">
        <f t="shared" si="17"/>
        <v>0.97512978753237378</v>
      </c>
      <c r="AE346" s="357"/>
      <c r="AF346" s="357">
        <f t="shared" si="18"/>
        <v>0.99232828707415355</v>
      </c>
      <c r="AG346" s="357"/>
      <c r="AH346" s="357">
        <f t="shared" si="19"/>
        <v>0.87399624663911812</v>
      </c>
    </row>
    <row r="347" spans="1:34" ht="63">
      <c r="A347" s="356" t="s">
        <v>29</v>
      </c>
      <c r="B347" s="346" t="s">
        <v>810</v>
      </c>
      <c r="C347" s="356" t="s">
        <v>408</v>
      </c>
      <c r="D347" s="356"/>
      <c r="E347" s="378" t="s">
        <v>248</v>
      </c>
      <c r="F347" s="378" t="s">
        <v>811</v>
      </c>
      <c r="G347" s="118">
        <v>474.64499999999998</v>
      </c>
      <c r="H347" s="118"/>
      <c r="I347" s="118"/>
      <c r="J347" s="118"/>
      <c r="K347" s="118">
        <v>474.64499999999998</v>
      </c>
      <c r="L347" s="118">
        <v>455.88400000000001</v>
      </c>
      <c r="M347" s="118"/>
      <c r="N347" s="118"/>
      <c r="O347" s="118">
        <v>455.88400000000001</v>
      </c>
      <c r="P347" s="118">
        <v>455.88400000000001</v>
      </c>
      <c r="Q347" s="118"/>
      <c r="R347" s="118"/>
      <c r="S347" s="118">
        <v>455.88400000000001</v>
      </c>
      <c r="T347" s="118">
        <v>89.884</v>
      </c>
      <c r="U347" s="118"/>
      <c r="V347" s="118"/>
      <c r="W347" s="118"/>
      <c r="X347" s="118">
        <v>89.884</v>
      </c>
      <c r="Y347" s="118">
        <v>89.884</v>
      </c>
      <c r="Z347" s="118"/>
      <c r="AA347" s="118"/>
      <c r="AB347" s="118"/>
      <c r="AC347" s="118">
        <v>89.884</v>
      </c>
      <c r="AD347" s="357">
        <f t="shared" si="17"/>
        <v>1</v>
      </c>
      <c r="AE347" s="357"/>
      <c r="AF347" s="357"/>
      <c r="AG347" s="357"/>
      <c r="AH347" s="357">
        <f t="shared" si="19"/>
        <v>1</v>
      </c>
    </row>
    <row r="348" spans="1:34" ht="31.5">
      <c r="A348" s="356" t="s">
        <v>29</v>
      </c>
      <c r="B348" s="346" t="s">
        <v>812</v>
      </c>
      <c r="C348" s="356" t="s">
        <v>488</v>
      </c>
      <c r="D348" s="356"/>
      <c r="E348" s="378" t="s">
        <v>230</v>
      </c>
      <c r="F348" s="378" t="s">
        <v>813</v>
      </c>
      <c r="G348" s="118">
        <v>8967.7109999999993</v>
      </c>
      <c r="H348" s="118"/>
      <c r="I348" s="118"/>
      <c r="J348" s="118"/>
      <c r="K348" s="118">
        <v>8967.7109999999993</v>
      </c>
      <c r="L348" s="118">
        <v>8526.9349999999995</v>
      </c>
      <c r="M348" s="118"/>
      <c r="N348" s="118"/>
      <c r="O348" s="118">
        <v>8526.9349999999995</v>
      </c>
      <c r="P348" s="118">
        <v>8526.9349999999995</v>
      </c>
      <c r="Q348" s="118"/>
      <c r="R348" s="118"/>
      <c r="S348" s="118">
        <v>8526.9349999999995</v>
      </c>
      <c r="T348" s="118">
        <v>6596.4555</v>
      </c>
      <c r="U348" s="118"/>
      <c r="V348" s="118"/>
      <c r="W348" s="118"/>
      <c r="X348" s="118">
        <v>6596.4555</v>
      </c>
      <c r="Y348" s="118">
        <v>6550.6880000000001</v>
      </c>
      <c r="Z348" s="118"/>
      <c r="AA348" s="118"/>
      <c r="AB348" s="118"/>
      <c r="AC348" s="118">
        <v>6550.6880000000001</v>
      </c>
      <c r="AD348" s="357">
        <f t="shared" si="17"/>
        <v>0.99306180417650058</v>
      </c>
      <c r="AE348" s="357"/>
      <c r="AF348" s="357"/>
      <c r="AG348" s="357"/>
      <c r="AH348" s="357">
        <f t="shared" si="19"/>
        <v>0.99306180417650058</v>
      </c>
    </row>
    <row r="349" spans="1:34" ht="47.25">
      <c r="A349" s="356" t="s">
        <v>29</v>
      </c>
      <c r="B349" s="346" t="s">
        <v>814</v>
      </c>
      <c r="C349" s="356"/>
      <c r="D349" s="356"/>
      <c r="E349" s="378"/>
      <c r="F349" s="378"/>
      <c r="G349" s="118"/>
      <c r="H349" s="118"/>
      <c r="I349" s="118"/>
      <c r="J349" s="118"/>
      <c r="K349" s="118"/>
      <c r="L349" s="118"/>
      <c r="M349" s="118"/>
      <c r="N349" s="118"/>
      <c r="O349" s="118"/>
      <c r="P349" s="118"/>
      <c r="Q349" s="118"/>
      <c r="R349" s="118"/>
      <c r="S349" s="118"/>
      <c r="T349" s="118">
        <v>203</v>
      </c>
      <c r="U349" s="118"/>
      <c r="V349" s="118"/>
      <c r="W349" s="118"/>
      <c r="X349" s="118">
        <v>203</v>
      </c>
      <c r="Y349" s="118">
        <v>203</v>
      </c>
      <c r="Z349" s="118"/>
      <c r="AA349" s="118"/>
      <c r="AB349" s="118"/>
      <c r="AC349" s="118">
        <v>203</v>
      </c>
      <c r="AD349" s="357">
        <f t="shared" si="17"/>
        <v>1</v>
      </c>
      <c r="AE349" s="357"/>
      <c r="AF349" s="357"/>
      <c r="AG349" s="357"/>
      <c r="AH349" s="357">
        <f t="shared" si="19"/>
        <v>1</v>
      </c>
    </row>
    <row r="350" spans="1:34" ht="47.25">
      <c r="A350" s="356" t="s">
        <v>29</v>
      </c>
      <c r="B350" s="346" t="s">
        <v>815</v>
      </c>
      <c r="C350" s="356" t="s">
        <v>408</v>
      </c>
      <c r="D350" s="356"/>
      <c r="E350" s="378" t="s">
        <v>307</v>
      </c>
      <c r="F350" s="378" t="s">
        <v>816</v>
      </c>
      <c r="G350" s="118">
        <v>84480.698000000004</v>
      </c>
      <c r="H350" s="118"/>
      <c r="I350" s="118">
        <v>80000</v>
      </c>
      <c r="J350" s="118"/>
      <c r="K350" s="118">
        <v>4480.6980000000003</v>
      </c>
      <c r="L350" s="118">
        <v>4996.7479999999996</v>
      </c>
      <c r="M350" s="118"/>
      <c r="N350" s="118">
        <v>4846.7479999999996</v>
      </c>
      <c r="O350" s="118">
        <v>150</v>
      </c>
      <c r="P350" s="118">
        <v>10149.753000000001</v>
      </c>
      <c r="Q350" s="118"/>
      <c r="R350" s="118">
        <v>9999.7530000000006</v>
      </c>
      <c r="S350" s="118">
        <v>150</v>
      </c>
      <c r="T350" s="118">
        <v>9911.2690000000002</v>
      </c>
      <c r="U350" s="118"/>
      <c r="V350" s="118">
        <v>9911.2690000000002</v>
      </c>
      <c r="W350" s="118"/>
      <c r="X350" s="118"/>
      <c r="Y350" s="118">
        <v>3631.0219999999999</v>
      </c>
      <c r="Z350" s="118"/>
      <c r="AA350" s="118">
        <v>3631.0219999999999</v>
      </c>
      <c r="AB350" s="118"/>
      <c r="AC350" s="118"/>
      <c r="AD350" s="357">
        <f t="shared" si="17"/>
        <v>0.3663528857909113</v>
      </c>
      <c r="AE350" s="357"/>
      <c r="AF350" s="357">
        <f t="shared" si="18"/>
        <v>0.3663528857909113</v>
      </c>
      <c r="AG350" s="357"/>
      <c r="AH350" s="357"/>
    </row>
    <row r="351" spans="1:34" ht="63">
      <c r="A351" s="356" t="s">
        <v>29</v>
      </c>
      <c r="B351" s="346" t="s">
        <v>817</v>
      </c>
      <c r="C351" s="356" t="s">
        <v>408</v>
      </c>
      <c r="D351" s="356"/>
      <c r="E351" s="378" t="s">
        <v>288</v>
      </c>
      <c r="F351" s="378" t="s">
        <v>818</v>
      </c>
      <c r="G351" s="118">
        <v>80002.163</v>
      </c>
      <c r="H351" s="118"/>
      <c r="I351" s="118">
        <v>40600</v>
      </c>
      <c r="J351" s="118"/>
      <c r="K351" s="118">
        <v>39402.163</v>
      </c>
      <c r="L351" s="118">
        <v>18007.351999999999</v>
      </c>
      <c r="M351" s="118"/>
      <c r="N351" s="118">
        <v>15000</v>
      </c>
      <c r="O351" s="118">
        <v>3007.3519999999999</v>
      </c>
      <c r="P351" s="118">
        <v>35085</v>
      </c>
      <c r="Q351" s="118"/>
      <c r="R351" s="118">
        <v>22000</v>
      </c>
      <c r="S351" s="118">
        <v>13085</v>
      </c>
      <c r="T351" s="118">
        <f>13647.888+17775</f>
        <v>31422.887999999999</v>
      </c>
      <c r="U351" s="118"/>
      <c r="V351" s="118">
        <f>15000+3921.381</f>
        <v>18921.381000000001</v>
      </c>
      <c r="W351" s="118"/>
      <c r="X351" s="118">
        <f>T351-V351</f>
        <v>12501.506999999998</v>
      </c>
      <c r="Y351" s="118">
        <v>13572.66</v>
      </c>
      <c r="Z351" s="118"/>
      <c r="AA351" s="118">
        <v>10537.458000000001</v>
      </c>
      <c r="AB351" s="118"/>
      <c r="AC351" s="118">
        <v>3035.2019999999993</v>
      </c>
      <c r="AD351" s="357">
        <f t="shared" si="17"/>
        <v>0.43193547327667653</v>
      </c>
      <c r="AE351" s="357"/>
      <c r="AF351" s="357">
        <f t="shared" si="18"/>
        <v>0.55690744771747902</v>
      </c>
      <c r="AG351" s="357"/>
      <c r="AH351" s="357">
        <f t="shared" ref="AH351:AH363" si="20">AC351/X351</f>
        <v>0.24278688961258829</v>
      </c>
    </row>
    <row r="352" spans="1:34" ht="63">
      <c r="A352" s="356" t="s">
        <v>29</v>
      </c>
      <c r="B352" s="346" t="s">
        <v>819</v>
      </c>
      <c r="C352" s="356" t="s">
        <v>225</v>
      </c>
      <c r="D352" s="356"/>
      <c r="E352" s="378" t="s">
        <v>293</v>
      </c>
      <c r="F352" s="378" t="s">
        <v>820</v>
      </c>
      <c r="G352" s="118">
        <v>910.58699999999999</v>
      </c>
      <c r="H352" s="118"/>
      <c r="I352" s="118"/>
      <c r="J352" s="118"/>
      <c r="K352" s="118">
        <v>910.58699999999999</v>
      </c>
      <c r="L352" s="118">
        <v>806.84500000000003</v>
      </c>
      <c r="M352" s="118"/>
      <c r="N352" s="118"/>
      <c r="O352" s="118">
        <v>806.84500000000003</v>
      </c>
      <c r="P352" s="118">
        <v>724.8</v>
      </c>
      <c r="Q352" s="118"/>
      <c r="R352" s="118"/>
      <c r="S352" s="118">
        <v>724.8</v>
      </c>
      <c r="T352" s="118">
        <v>415.5</v>
      </c>
      <c r="U352" s="118"/>
      <c r="V352" s="118"/>
      <c r="W352" s="118"/>
      <c r="X352" s="118">
        <v>415.5</v>
      </c>
      <c r="Y352" s="118">
        <v>390.3</v>
      </c>
      <c r="Z352" s="118"/>
      <c r="AA352" s="118"/>
      <c r="AB352" s="118"/>
      <c r="AC352" s="118">
        <v>390.3</v>
      </c>
      <c r="AD352" s="357">
        <f t="shared" si="17"/>
        <v>0.93935018050541519</v>
      </c>
      <c r="AE352" s="357"/>
      <c r="AF352" s="357"/>
      <c r="AG352" s="357"/>
      <c r="AH352" s="357">
        <f t="shared" si="20"/>
        <v>0.93935018050541519</v>
      </c>
    </row>
    <row r="353" spans="1:34" ht="31.5">
      <c r="A353" s="356" t="s">
        <v>29</v>
      </c>
      <c r="B353" s="346" t="s">
        <v>821</v>
      </c>
      <c r="C353" s="356" t="s">
        <v>439</v>
      </c>
      <c r="D353" s="356"/>
      <c r="E353" s="378" t="s">
        <v>288</v>
      </c>
      <c r="F353" s="378" t="s">
        <v>822</v>
      </c>
      <c r="G353" s="118">
        <v>120.065</v>
      </c>
      <c r="H353" s="118"/>
      <c r="I353" s="118">
        <v>80000</v>
      </c>
      <c r="J353" s="118"/>
      <c r="K353" s="118">
        <v>40065</v>
      </c>
      <c r="L353" s="118">
        <v>22107.915000000001</v>
      </c>
      <c r="M353" s="118"/>
      <c r="N353" s="118">
        <v>19802.915000000001</v>
      </c>
      <c r="O353" s="118">
        <v>2305</v>
      </c>
      <c r="P353" s="118">
        <v>25080</v>
      </c>
      <c r="Q353" s="118"/>
      <c r="R353" s="118">
        <v>19000</v>
      </c>
      <c r="S353" s="118">
        <v>6080</v>
      </c>
      <c r="T353" s="118">
        <v>23554.10555</v>
      </c>
      <c r="U353" s="118"/>
      <c r="V353" s="118">
        <v>17737.10555</v>
      </c>
      <c r="W353" s="118"/>
      <c r="X353" s="118">
        <f>T353-V353</f>
        <v>5817</v>
      </c>
      <c r="Y353" s="118">
        <f>AA353+AC353</f>
        <v>19498.867896</v>
      </c>
      <c r="Z353" s="118"/>
      <c r="AA353" s="118">
        <v>17649.44555</v>
      </c>
      <c r="AB353" s="118"/>
      <c r="AC353" s="118">
        <v>1849.4223460000001</v>
      </c>
      <c r="AD353" s="357">
        <f t="shared" si="17"/>
        <v>0.82783308644891418</v>
      </c>
      <c r="AE353" s="357"/>
      <c r="AF353" s="357">
        <f t="shared" si="18"/>
        <v>0.9950578182131864</v>
      </c>
      <c r="AG353" s="357"/>
      <c r="AH353" s="357">
        <f t="shared" si="20"/>
        <v>0.31793404607185838</v>
      </c>
    </row>
    <row r="354" spans="1:34" ht="45">
      <c r="A354" s="356" t="s">
        <v>29</v>
      </c>
      <c r="B354" s="346" t="s">
        <v>823</v>
      </c>
      <c r="C354" s="356" t="s">
        <v>225</v>
      </c>
      <c r="D354" s="356"/>
      <c r="E354" s="378" t="s">
        <v>293</v>
      </c>
      <c r="F354" s="378" t="s">
        <v>824</v>
      </c>
      <c r="G354" s="118">
        <v>1394.174</v>
      </c>
      <c r="H354" s="118"/>
      <c r="I354" s="118"/>
      <c r="J354" s="118"/>
      <c r="K354" s="118">
        <v>1394.174</v>
      </c>
      <c r="L354" s="118">
        <v>1319.893</v>
      </c>
      <c r="M354" s="118"/>
      <c r="N354" s="118"/>
      <c r="O354" s="118">
        <v>1319.893</v>
      </c>
      <c r="P354" s="118">
        <v>1197.5229999999999</v>
      </c>
      <c r="Q354" s="118"/>
      <c r="R354" s="118"/>
      <c r="S354" s="118">
        <v>1197.5229999999999</v>
      </c>
      <c r="T354" s="118">
        <v>820</v>
      </c>
      <c r="U354" s="118"/>
      <c r="V354" s="118"/>
      <c r="W354" s="118"/>
      <c r="X354" s="118">
        <v>820</v>
      </c>
      <c r="Y354" s="118">
        <v>809.572</v>
      </c>
      <c r="Z354" s="118"/>
      <c r="AA354" s="118"/>
      <c r="AB354" s="118"/>
      <c r="AC354" s="118">
        <v>809.572</v>
      </c>
      <c r="AD354" s="357">
        <f t="shared" si="17"/>
        <v>0.98728292682926833</v>
      </c>
      <c r="AE354" s="357"/>
      <c r="AF354" s="357"/>
      <c r="AG354" s="357"/>
      <c r="AH354" s="357">
        <f t="shared" si="20"/>
        <v>0.98728292682926833</v>
      </c>
    </row>
    <row r="355" spans="1:34" ht="45">
      <c r="A355" s="356" t="s">
        <v>29</v>
      </c>
      <c r="B355" s="346" t="s">
        <v>825</v>
      </c>
      <c r="C355" s="356" t="s">
        <v>225</v>
      </c>
      <c r="D355" s="356"/>
      <c r="E355" s="378" t="s">
        <v>293</v>
      </c>
      <c r="F355" s="378" t="s">
        <v>826</v>
      </c>
      <c r="G355" s="118">
        <v>1770.547</v>
      </c>
      <c r="H355" s="118"/>
      <c r="I355" s="118"/>
      <c r="J355" s="118"/>
      <c r="K355" s="118">
        <v>1770.547</v>
      </c>
      <c r="L355" s="118">
        <v>1481.8920000000001</v>
      </c>
      <c r="M355" s="118"/>
      <c r="N355" s="118"/>
      <c r="O355" s="118">
        <v>1481.8920000000001</v>
      </c>
      <c r="P355" s="118">
        <v>1300</v>
      </c>
      <c r="Q355" s="118"/>
      <c r="R355" s="118"/>
      <c r="S355" s="118">
        <v>1300</v>
      </c>
      <c r="T355" s="118">
        <v>730</v>
      </c>
      <c r="U355" s="118"/>
      <c r="V355" s="118"/>
      <c r="W355" s="118"/>
      <c r="X355" s="118">
        <v>730</v>
      </c>
      <c r="Y355" s="118">
        <v>730</v>
      </c>
      <c r="Z355" s="118"/>
      <c r="AA355" s="118"/>
      <c r="AB355" s="118"/>
      <c r="AC355" s="118">
        <v>730</v>
      </c>
      <c r="AD355" s="357">
        <f t="shared" si="17"/>
        <v>1</v>
      </c>
      <c r="AE355" s="357"/>
      <c r="AF355" s="357"/>
      <c r="AG355" s="357"/>
      <c r="AH355" s="357">
        <f t="shared" si="20"/>
        <v>1</v>
      </c>
    </row>
    <row r="356" spans="1:34" ht="78.75">
      <c r="A356" s="356" t="s">
        <v>29</v>
      </c>
      <c r="B356" s="346" t="s">
        <v>827</v>
      </c>
      <c r="C356" s="356" t="s">
        <v>299</v>
      </c>
      <c r="D356" s="356"/>
      <c r="E356" s="378" t="s">
        <v>589</v>
      </c>
      <c r="F356" s="378" t="s">
        <v>828</v>
      </c>
      <c r="G356" s="118">
        <v>622.38499999999999</v>
      </c>
      <c r="H356" s="118"/>
      <c r="I356" s="118"/>
      <c r="J356" s="118"/>
      <c r="K356" s="118">
        <v>622.38499999999999</v>
      </c>
      <c r="L356" s="118">
        <v>529.42600000000004</v>
      </c>
      <c r="M356" s="118"/>
      <c r="N356" s="118"/>
      <c r="O356" s="118">
        <v>529.42600000000004</v>
      </c>
      <c r="P356" s="118">
        <v>529.42600000000004</v>
      </c>
      <c r="Q356" s="118"/>
      <c r="R356" s="118"/>
      <c r="S356" s="118">
        <v>529.42600000000004</v>
      </c>
      <c r="T356" s="118">
        <v>79.426000000000002</v>
      </c>
      <c r="U356" s="118"/>
      <c r="V356" s="118"/>
      <c r="W356" s="118"/>
      <c r="X356" s="118">
        <v>79.426000000000002</v>
      </c>
      <c r="Y356" s="118">
        <v>79.426000000000002</v>
      </c>
      <c r="Z356" s="118"/>
      <c r="AA356" s="118"/>
      <c r="AB356" s="118"/>
      <c r="AC356" s="118">
        <v>79.426000000000002</v>
      </c>
      <c r="AD356" s="357">
        <f t="shared" si="17"/>
        <v>1</v>
      </c>
      <c r="AE356" s="357"/>
      <c r="AF356" s="357"/>
      <c r="AG356" s="357"/>
      <c r="AH356" s="357">
        <f t="shared" si="20"/>
        <v>1</v>
      </c>
    </row>
    <row r="357" spans="1:34" ht="47.25">
      <c r="A357" s="356" t="s">
        <v>29</v>
      </c>
      <c r="B357" s="346" t="s">
        <v>829</v>
      </c>
      <c r="C357" s="356" t="s">
        <v>439</v>
      </c>
      <c r="D357" s="356"/>
      <c r="E357" s="378" t="s">
        <v>230</v>
      </c>
      <c r="F357" s="378" t="s">
        <v>830</v>
      </c>
      <c r="G357" s="118">
        <v>1199.509</v>
      </c>
      <c r="H357" s="118"/>
      <c r="I357" s="118"/>
      <c r="J357" s="118"/>
      <c r="K357" s="118">
        <v>1199.509</v>
      </c>
      <c r="L357" s="118">
        <v>1031.328</v>
      </c>
      <c r="M357" s="118"/>
      <c r="N357" s="118"/>
      <c r="O357" s="118">
        <v>1031.328</v>
      </c>
      <c r="P357" s="118">
        <v>850</v>
      </c>
      <c r="Q357" s="118"/>
      <c r="R357" s="118"/>
      <c r="S357" s="118">
        <v>850</v>
      </c>
      <c r="T357" s="118">
        <v>419</v>
      </c>
      <c r="U357" s="118"/>
      <c r="V357" s="118"/>
      <c r="W357" s="118"/>
      <c r="X357" s="118">
        <v>419</v>
      </c>
      <c r="Y357" s="118">
        <v>417.40371900000002</v>
      </c>
      <c r="Z357" s="118"/>
      <c r="AA357" s="118"/>
      <c r="AB357" s="118"/>
      <c r="AC357" s="118">
        <v>417.40371900000002</v>
      </c>
      <c r="AD357" s="357">
        <f t="shared" si="17"/>
        <v>0.99619026014319811</v>
      </c>
      <c r="AE357" s="357"/>
      <c r="AF357" s="357"/>
      <c r="AG357" s="357"/>
      <c r="AH357" s="357">
        <f t="shared" si="20"/>
        <v>0.99619026014319811</v>
      </c>
    </row>
    <row r="358" spans="1:34" ht="47.25">
      <c r="A358" s="356" t="s">
        <v>29</v>
      </c>
      <c r="B358" s="346" t="s">
        <v>831</v>
      </c>
      <c r="C358" s="356" t="s">
        <v>225</v>
      </c>
      <c r="D358" s="356"/>
      <c r="E358" s="378">
        <v>2016</v>
      </c>
      <c r="F358" s="378" t="s">
        <v>832</v>
      </c>
      <c r="G358" s="118">
        <v>4305.68</v>
      </c>
      <c r="H358" s="118"/>
      <c r="I358" s="118"/>
      <c r="J358" s="118"/>
      <c r="K358" s="118">
        <v>4305.68</v>
      </c>
      <c r="L358" s="118">
        <v>3178.48</v>
      </c>
      <c r="M358" s="118"/>
      <c r="N358" s="118"/>
      <c r="O358" s="118">
        <v>3178.48</v>
      </c>
      <c r="P358" s="118">
        <v>2846</v>
      </c>
      <c r="Q358" s="118"/>
      <c r="R358" s="118"/>
      <c r="S358" s="118">
        <v>2846</v>
      </c>
      <c r="T358" s="118">
        <v>2753.3811999999998</v>
      </c>
      <c r="U358" s="118"/>
      <c r="V358" s="118"/>
      <c r="W358" s="118"/>
      <c r="X358" s="118">
        <v>2753.3811999999998</v>
      </c>
      <c r="Y358" s="118">
        <v>2699.3811999999998</v>
      </c>
      <c r="Z358" s="118"/>
      <c r="AA358" s="118"/>
      <c r="AB358" s="118"/>
      <c r="AC358" s="118">
        <v>2699.3811999999998</v>
      </c>
      <c r="AD358" s="357">
        <f t="shared" si="17"/>
        <v>0.98038775015969459</v>
      </c>
      <c r="AE358" s="357"/>
      <c r="AF358" s="357"/>
      <c r="AG358" s="357"/>
      <c r="AH358" s="357">
        <f t="shared" si="20"/>
        <v>0.98038775015969459</v>
      </c>
    </row>
    <row r="359" spans="1:34" ht="31.5">
      <c r="A359" s="356" t="s">
        <v>29</v>
      </c>
      <c r="B359" s="346" t="s">
        <v>833</v>
      </c>
      <c r="C359" s="356" t="s">
        <v>374</v>
      </c>
      <c r="D359" s="356"/>
      <c r="E359" s="378" t="s">
        <v>230</v>
      </c>
      <c r="F359" s="378" t="s">
        <v>834</v>
      </c>
      <c r="G359" s="118">
        <v>2593.7719999999999</v>
      </c>
      <c r="H359" s="118"/>
      <c r="I359" s="118"/>
      <c r="J359" s="118"/>
      <c r="K359" s="118">
        <v>2593.7719999999999</v>
      </c>
      <c r="L359" s="118">
        <v>1808.5940000000001</v>
      </c>
      <c r="M359" s="118"/>
      <c r="N359" s="118"/>
      <c r="O359" s="118">
        <v>1808.5940000000001</v>
      </c>
      <c r="P359" s="118">
        <v>1732.317</v>
      </c>
      <c r="Q359" s="118"/>
      <c r="R359" s="118"/>
      <c r="S359" s="118">
        <v>1732.317</v>
      </c>
      <c r="T359" s="118">
        <v>1814.251</v>
      </c>
      <c r="U359" s="118"/>
      <c r="V359" s="118"/>
      <c r="W359" s="118"/>
      <c r="X359" s="118">
        <v>1814.251</v>
      </c>
      <c r="Y359" s="118">
        <v>1630.943</v>
      </c>
      <c r="Z359" s="118"/>
      <c r="AA359" s="118"/>
      <c r="AB359" s="118"/>
      <c r="AC359" s="118">
        <v>1630.943</v>
      </c>
      <c r="AD359" s="357">
        <f t="shared" si="17"/>
        <v>0.89896216124450257</v>
      </c>
      <c r="AE359" s="357"/>
      <c r="AF359" s="357"/>
      <c r="AG359" s="357"/>
      <c r="AH359" s="357">
        <f t="shared" si="20"/>
        <v>0.89896216124450257</v>
      </c>
    </row>
    <row r="360" spans="1:34" ht="45">
      <c r="A360" s="356" t="s">
        <v>29</v>
      </c>
      <c r="B360" s="346" t="s">
        <v>835</v>
      </c>
      <c r="C360" s="356" t="s">
        <v>299</v>
      </c>
      <c r="D360" s="356"/>
      <c r="E360" s="378" t="s">
        <v>293</v>
      </c>
      <c r="F360" s="378" t="s">
        <v>836</v>
      </c>
      <c r="G360" s="118">
        <v>1381.999</v>
      </c>
      <c r="H360" s="118"/>
      <c r="I360" s="118"/>
      <c r="J360" s="118"/>
      <c r="K360" s="118">
        <v>1381.999</v>
      </c>
      <c r="L360" s="118">
        <v>1198.462</v>
      </c>
      <c r="M360" s="118"/>
      <c r="N360" s="118"/>
      <c r="O360" s="118">
        <v>1198.462</v>
      </c>
      <c r="P360" s="118">
        <v>1100</v>
      </c>
      <c r="Q360" s="118"/>
      <c r="R360" s="118"/>
      <c r="S360" s="118">
        <v>1100</v>
      </c>
      <c r="T360" s="118">
        <v>326.00799999999998</v>
      </c>
      <c r="U360" s="118"/>
      <c r="V360" s="118"/>
      <c r="W360" s="118"/>
      <c r="X360" s="118">
        <v>326.00799999999998</v>
      </c>
      <c r="Y360" s="118">
        <v>316.31</v>
      </c>
      <c r="Z360" s="118"/>
      <c r="AA360" s="118"/>
      <c r="AB360" s="118"/>
      <c r="AC360" s="118">
        <v>316.31</v>
      </c>
      <c r="AD360" s="357">
        <f t="shared" si="17"/>
        <v>0.9702522637481289</v>
      </c>
      <c r="AE360" s="357"/>
      <c r="AF360" s="357"/>
      <c r="AG360" s="357"/>
      <c r="AH360" s="357">
        <f t="shared" si="20"/>
        <v>0.9702522637481289</v>
      </c>
    </row>
    <row r="361" spans="1:34" ht="47.25">
      <c r="A361" s="356" t="s">
        <v>29</v>
      </c>
      <c r="B361" s="346" t="s">
        <v>837</v>
      </c>
      <c r="C361" s="356" t="s">
        <v>229</v>
      </c>
      <c r="D361" s="356"/>
      <c r="E361" s="378" t="s">
        <v>302</v>
      </c>
      <c r="F361" s="378" t="s">
        <v>838</v>
      </c>
      <c r="G361" s="118">
        <v>2996.498</v>
      </c>
      <c r="H361" s="118"/>
      <c r="I361" s="118"/>
      <c r="J361" s="118"/>
      <c r="K361" s="118">
        <v>2996.498</v>
      </c>
      <c r="L361" s="118">
        <v>1121.3979999999999</v>
      </c>
      <c r="M361" s="118"/>
      <c r="N361" s="118"/>
      <c r="O361" s="118">
        <v>1121.3979999999999</v>
      </c>
      <c r="P361" s="118">
        <v>1200</v>
      </c>
      <c r="Q361" s="118"/>
      <c r="R361" s="118"/>
      <c r="S361" s="118">
        <v>1200</v>
      </c>
      <c r="T361" s="118">
        <v>1200</v>
      </c>
      <c r="U361" s="118"/>
      <c r="V361" s="118"/>
      <c r="W361" s="118"/>
      <c r="X361" s="118">
        <v>1200</v>
      </c>
      <c r="Y361" s="118">
        <v>92.852999999999994</v>
      </c>
      <c r="Z361" s="118"/>
      <c r="AA361" s="118"/>
      <c r="AB361" s="118"/>
      <c r="AC361" s="118">
        <v>92.852999999999994</v>
      </c>
      <c r="AD361" s="357">
        <f t="shared" si="17"/>
        <v>7.7377500000000002E-2</v>
      </c>
      <c r="AE361" s="357"/>
      <c r="AF361" s="357"/>
      <c r="AG361" s="357"/>
      <c r="AH361" s="357">
        <f t="shared" si="20"/>
        <v>7.7377500000000002E-2</v>
      </c>
    </row>
    <row r="362" spans="1:34" ht="47.25">
      <c r="A362" s="356" t="s">
        <v>29</v>
      </c>
      <c r="B362" s="346" t="s">
        <v>839</v>
      </c>
      <c r="C362" s="356" t="s">
        <v>408</v>
      </c>
      <c r="D362" s="356"/>
      <c r="E362" s="378">
        <v>2017</v>
      </c>
      <c r="F362" s="378" t="s">
        <v>840</v>
      </c>
      <c r="G362" s="118">
        <v>465.971</v>
      </c>
      <c r="H362" s="118"/>
      <c r="I362" s="118"/>
      <c r="J362" s="118"/>
      <c r="K362" s="118">
        <v>465.971</v>
      </c>
      <c r="L362" s="118">
        <v>452.24400000000003</v>
      </c>
      <c r="M362" s="118"/>
      <c r="N362" s="118"/>
      <c r="O362" s="118">
        <v>452.24400000000003</v>
      </c>
      <c r="P362" s="118">
        <v>272.51</v>
      </c>
      <c r="Q362" s="118"/>
      <c r="R362" s="118"/>
      <c r="S362" s="118">
        <v>272.51</v>
      </c>
      <c r="T362" s="118">
        <v>465</v>
      </c>
      <c r="U362" s="118"/>
      <c r="V362" s="118"/>
      <c r="W362" s="118"/>
      <c r="X362" s="118">
        <v>465</v>
      </c>
      <c r="Y362" s="118">
        <v>272.50970000000001</v>
      </c>
      <c r="Z362" s="118"/>
      <c r="AA362" s="118"/>
      <c r="AB362" s="118"/>
      <c r="AC362" s="118">
        <v>272.50970000000001</v>
      </c>
      <c r="AD362" s="357">
        <f t="shared" si="17"/>
        <v>0.58604236559139788</v>
      </c>
      <c r="AE362" s="357"/>
      <c r="AF362" s="357"/>
      <c r="AG362" s="357"/>
      <c r="AH362" s="357">
        <f t="shared" si="20"/>
        <v>0.58604236559139788</v>
      </c>
    </row>
    <row r="363" spans="1:34" ht="31.5">
      <c r="A363" s="356" t="s">
        <v>29</v>
      </c>
      <c r="B363" s="346" t="s">
        <v>841</v>
      </c>
      <c r="C363" s="356"/>
      <c r="D363" s="356"/>
      <c r="E363" s="378"/>
      <c r="F363" s="378"/>
      <c r="G363" s="118">
        <v>481.31299999999999</v>
      </c>
      <c r="H363" s="118"/>
      <c r="I363" s="118"/>
      <c r="J363" s="118"/>
      <c r="K363" s="118">
        <v>481.31299999999999</v>
      </c>
      <c r="L363" s="118">
        <v>26.402999999999999</v>
      </c>
      <c r="M363" s="118"/>
      <c r="N363" s="118"/>
      <c r="O363" s="118">
        <v>26.402999999999999</v>
      </c>
      <c r="P363" s="118">
        <v>26.402999999999999</v>
      </c>
      <c r="Q363" s="118"/>
      <c r="R363" s="118"/>
      <c r="S363" s="118">
        <v>26.402999999999999</v>
      </c>
      <c r="T363" s="118">
        <v>450</v>
      </c>
      <c r="U363" s="118"/>
      <c r="V363" s="118"/>
      <c r="W363" s="118"/>
      <c r="X363" s="118">
        <v>450</v>
      </c>
      <c r="Y363" s="118">
        <v>26.402999999999999</v>
      </c>
      <c r="Z363" s="118"/>
      <c r="AA363" s="118"/>
      <c r="AB363" s="118"/>
      <c r="AC363" s="118">
        <v>26.402999999999999</v>
      </c>
      <c r="AD363" s="357">
        <f t="shared" si="17"/>
        <v>5.8673333333333327E-2</v>
      </c>
      <c r="AE363" s="357"/>
      <c r="AF363" s="357"/>
      <c r="AG363" s="357"/>
      <c r="AH363" s="357">
        <f t="shared" si="20"/>
        <v>5.8673333333333327E-2</v>
      </c>
    </row>
    <row r="364" spans="1:34" s="355" customFormat="1">
      <c r="A364" s="343">
        <v>57</v>
      </c>
      <c r="B364" s="344" t="s">
        <v>194</v>
      </c>
      <c r="C364" s="343"/>
      <c r="D364" s="343"/>
      <c r="E364" s="366"/>
      <c r="F364" s="366"/>
      <c r="G364" s="354"/>
      <c r="H364" s="354"/>
      <c r="I364" s="354"/>
      <c r="J364" s="354"/>
      <c r="K364" s="354"/>
      <c r="L364" s="354"/>
      <c r="M364" s="354"/>
      <c r="N364" s="354"/>
      <c r="O364" s="354"/>
      <c r="P364" s="354"/>
      <c r="Q364" s="354"/>
      <c r="R364" s="354"/>
      <c r="S364" s="354"/>
      <c r="T364" s="354"/>
      <c r="U364" s="354"/>
      <c r="V364" s="354"/>
      <c r="W364" s="354"/>
      <c r="X364" s="354"/>
      <c r="Y364" s="354"/>
      <c r="Z364" s="354"/>
      <c r="AA364" s="354"/>
      <c r="AB364" s="354"/>
      <c r="AC364" s="354"/>
      <c r="AD364" s="357"/>
      <c r="AE364" s="357"/>
      <c r="AF364" s="357"/>
      <c r="AG364" s="357"/>
      <c r="AH364" s="357"/>
    </row>
    <row r="365" spans="1:34" ht="150">
      <c r="A365" s="356" t="s">
        <v>29</v>
      </c>
      <c r="B365" s="346" t="s">
        <v>842</v>
      </c>
      <c r="C365" s="356" t="s">
        <v>843</v>
      </c>
      <c r="D365" s="356"/>
      <c r="E365" s="378" t="s">
        <v>293</v>
      </c>
      <c r="F365" s="378" t="s">
        <v>844</v>
      </c>
      <c r="G365" s="118">
        <v>1470.9190000000001</v>
      </c>
      <c r="H365" s="118"/>
      <c r="I365" s="118"/>
      <c r="J365" s="118"/>
      <c r="K365" s="118">
        <v>1470.9190000000001</v>
      </c>
      <c r="L365" s="118">
        <v>1133.962</v>
      </c>
      <c r="M365" s="118"/>
      <c r="N365" s="118"/>
      <c r="O365" s="118">
        <v>1133.962</v>
      </c>
      <c r="P365" s="118">
        <v>1230</v>
      </c>
      <c r="Q365" s="118"/>
      <c r="R365" s="118"/>
      <c r="S365" s="118">
        <v>1230</v>
      </c>
      <c r="T365" s="118">
        <v>530</v>
      </c>
      <c r="U365" s="118"/>
      <c r="V365" s="118"/>
      <c r="W365" s="118"/>
      <c r="X365" s="118">
        <v>530</v>
      </c>
      <c r="Y365" s="118">
        <v>433.96199999999999</v>
      </c>
      <c r="Z365" s="118"/>
      <c r="AA365" s="118"/>
      <c r="AB365" s="118"/>
      <c r="AC365" s="118">
        <v>433.96199999999999</v>
      </c>
      <c r="AD365" s="357">
        <f t="shared" si="17"/>
        <v>0.81879622641509431</v>
      </c>
      <c r="AE365" s="357"/>
      <c r="AF365" s="357"/>
      <c r="AG365" s="357"/>
      <c r="AH365" s="357">
        <f>AC365/X365</f>
        <v>0.81879622641509431</v>
      </c>
    </row>
    <row r="366" spans="1:34" s="355" customFormat="1">
      <c r="A366" s="343">
        <v>58</v>
      </c>
      <c r="B366" s="344" t="s">
        <v>195</v>
      </c>
      <c r="C366" s="343"/>
      <c r="D366" s="343"/>
      <c r="E366" s="366"/>
      <c r="F366" s="366"/>
      <c r="G366" s="354"/>
      <c r="H366" s="354"/>
      <c r="I366" s="354"/>
      <c r="J366" s="354"/>
      <c r="K366" s="354"/>
      <c r="L366" s="354"/>
      <c r="M366" s="354"/>
      <c r="N366" s="354"/>
      <c r="O366" s="354"/>
      <c r="P366" s="354"/>
      <c r="Q366" s="354"/>
      <c r="R366" s="354"/>
      <c r="S366" s="354"/>
      <c r="T366" s="354"/>
      <c r="U366" s="354"/>
      <c r="V366" s="354"/>
      <c r="W366" s="354"/>
      <c r="X366" s="354"/>
      <c r="Y366" s="354"/>
      <c r="Z366" s="354"/>
      <c r="AA366" s="354"/>
      <c r="AB366" s="354"/>
      <c r="AC366" s="354"/>
      <c r="AD366" s="357"/>
      <c r="AE366" s="357"/>
      <c r="AF366" s="357"/>
      <c r="AG366" s="357"/>
      <c r="AH366" s="357"/>
    </row>
    <row r="367" spans="1:34" ht="31.5">
      <c r="A367" s="356" t="s">
        <v>29</v>
      </c>
      <c r="B367" s="346" t="s">
        <v>845</v>
      </c>
      <c r="C367" s="356" t="s">
        <v>225</v>
      </c>
      <c r="D367" s="356"/>
      <c r="E367" s="378" t="s">
        <v>230</v>
      </c>
      <c r="F367" s="378" t="s">
        <v>846</v>
      </c>
      <c r="G367" s="118">
        <v>29813</v>
      </c>
      <c r="H367" s="118"/>
      <c r="I367" s="118">
        <v>29813</v>
      </c>
      <c r="J367" s="118"/>
      <c r="K367" s="118"/>
      <c r="L367" s="118">
        <v>22947</v>
      </c>
      <c r="M367" s="118"/>
      <c r="N367" s="118">
        <v>22947</v>
      </c>
      <c r="O367" s="118"/>
      <c r="P367" s="118">
        <v>24180</v>
      </c>
      <c r="Q367" s="118"/>
      <c r="R367" s="118"/>
      <c r="S367" s="118">
        <v>24180</v>
      </c>
      <c r="T367" s="118">
        <v>16283</v>
      </c>
      <c r="U367" s="118"/>
      <c r="V367" s="118"/>
      <c r="W367" s="118"/>
      <c r="X367" s="118">
        <v>16283</v>
      </c>
      <c r="Y367" s="118">
        <v>8630.107</v>
      </c>
      <c r="Z367" s="118"/>
      <c r="AA367" s="118"/>
      <c r="AB367" s="118"/>
      <c r="AC367" s="118">
        <v>8630.107</v>
      </c>
      <c r="AD367" s="357">
        <f t="shared" si="17"/>
        <v>0.53000718540809433</v>
      </c>
      <c r="AE367" s="357"/>
      <c r="AF367" s="357"/>
      <c r="AG367" s="357"/>
      <c r="AH367" s="357">
        <f>AC367/X367</f>
        <v>0.53000718540809433</v>
      </c>
    </row>
    <row r="368" spans="1:34" ht="31.5">
      <c r="A368" s="356" t="s">
        <v>29</v>
      </c>
      <c r="B368" s="346" t="s">
        <v>847</v>
      </c>
      <c r="C368" s="356"/>
      <c r="D368" s="356"/>
      <c r="E368" s="382" t="s">
        <v>848</v>
      </c>
      <c r="F368" s="378" t="s">
        <v>849</v>
      </c>
      <c r="G368" s="118">
        <v>896.84699999999998</v>
      </c>
      <c r="H368" s="118"/>
      <c r="I368" s="118"/>
      <c r="J368" s="118"/>
      <c r="K368" s="118">
        <f>G368</f>
        <v>896.84699999999998</v>
      </c>
      <c r="L368" s="118">
        <v>995</v>
      </c>
      <c r="M368" s="118"/>
      <c r="N368" s="118"/>
      <c r="O368" s="118">
        <v>995</v>
      </c>
      <c r="P368" s="118">
        <v>995</v>
      </c>
      <c r="Q368" s="118"/>
      <c r="R368" s="118"/>
      <c r="S368" s="118">
        <v>995</v>
      </c>
      <c r="T368" s="118">
        <v>995</v>
      </c>
      <c r="U368" s="118"/>
      <c r="V368" s="118"/>
      <c r="W368" s="118"/>
      <c r="X368" s="118">
        <v>995</v>
      </c>
      <c r="Y368" s="118">
        <v>500.73500000000001</v>
      </c>
      <c r="Z368" s="118"/>
      <c r="AA368" s="118"/>
      <c r="AB368" s="118"/>
      <c r="AC368" s="118">
        <v>500.73500000000001</v>
      </c>
      <c r="AD368" s="357">
        <f t="shared" si="17"/>
        <v>0.5032512562814071</v>
      </c>
      <c r="AE368" s="357"/>
      <c r="AF368" s="357"/>
      <c r="AG368" s="357"/>
      <c r="AH368" s="357">
        <f>AC368/X368</f>
        <v>0.5032512562814071</v>
      </c>
    </row>
    <row r="369" spans="1:34" s="355" customFormat="1">
      <c r="A369" s="343">
        <v>59</v>
      </c>
      <c r="B369" s="344" t="s">
        <v>196</v>
      </c>
      <c r="C369" s="343"/>
      <c r="D369" s="343"/>
      <c r="E369" s="366"/>
      <c r="F369" s="366"/>
      <c r="G369" s="354"/>
      <c r="H369" s="354"/>
      <c r="I369" s="354"/>
      <c r="J369" s="354"/>
      <c r="K369" s="354"/>
      <c r="L369" s="354"/>
      <c r="M369" s="354"/>
      <c r="N369" s="354"/>
      <c r="O369" s="354"/>
      <c r="P369" s="354"/>
      <c r="Q369" s="354"/>
      <c r="R369" s="354"/>
      <c r="S369" s="354"/>
      <c r="T369" s="354"/>
      <c r="U369" s="354"/>
      <c r="V369" s="354"/>
      <c r="W369" s="354"/>
      <c r="X369" s="354"/>
      <c r="Y369" s="354"/>
      <c r="Z369" s="354"/>
      <c r="AA369" s="354"/>
      <c r="AB369" s="354"/>
      <c r="AC369" s="354"/>
      <c r="AD369" s="357"/>
      <c r="AE369" s="357"/>
      <c r="AF369" s="357"/>
      <c r="AG369" s="357"/>
      <c r="AH369" s="357"/>
    </row>
    <row r="370" spans="1:34" ht="63">
      <c r="A370" s="356" t="s">
        <v>29</v>
      </c>
      <c r="B370" s="346" t="s">
        <v>850</v>
      </c>
      <c r="C370" s="356" t="s">
        <v>612</v>
      </c>
      <c r="D370" s="356"/>
      <c r="E370" s="378" t="s">
        <v>851</v>
      </c>
      <c r="F370" s="378" t="s">
        <v>852</v>
      </c>
      <c r="G370" s="118">
        <v>2762</v>
      </c>
      <c r="H370" s="118"/>
      <c r="I370" s="118"/>
      <c r="J370" s="118"/>
      <c r="K370" s="118">
        <v>2762</v>
      </c>
      <c r="L370" s="118">
        <v>2461</v>
      </c>
      <c r="M370" s="118"/>
      <c r="N370" s="118"/>
      <c r="O370" s="118">
        <v>2461</v>
      </c>
      <c r="P370" s="118">
        <v>2488</v>
      </c>
      <c r="Q370" s="118"/>
      <c r="R370" s="118"/>
      <c r="S370" s="118">
        <v>2488</v>
      </c>
      <c r="T370" s="118">
        <v>158</v>
      </c>
      <c r="U370" s="118"/>
      <c r="V370" s="118"/>
      <c r="W370" s="118"/>
      <c r="X370" s="118">
        <v>158</v>
      </c>
      <c r="Y370" s="118">
        <v>130.70599999999999</v>
      </c>
      <c r="Z370" s="118"/>
      <c r="AA370" s="118"/>
      <c r="AB370" s="118"/>
      <c r="AC370" s="118">
        <v>130.70599999999999</v>
      </c>
      <c r="AD370" s="357">
        <f t="shared" si="17"/>
        <v>0.82725316455696196</v>
      </c>
      <c r="AE370" s="357"/>
      <c r="AF370" s="357"/>
      <c r="AG370" s="357"/>
      <c r="AH370" s="357">
        <f t="shared" ref="AH370:AH376" si="21">AC370/X370</f>
        <v>0.82725316455696196</v>
      </c>
    </row>
    <row r="371" spans="1:34" ht="63">
      <c r="A371" s="356" t="s">
        <v>29</v>
      </c>
      <c r="B371" s="346" t="s">
        <v>853</v>
      </c>
      <c r="C371" s="356" t="s">
        <v>408</v>
      </c>
      <c r="D371" s="356"/>
      <c r="E371" s="378" t="s">
        <v>278</v>
      </c>
      <c r="F371" s="378" t="s">
        <v>854</v>
      </c>
      <c r="G371" s="118">
        <v>2873</v>
      </c>
      <c r="H371" s="118"/>
      <c r="I371" s="118"/>
      <c r="J371" s="118"/>
      <c r="K371" s="118">
        <v>2873</v>
      </c>
      <c r="L371" s="118">
        <v>2617</v>
      </c>
      <c r="M371" s="118"/>
      <c r="N371" s="118"/>
      <c r="O371" s="118">
        <v>2617</v>
      </c>
      <c r="P371" s="118">
        <v>2861</v>
      </c>
      <c r="Q371" s="118"/>
      <c r="R371" s="118"/>
      <c r="S371" s="118">
        <v>2861</v>
      </c>
      <c r="T371" s="118">
        <v>1214</v>
      </c>
      <c r="U371" s="118"/>
      <c r="V371" s="118"/>
      <c r="W371" s="118"/>
      <c r="X371" s="118">
        <v>1214</v>
      </c>
      <c r="Y371" s="118">
        <v>757.53099999999995</v>
      </c>
      <c r="Z371" s="118"/>
      <c r="AA371" s="118"/>
      <c r="AB371" s="118"/>
      <c r="AC371" s="118">
        <v>757.53099999999995</v>
      </c>
      <c r="AD371" s="357">
        <f t="shared" si="17"/>
        <v>0.62399588138385498</v>
      </c>
      <c r="AE371" s="357"/>
      <c r="AF371" s="357"/>
      <c r="AG371" s="357"/>
      <c r="AH371" s="357">
        <f t="shared" si="21"/>
        <v>0.62399588138385498</v>
      </c>
    </row>
    <row r="372" spans="1:34" ht="45">
      <c r="A372" s="356" t="s">
        <v>29</v>
      </c>
      <c r="B372" s="346" t="s">
        <v>855</v>
      </c>
      <c r="C372" s="356" t="s">
        <v>225</v>
      </c>
      <c r="D372" s="356"/>
      <c r="E372" s="378" t="s">
        <v>230</v>
      </c>
      <c r="F372" s="378" t="s">
        <v>856</v>
      </c>
      <c r="G372" s="118">
        <v>10138</v>
      </c>
      <c r="H372" s="118">
        <v>3402</v>
      </c>
      <c r="I372" s="118"/>
      <c r="J372" s="118"/>
      <c r="K372" s="118">
        <v>6736</v>
      </c>
      <c r="L372" s="118">
        <v>6150</v>
      </c>
      <c r="M372" s="118"/>
      <c r="N372" s="118"/>
      <c r="O372" s="118">
        <v>6150</v>
      </c>
      <c r="P372" s="118">
        <v>4250</v>
      </c>
      <c r="Q372" s="118"/>
      <c r="R372" s="118"/>
      <c r="S372" s="118">
        <v>4250</v>
      </c>
      <c r="T372" s="118">
        <v>3979.6</v>
      </c>
      <c r="U372" s="118"/>
      <c r="V372" s="118"/>
      <c r="W372" s="118"/>
      <c r="X372" s="118">
        <v>3979.6</v>
      </c>
      <c r="Y372" s="118">
        <v>3815.7559999999999</v>
      </c>
      <c r="Z372" s="118"/>
      <c r="AA372" s="118"/>
      <c r="AB372" s="118"/>
      <c r="AC372" s="118">
        <v>3815.7559999999999</v>
      </c>
      <c r="AD372" s="357">
        <f t="shared" si="17"/>
        <v>0.95882902804301939</v>
      </c>
      <c r="AE372" s="357"/>
      <c r="AF372" s="357"/>
      <c r="AG372" s="357"/>
      <c r="AH372" s="357">
        <f t="shared" si="21"/>
        <v>0.95882902804301939</v>
      </c>
    </row>
    <row r="373" spans="1:34" ht="47.25">
      <c r="A373" s="356" t="s">
        <v>29</v>
      </c>
      <c r="B373" s="346" t="s">
        <v>857</v>
      </c>
      <c r="C373" s="356" t="s">
        <v>299</v>
      </c>
      <c r="D373" s="356"/>
      <c r="E373" s="378" t="s">
        <v>293</v>
      </c>
      <c r="F373" s="378" t="s">
        <v>858</v>
      </c>
      <c r="G373" s="118">
        <v>2927</v>
      </c>
      <c r="H373" s="118"/>
      <c r="I373" s="118"/>
      <c r="J373" s="118"/>
      <c r="K373" s="118">
        <v>2927</v>
      </c>
      <c r="L373" s="118">
        <v>2721</v>
      </c>
      <c r="M373" s="118"/>
      <c r="N373" s="118"/>
      <c r="O373" s="118">
        <v>2721</v>
      </c>
      <c r="P373" s="118">
        <v>2000</v>
      </c>
      <c r="Q373" s="118"/>
      <c r="R373" s="118"/>
      <c r="S373" s="118">
        <v>2000</v>
      </c>
      <c r="T373" s="118">
        <v>1100</v>
      </c>
      <c r="U373" s="118"/>
      <c r="V373" s="118"/>
      <c r="W373" s="118"/>
      <c r="X373" s="118">
        <v>1100</v>
      </c>
      <c r="Y373" s="118">
        <v>1100</v>
      </c>
      <c r="Z373" s="118"/>
      <c r="AA373" s="118"/>
      <c r="AB373" s="118"/>
      <c r="AC373" s="118">
        <v>1100</v>
      </c>
      <c r="AD373" s="357">
        <f t="shared" si="17"/>
        <v>1</v>
      </c>
      <c r="AE373" s="357"/>
      <c r="AF373" s="357"/>
      <c r="AG373" s="357"/>
      <c r="AH373" s="357">
        <f t="shared" si="21"/>
        <v>1</v>
      </c>
    </row>
    <row r="374" spans="1:34" ht="63">
      <c r="A374" s="356" t="s">
        <v>29</v>
      </c>
      <c r="B374" s="346" t="s">
        <v>859</v>
      </c>
      <c r="C374" s="356" t="s">
        <v>225</v>
      </c>
      <c r="D374" s="356"/>
      <c r="E374" s="378" t="s">
        <v>226</v>
      </c>
      <c r="F374" s="378" t="s">
        <v>860</v>
      </c>
      <c r="G374" s="118">
        <v>4008</v>
      </c>
      <c r="H374" s="118"/>
      <c r="I374" s="118"/>
      <c r="J374" s="118"/>
      <c r="K374" s="118">
        <v>4008</v>
      </c>
      <c r="L374" s="118">
        <v>1800</v>
      </c>
      <c r="M374" s="118"/>
      <c r="N374" s="118"/>
      <c r="O374" s="118">
        <v>1800</v>
      </c>
      <c r="P374" s="118">
        <v>2000</v>
      </c>
      <c r="Q374" s="118"/>
      <c r="R374" s="118"/>
      <c r="S374" s="118">
        <v>2000</v>
      </c>
      <c r="T374" s="118">
        <v>2000</v>
      </c>
      <c r="U374" s="118"/>
      <c r="V374" s="118"/>
      <c r="W374" s="118"/>
      <c r="X374" s="118">
        <v>2000</v>
      </c>
      <c r="Y374" s="118">
        <v>1523.982</v>
      </c>
      <c r="Z374" s="118"/>
      <c r="AA374" s="118"/>
      <c r="AB374" s="118"/>
      <c r="AC374" s="118">
        <v>1523.982</v>
      </c>
      <c r="AD374" s="357">
        <f t="shared" si="17"/>
        <v>0.76199099999999997</v>
      </c>
      <c r="AE374" s="357"/>
      <c r="AF374" s="357"/>
      <c r="AG374" s="357"/>
      <c r="AH374" s="357">
        <f t="shared" si="21"/>
        <v>0.76199099999999997</v>
      </c>
    </row>
    <row r="375" spans="1:34" ht="31.5">
      <c r="A375" s="356" t="s">
        <v>29</v>
      </c>
      <c r="B375" s="346" t="s">
        <v>861</v>
      </c>
      <c r="C375" s="356" t="s">
        <v>299</v>
      </c>
      <c r="D375" s="356"/>
      <c r="E375" s="378" t="s">
        <v>226</v>
      </c>
      <c r="F375" s="378" t="s">
        <v>862</v>
      </c>
      <c r="G375" s="118">
        <v>1000</v>
      </c>
      <c r="H375" s="118"/>
      <c r="I375" s="118"/>
      <c r="J375" s="118"/>
      <c r="K375" s="118">
        <v>1000</v>
      </c>
      <c r="L375" s="118">
        <v>900</v>
      </c>
      <c r="M375" s="118"/>
      <c r="N375" s="118"/>
      <c r="O375" s="118">
        <v>900</v>
      </c>
      <c r="P375" s="118">
        <v>1000</v>
      </c>
      <c r="Q375" s="118"/>
      <c r="R375" s="118"/>
      <c r="S375" s="118">
        <v>1000</v>
      </c>
      <c r="T375" s="118">
        <v>1000</v>
      </c>
      <c r="U375" s="118"/>
      <c r="V375" s="118"/>
      <c r="W375" s="118"/>
      <c r="X375" s="118">
        <v>1000</v>
      </c>
      <c r="Y375" s="118">
        <v>48.192</v>
      </c>
      <c r="Z375" s="118"/>
      <c r="AA375" s="118"/>
      <c r="AB375" s="118"/>
      <c r="AC375" s="118">
        <v>48.192</v>
      </c>
      <c r="AD375" s="357">
        <f t="shared" si="17"/>
        <v>4.8191999999999999E-2</v>
      </c>
      <c r="AE375" s="357"/>
      <c r="AF375" s="357"/>
      <c r="AG375" s="357"/>
      <c r="AH375" s="357">
        <f t="shared" si="21"/>
        <v>4.8191999999999999E-2</v>
      </c>
    </row>
    <row r="376" spans="1:34" ht="47.25">
      <c r="A376" s="356" t="s">
        <v>29</v>
      </c>
      <c r="B376" s="346" t="s">
        <v>863</v>
      </c>
      <c r="C376" s="356"/>
      <c r="D376" s="356"/>
      <c r="E376" s="378"/>
      <c r="F376" s="378"/>
      <c r="G376" s="118"/>
      <c r="H376" s="118"/>
      <c r="I376" s="118"/>
      <c r="J376" s="118"/>
      <c r="K376" s="118"/>
      <c r="L376" s="118"/>
      <c r="M376" s="118"/>
      <c r="N376" s="118"/>
      <c r="O376" s="118"/>
      <c r="P376" s="118"/>
      <c r="Q376" s="118"/>
      <c r="R376" s="118"/>
      <c r="S376" s="118"/>
      <c r="T376" s="118">
        <v>300</v>
      </c>
      <c r="U376" s="118"/>
      <c r="V376" s="118"/>
      <c r="W376" s="118"/>
      <c r="X376" s="118">
        <v>300</v>
      </c>
      <c r="Y376" s="118">
        <v>0</v>
      </c>
      <c r="Z376" s="118"/>
      <c r="AA376" s="118"/>
      <c r="AB376" s="118"/>
      <c r="AC376" s="118"/>
      <c r="AD376" s="357">
        <f t="shared" si="17"/>
        <v>0</v>
      </c>
      <c r="AE376" s="357"/>
      <c r="AF376" s="357"/>
      <c r="AG376" s="357"/>
      <c r="AH376" s="357">
        <f t="shared" si="21"/>
        <v>0</v>
      </c>
    </row>
    <row r="377" spans="1:34" s="355" customFormat="1">
      <c r="A377" s="343">
        <v>60</v>
      </c>
      <c r="B377" s="344" t="s">
        <v>197</v>
      </c>
      <c r="C377" s="343"/>
      <c r="D377" s="343"/>
      <c r="E377" s="366"/>
      <c r="F377" s="366"/>
      <c r="G377" s="354"/>
      <c r="H377" s="354"/>
      <c r="I377" s="354"/>
      <c r="J377" s="354"/>
      <c r="K377" s="354"/>
      <c r="L377" s="354"/>
      <c r="M377" s="354"/>
      <c r="N377" s="354"/>
      <c r="O377" s="354"/>
      <c r="P377" s="354"/>
      <c r="Q377" s="354"/>
      <c r="R377" s="354"/>
      <c r="S377" s="354"/>
      <c r="T377" s="354"/>
      <c r="U377" s="354"/>
      <c r="V377" s="354"/>
      <c r="W377" s="354"/>
      <c r="X377" s="354"/>
      <c r="Y377" s="354"/>
      <c r="Z377" s="354"/>
      <c r="AA377" s="354"/>
      <c r="AB377" s="354"/>
      <c r="AC377" s="354"/>
      <c r="AD377" s="357"/>
      <c r="AE377" s="357"/>
      <c r="AF377" s="357"/>
      <c r="AG377" s="357"/>
      <c r="AH377" s="357"/>
    </row>
    <row r="378" spans="1:34" ht="63">
      <c r="A378" s="356" t="s">
        <v>29</v>
      </c>
      <c r="B378" s="346" t="s">
        <v>864</v>
      </c>
      <c r="C378" s="356" t="s">
        <v>408</v>
      </c>
      <c r="D378" s="356"/>
      <c r="E378" s="378" t="s">
        <v>278</v>
      </c>
      <c r="F378" s="378" t="s">
        <v>865</v>
      </c>
      <c r="G378" s="118">
        <f>4089.25+4261.241</f>
        <v>8350.491</v>
      </c>
      <c r="H378" s="118"/>
      <c r="I378" s="118">
        <f>2862.475+1979</f>
        <v>4841.4750000000004</v>
      </c>
      <c r="J378" s="118"/>
      <c r="K378" s="118">
        <f>G378-I378</f>
        <v>3509.0159999999996</v>
      </c>
      <c r="L378" s="118">
        <f>3402.86+3977.159</f>
        <v>7380.0190000000002</v>
      </c>
      <c r="M378" s="118"/>
      <c r="N378" s="118">
        <v>4841.4750000000004</v>
      </c>
      <c r="O378" s="118">
        <f>L378-N378</f>
        <v>2538.5439999999999</v>
      </c>
      <c r="P378" s="118">
        <f>3402.86+2979</f>
        <v>6381.8600000000006</v>
      </c>
      <c r="Q378" s="118"/>
      <c r="R378" s="118">
        <f>3402.86+1979</f>
        <v>5381.8600000000006</v>
      </c>
      <c r="S378" s="118">
        <f>P378-R378</f>
        <v>1000</v>
      </c>
      <c r="T378" s="118">
        <v>4000</v>
      </c>
      <c r="U378" s="118"/>
      <c r="V378" s="118"/>
      <c r="W378" s="118"/>
      <c r="X378" s="118">
        <v>4000</v>
      </c>
      <c r="Y378" s="118">
        <v>3999.86</v>
      </c>
      <c r="Z378" s="118"/>
      <c r="AA378" s="118"/>
      <c r="AB378" s="118"/>
      <c r="AC378" s="118">
        <v>3999.86</v>
      </c>
      <c r="AD378" s="357">
        <f t="shared" si="17"/>
        <v>0.99996499999999999</v>
      </c>
      <c r="AE378" s="357"/>
      <c r="AF378" s="357"/>
      <c r="AG378" s="357"/>
      <c r="AH378" s="357">
        <f>AC378/X378</f>
        <v>0.99996499999999999</v>
      </c>
    </row>
    <row r="379" spans="1:34" ht="47.25">
      <c r="A379" s="356" t="s">
        <v>29</v>
      </c>
      <c r="B379" s="346" t="s">
        <v>866</v>
      </c>
      <c r="C379" s="356" t="s">
        <v>408</v>
      </c>
      <c r="D379" s="356"/>
      <c r="E379" s="378" t="s">
        <v>248</v>
      </c>
      <c r="F379" s="378" t="s">
        <v>867</v>
      </c>
      <c r="G379" s="118">
        <v>4992.2169999999996</v>
      </c>
      <c r="H379" s="118"/>
      <c r="I379" s="118"/>
      <c r="J379" s="118"/>
      <c r="K379" s="118">
        <v>4992.2169999999996</v>
      </c>
      <c r="L379" s="118">
        <v>4499.8469999999998</v>
      </c>
      <c r="M379" s="118"/>
      <c r="N379" s="118"/>
      <c r="O379" s="118">
        <v>4499.8469999999998</v>
      </c>
      <c r="P379" s="118">
        <v>4000</v>
      </c>
      <c r="Q379" s="118"/>
      <c r="R379" s="118"/>
      <c r="S379" s="118">
        <v>4000</v>
      </c>
      <c r="T379" s="118">
        <v>2000</v>
      </c>
      <c r="U379" s="118"/>
      <c r="V379" s="118"/>
      <c r="W379" s="118"/>
      <c r="X379" s="118">
        <v>2000</v>
      </c>
      <c r="Y379" s="118">
        <v>2000</v>
      </c>
      <c r="Z379" s="118"/>
      <c r="AA379" s="118"/>
      <c r="AB379" s="118"/>
      <c r="AC379" s="118">
        <v>2000</v>
      </c>
      <c r="AD379" s="357">
        <f t="shared" si="17"/>
        <v>1</v>
      </c>
      <c r="AE379" s="357"/>
      <c r="AF379" s="357"/>
      <c r="AG379" s="357"/>
      <c r="AH379" s="357">
        <f>AC379/X379</f>
        <v>1</v>
      </c>
    </row>
    <row r="380" spans="1:34" ht="47.25">
      <c r="A380" s="356" t="s">
        <v>29</v>
      </c>
      <c r="B380" s="346" t="s">
        <v>868</v>
      </c>
      <c r="C380" s="356" t="s">
        <v>408</v>
      </c>
      <c r="D380" s="356"/>
      <c r="E380" s="378" t="s">
        <v>248</v>
      </c>
      <c r="F380" s="378" t="s">
        <v>869</v>
      </c>
      <c r="G380" s="118">
        <v>661.93299999999999</v>
      </c>
      <c r="H380" s="118"/>
      <c r="I380" s="118"/>
      <c r="J380" s="118"/>
      <c r="K380" s="118">
        <v>661.93299999999999</v>
      </c>
      <c r="L380" s="118">
        <v>661.93299999999999</v>
      </c>
      <c r="M380" s="118"/>
      <c r="N380" s="118"/>
      <c r="O380" s="118">
        <v>661.93299999999999</v>
      </c>
      <c r="P380" s="118">
        <v>661.93299999999999</v>
      </c>
      <c r="Q380" s="118"/>
      <c r="R380" s="118"/>
      <c r="S380" s="118">
        <v>661.93299999999999</v>
      </c>
      <c r="T380" s="118">
        <v>111.139</v>
      </c>
      <c r="U380" s="118"/>
      <c r="V380" s="118"/>
      <c r="W380" s="118"/>
      <c r="X380" s="118">
        <v>111.139</v>
      </c>
      <c r="Y380" s="118">
        <v>111.139</v>
      </c>
      <c r="Z380" s="118"/>
      <c r="AA380" s="118"/>
      <c r="AB380" s="118"/>
      <c r="AC380" s="118">
        <v>111.139</v>
      </c>
      <c r="AD380" s="357">
        <f t="shared" si="17"/>
        <v>1</v>
      </c>
      <c r="AE380" s="357"/>
      <c r="AF380" s="357"/>
      <c r="AG380" s="357"/>
      <c r="AH380" s="357">
        <f>AC380/X380</f>
        <v>1</v>
      </c>
    </row>
    <row r="381" spans="1:34" ht="31.5">
      <c r="A381" s="356" t="s">
        <v>29</v>
      </c>
      <c r="B381" s="346" t="s">
        <v>870</v>
      </c>
      <c r="C381" s="356" t="s">
        <v>408</v>
      </c>
      <c r="D381" s="356"/>
      <c r="E381" s="378" t="s">
        <v>288</v>
      </c>
      <c r="F381" s="378" t="s">
        <v>871</v>
      </c>
      <c r="G381" s="118">
        <v>45140</v>
      </c>
      <c r="H381" s="118">
        <v>24000</v>
      </c>
      <c r="I381" s="118"/>
      <c r="J381" s="118"/>
      <c r="K381" s="118">
        <f>G381-H381</f>
        <v>21140</v>
      </c>
      <c r="L381" s="118">
        <v>11549.921</v>
      </c>
      <c r="M381" s="118"/>
      <c r="N381" s="118"/>
      <c r="O381" s="118">
        <v>11549.921</v>
      </c>
      <c r="P381" s="118">
        <v>11000</v>
      </c>
      <c r="Q381" s="118"/>
      <c r="R381" s="118"/>
      <c r="S381" s="118">
        <v>11000</v>
      </c>
      <c r="T381" s="118">
        <v>8000</v>
      </c>
      <c r="U381" s="118"/>
      <c r="V381" s="118"/>
      <c r="W381" s="118"/>
      <c r="X381" s="118">
        <v>8000</v>
      </c>
      <c r="Y381" s="118">
        <v>8000</v>
      </c>
      <c r="Z381" s="118"/>
      <c r="AA381" s="118"/>
      <c r="AB381" s="118"/>
      <c r="AC381" s="118">
        <v>8000</v>
      </c>
      <c r="AD381" s="357">
        <f t="shared" si="17"/>
        <v>1</v>
      </c>
      <c r="AE381" s="357"/>
      <c r="AF381" s="357"/>
      <c r="AG381" s="357"/>
      <c r="AH381" s="357">
        <f>AC381/X381</f>
        <v>1</v>
      </c>
    </row>
    <row r="382" spans="1:34" s="355" customFormat="1">
      <c r="A382" s="343">
        <v>61</v>
      </c>
      <c r="B382" s="344" t="s">
        <v>198</v>
      </c>
      <c r="C382" s="343"/>
      <c r="D382" s="343"/>
      <c r="E382" s="378"/>
      <c r="F382" s="378"/>
      <c r="G382" s="354"/>
      <c r="H382" s="354"/>
      <c r="I382" s="354"/>
      <c r="J382" s="354"/>
      <c r="K382" s="354"/>
      <c r="L382" s="354"/>
      <c r="M382" s="354"/>
      <c r="N382" s="354"/>
      <c r="O382" s="354"/>
      <c r="P382" s="354"/>
      <c r="Q382" s="354"/>
      <c r="R382" s="354"/>
      <c r="S382" s="354"/>
      <c r="T382" s="354"/>
      <c r="U382" s="354"/>
      <c r="V382" s="354"/>
      <c r="W382" s="354"/>
      <c r="X382" s="354"/>
      <c r="Y382" s="354"/>
      <c r="Z382" s="354"/>
      <c r="AA382" s="354"/>
      <c r="AB382" s="354"/>
      <c r="AC382" s="354"/>
      <c r="AD382" s="357"/>
      <c r="AE382" s="357"/>
      <c r="AF382" s="357"/>
      <c r="AG382" s="357"/>
      <c r="AH382" s="357"/>
    </row>
    <row r="383" spans="1:34" ht="31.5">
      <c r="A383" s="356" t="s">
        <v>29</v>
      </c>
      <c r="B383" s="346" t="s">
        <v>872</v>
      </c>
      <c r="C383" s="356" t="s">
        <v>225</v>
      </c>
      <c r="D383" s="356"/>
      <c r="E383" s="378" t="s">
        <v>873</v>
      </c>
      <c r="F383" s="378" t="s">
        <v>874</v>
      </c>
      <c r="G383" s="118">
        <v>7484</v>
      </c>
      <c r="H383" s="118"/>
      <c r="I383" s="118"/>
      <c r="J383" s="118"/>
      <c r="K383" s="118">
        <v>7484</v>
      </c>
      <c r="L383" s="118">
        <v>7462</v>
      </c>
      <c r="M383" s="118"/>
      <c r="N383" s="118"/>
      <c r="O383" s="118">
        <v>7462</v>
      </c>
      <c r="P383" s="118">
        <v>7462</v>
      </c>
      <c r="Q383" s="118"/>
      <c r="R383" s="118"/>
      <c r="S383" s="118">
        <v>7462</v>
      </c>
      <c r="T383" s="118">
        <f>87.917127+9.302031</f>
        <v>97.219157999999993</v>
      </c>
      <c r="U383" s="118"/>
      <c r="V383" s="118"/>
      <c r="W383" s="118"/>
      <c r="X383" s="118">
        <f>87.917127+9.302031</f>
        <v>97.219157999999993</v>
      </c>
      <c r="Y383" s="118">
        <v>87.917126999999994</v>
      </c>
      <c r="Z383" s="118"/>
      <c r="AA383" s="118"/>
      <c r="AB383" s="118"/>
      <c r="AC383" s="118">
        <v>87.917126999999994</v>
      </c>
      <c r="AD383" s="357">
        <f t="shared" si="17"/>
        <v>0.90431895120918449</v>
      </c>
      <c r="AE383" s="357"/>
      <c r="AF383" s="357"/>
      <c r="AG383" s="357"/>
      <c r="AH383" s="357">
        <f t="shared" ref="AH383:AH402" si="22">AC383/X383</f>
        <v>0.90431895120918449</v>
      </c>
    </row>
    <row r="384" spans="1:34" ht="47.25">
      <c r="A384" s="356" t="s">
        <v>29</v>
      </c>
      <c r="B384" s="346" t="s">
        <v>875</v>
      </c>
      <c r="C384" s="356" t="s">
        <v>315</v>
      </c>
      <c r="D384" s="356"/>
      <c r="E384" s="378" t="s">
        <v>876</v>
      </c>
      <c r="F384" s="378" t="s">
        <v>877</v>
      </c>
      <c r="G384" s="118">
        <v>17343</v>
      </c>
      <c r="H384" s="118"/>
      <c r="I384" s="118">
        <v>10149</v>
      </c>
      <c r="J384" s="118"/>
      <c r="K384" s="118">
        <v>7194</v>
      </c>
      <c r="L384" s="118">
        <v>15002</v>
      </c>
      <c r="M384" s="118"/>
      <c r="N384" s="118">
        <v>10757</v>
      </c>
      <c r="O384" s="118">
        <v>4245</v>
      </c>
      <c r="P384" s="118">
        <v>15002</v>
      </c>
      <c r="Q384" s="118"/>
      <c r="R384" s="118">
        <v>10757</v>
      </c>
      <c r="S384" s="118">
        <v>4245</v>
      </c>
      <c r="T384" s="118">
        <v>1645.3385049999999</v>
      </c>
      <c r="U384" s="118"/>
      <c r="V384" s="118"/>
      <c r="W384" s="118"/>
      <c r="X384" s="118">
        <v>1645.3385049999999</v>
      </c>
      <c r="Y384" s="118">
        <v>1645.3385049999999</v>
      </c>
      <c r="Z384" s="118"/>
      <c r="AA384" s="118"/>
      <c r="AB384" s="118"/>
      <c r="AC384" s="118">
        <v>1645.3385049999999</v>
      </c>
      <c r="AD384" s="357">
        <f t="shared" si="17"/>
        <v>1</v>
      </c>
      <c r="AE384" s="357"/>
      <c r="AF384" s="357"/>
      <c r="AG384" s="357"/>
      <c r="AH384" s="357">
        <f t="shared" si="22"/>
        <v>1</v>
      </c>
    </row>
    <row r="385" spans="1:34" ht="31.5">
      <c r="A385" s="356" t="s">
        <v>29</v>
      </c>
      <c r="B385" s="346" t="s">
        <v>878</v>
      </c>
      <c r="C385" s="356" t="s">
        <v>225</v>
      </c>
      <c r="D385" s="356"/>
      <c r="E385" s="378"/>
      <c r="F385" s="378" t="s">
        <v>879</v>
      </c>
      <c r="G385" s="118">
        <v>65215</v>
      </c>
      <c r="H385" s="118"/>
      <c r="I385" s="118"/>
      <c r="J385" s="118"/>
      <c r="K385" s="118">
        <v>65215</v>
      </c>
      <c r="L385" s="118">
        <v>384</v>
      </c>
      <c r="M385" s="118"/>
      <c r="N385" s="118"/>
      <c r="O385" s="118">
        <v>384</v>
      </c>
      <c r="P385" s="118">
        <v>325</v>
      </c>
      <c r="Q385" s="118"/>
      <c r="R385" s="118"/>
      <c r="S385" s="118">
        <v>325</v>
      </c>
      <c r="T385" s="118">
        <v>189</v>
      </c>
      <c r="U385" s="118"/>
      <c r="V385" s="118"/>
      <c r="W385" s="118"/>
      <c r="X385" s="118">
        <v>189</v>
      </c>
      <c r="Y385" s="118">
        <v>0</v>
      </c>
      <c r="Z385" s="118"/>
      <c r="AA385" s="118"/>
      <c r="AB385" s="118"/>
      <c r="AC385" s="118"/>
      <c r="AD385" s="357">
        <f t="shared" si="17"/>
        <v>0</v>
      </c>
      <c r="AE385" s="357"/>
      <c r="AF385" s="357"/>
      <c r="AG385" s="357"/>
      <c r="AH385" s="357">
        <f t="shared" si="22"/>
        <v>0</v>
      </c>
    </row>
    <row r="386" spans="1:34" ht="31.5">
      <c r="A386" s="356" t="s">
        <v>29</v>
      </c>
      <c r="B386" s="346" t="s">
        <v>880</v>
      </c>
      <c r="C386" s="356" t="s">
        <v>277</v>
      </c>
      <c r="D386" s="356"/>
      <c r="E386" s="378" t="s">
        <v>881</v>
      </c>
      <c r="F386" s="378" t="s">
        <v>882</v>
      </c>
      <c r="G386" s="118">
        <v>36171</v>
      </c>
      <c r="H386" s="118"/>
      <c r="I386" s="118">
        <v>24571</v>
      </c>
      <c r="J386" s="118"/>
      <c r="K386" s="118">
        <v>11600</v>
      </c>
      <c r="L386" s="118">
        <v>23275</v>
      </c>
      <c r="M386" s="118"/>
      <c r="N386" s="118">
        <v>23275</v>
      </c>
      <c r="O386" s="118"/>
      <c r="P386" s="118">
        <v>24572</v>
      </c>
      <c r="Q386" s="118"/>
      <c r="R386" s="118">
        <v>24572</v>
      </c>
      <c r="S386" s="118"/>
      <c r="T386" s="118">
        <v>60.000399999999999</v>
      </c>
      <c r="U386" s="118"/>
      <c r="V386" s="118"/>
      <c r="W386" s="118"/>
      <c r="X386" s="118">
        <v>60.000399999999999</v>
      </c>
      <c r="Y386" s="118">
        <v>0</v>
      </c>
      <c r="Z386" s="118"/>
      <c r="AA386" s="118"/>
      <c r="AB386" s="118"/>
      <c r="AC386" s="118"/>
      <c r="AD386" s="357">
        <f t="shared" si="17"/>
        <v>0</v>
      </c>
      <c r="AE386" s="357"/>
      <c r="AF386" s="357"/>
      <c r="AG386" s="357"/>
      <c r="AH386" s="357">
        <f t="shared" si="22"/>
        <v>0</v>
      </c>
    </row>
    <row r="387" spans="1:34" ht="31.5">
      <c r="A387" s="356" t="s">
        <v>29</v>
      </c>
      <c r="B387" s="346" t="s">
        <v>883</v>
      </c>
      <c r="C387" s="356" t="s">
        <v>299</v>
      </c>
      <c r="D387" s="356"/>
      <c r="E387" s="378" t="s">
        <v>378</v>
      </c>
      <c r="F387" s="378" t="s">
        <v>884</v>
      </c>
      <c r="G387" s="118">
        <v>9482</v>
      </c>
      <c r="H387" s="118"/>
      <c r="I387" s="118">
        <v>9482</v>
      </c>
      <c r="J387" s="118"/>
      <c r="K387" s="118"/>
      <c r="L387" s="118">
        <v>4925</v>
      </c>
      <c r="M387" s="118"/>
      <c r="N387" s="118">
        <v>4925</v>
      </c>
      <c r="O387" s="118"/>
      <c r="P387" s="118">
        <v>4425</v>
      </c>
      <c r="Q387" s="118"/>
      <c r="R387" s="118">
        <v>4425</v>
      </c>
      <c r="S387" s="118"/>
      <c r="T387" s="118">
        <v>18</v>
      </c>
      <c r="U387" s="118"/>
      <c r="V387" s="118"/>
      <c r="W387" s="118"/>
      <c r="X387" s="118">
        <v>18</v>
      </c>
      <c r="Y387" s="118">
        <v>0</v>
      </c>
      <c r="Z387" s="118"/>
      <c r="AA387" s="118"/>
      <c r="AB387" s="118"/>
      <c r="AC387" s="118"/>
      <c r="AD387" s="357">
        <f t="shared" si="17"/>
        <v>0</v>
      </c>
      <c r="AE387" s="357"/>
      <c r="AF387" s="357"/>
      <c r="AG387" s="357"/>
      <c r="AH387" s="357">
        <f t="shared" si="22"/>
        <v>0</v>
      </c>
    </row>
    <row r="388" spans="1:34" ht="31.5">
      <c r="A388" s="356" t="s">
        <v>29</v>
      </c>
      <c r="B388" s="346" t="s">
        <v>885</v>
      </c>
      <c r="C388" s="356" t="s">
        <v>273</v>
      </c>
      <c r="D388" s="356"/>
      <c r="E388" s="378" t="s">
        <v>886</v>
      </c>
      <c r="F388" s="378" t="s">
        <v>887</v>
      </c>
      <c r="G388" s="118">
        <v>2739</v>
      </c>
      <c r="H388" s="118"/>
      <c r="I388" s="118">
        <v>1819</v>
      </c>
      <c r="J388" s="118"/>
      <c r="K388" s="118">
        <v>920</v>
      </c>
      <c r="L388" s="118">
        <v>2738</v>
      </c>
      <c r="M388" s="118"/>
      <c r="N388" s="118">
        <v>1443</v>
      </c>
      <c r="O388" s="118">
        <f>L388-N388</f>
        <v>1295</v>
      </c>
      <c r="P388" s="118">
        <v>2732</v>
      </c>
      <c r="Q388" s="118"/>
      <c r="R388" s="118">
        <v>1443</v>
      </c>
      <c r="S388" s="118">
        <v>1289</v>
      </c>
      <c r="T388" s="118">
        <v>408.87790000000007</v>
      </c>
      <c r="U388" s="118"/>
      <c r="V388" s="118"/>
      <c r="W388" s="118"/>
      <c r="X388" s="118">
        <v>408.87790000000007</v>
      </c>
      <c r="Y388" s="118">
        <v>408.87790000000007</v>
      </c>
      <c r="Z388" s="118"/>
      <c r="AA388" s="118"/>
      <c r="AB388" s="118"/>
      <c r="AC388" s="118">
        <v>408.87790000000007</v>
      </c>
      <c r="AD388" s="357">
        <f t="shared" si="17"/>
        <v>1</v>
      </c>
      <c r="AE388" s="357"/>
      <c r="AF388" s="357"/>
      <c r="AG388" s="357"/>
      <c r="AH388" s="357">
        <f t="shared" si="22"/>
        <v>1</v>
      </c>
    </row>
    <row r="389" spans="1:34" ht="63">
      <c r="A389" s="356" t="s">
        <v>29</v>
      </c>
      <c r="B389" s="346" t="s">
        <v>888</v>
      </c>
      <c r="C389" s="356" t="s">
        <v>315</v>
      </c>
      <c r="D389" s="356"/>
      <c r="E389" s="378" t="s">
        <v>889</v>
      </c>
      <c r="F389" s="378" t="s">
        <v>805</v>
      </c>
      <c r="G389" s="118">
        <v>27712</v>
      </c>
      <c r="H389" s="118"/>
      <c r="I389" s="118">
        <v>5750</v>
      </c>
      <c r="J389" s="118"/>
      <c r="K389" s="118">
        <v>21962</v>
      </c>
      <c r="L389" s="118"/>
      <c r="M389" s="118"/>
      <c r="N389" s="118"/>
      <c r="O389" s="118"/>
      <c r="P389" s="118">
        <v>10373</v>
      </c>
      <c r="Q389" s="118"/>
      <c r="R389" s="118">
        <v>5802</v>
      </c>
      <c r="S389" s="118">
        <v>4571</v>
      </c>
      <c r="T389" s="118">
        <v>2219.9088900000002</v>
      </c>
      <c r="U389" s="118"/>
      <c r="V389" s="118"/>
      <c r="W389" s="118"/>
      <c r="X389" s="118">
        <v>2219.9088900000002</v>
      </c>
      <c r="Y389" s="118">
        <v>1595.7449999999999</v>
      </c>
      <c r="Z389" s="118"/>
      <c r="AA389" s="118"/>
      <c r="AB389" s="118"/>
      <c r="AC389" s="118">
        <v>1595.7449999999999</v>
      </c>
      <c r="AD389" s="357">
        <f t="shared" si="17"/>
        <v>0.71883355537172511</v>
      </c>
      <c r="AE389" s="357"/>
      <c r="AF389" s="357"/>
      <c r="AG389" s="357"/>
      <c r="AH389" s="357">
        <f t="shared" si="22"/>
        <v>0.71883355537172511</v>
      </c>
    </row>
    <row r="390" spans="1:34" ht="31.5">
      <c r="A390" s="356" t="s">
        <v>29</v>
      </c>
      <c r="B390" s="346" t="s">
        <v>890</v>
      </c>
      <c r="C390" s="356" t="s">
        <v>225</v>
      </c>
      <c r="D390" s="356"/>
      <c r="E390" s="378" t="s">
        <v>565</v>
      </c>
      <c r="F390" s="378" t="s">
        <v>891</v>
      </c>
      <c r="G390" s="118">
        <v>65215</v>
      </c>
      <c r="H390" s="118"/>
      <c r="I390" s="118"/>
      <c r="J390" s="118"/>
      <c r="K390" s="118">
        <v>65215</v>
      </c>
      <c r="L390" s="118">
        <v>60352</v>
      </c>
      <c r="M390" s="118"/>
      <c r="N390" s="118"/>
      <c r="O390" s="118">
        <v>60352</v>
      </c>
      <c r="P390" s="118">
        <v>58561</v>
      </c>
      <c r="Q390" s="118"/>
      <c r="R390" s="118"/>
      <c r="S390" s="118">
        <v>58561</v>
      </c>
      <c r="T390" s="118">
        <v>82.8</v>
      </c>
      <c r="U390" s="118"/>
      <c r="V390" s="118"/>
      <c r="W390" s="118"/>
      <c r="X390" s="118">
        <v>82.8</v>
      </c>
      <c r="Y390" s="118">
        <v>0</v>
      </c>
      <c r="Z390" s="118"/>
      <c r="AA390" s="118"/>
      <c r="AB390" s="118"/>
      <c r="AC390" s="118"/>
      <c r="AD390" s="357">
        <f t="shared" si="17"/>
        <v>0</v>
      </c>
      <c r="AE390" s="357"/>
      <c r="AF390" s="357"/>
      <c r="AG390" s="357"/>
      <c r="AH390" s="357">
        <f t="shared" si="22"/>
        <v>0</v>
      </c>
    </row>
    <row r="391" spans="1:34" ht="45">
      <c r="A391" s="356" t="s">
        <v>29</v>
      </c>
      <c r="B391" s="346" t="s">
        <v>892</v>
      </c>
      <c r="C391" s="356" t="s">
        <v>273</v>
      </c>
      <c r="D391" s="356"/>
      <c r="E391" s="378" t="s">
        <v>510</v>
      </c>
      <c r="F391" s="378" t="s">
        <v>893</v>
      </c>
      <c r="G391" s="118">
        <v>9431</v>
      </c>
      <c r="H391" s="118"/>
      <c r="I391" s="118">
        <v>2544</v>
      </c>
      <c r="J391" s="118"/>
      <c r="K391" s="118">
        <v>6887</v>
      </c>
      <c r="L391" s="118">
        <v>7755</v>
      </c>
      <c r="M391" s="118"/>
      <c r="N391" s="118">
        <v>2544</v>
      </c>
      <c r="O391" s="118">
        <f>L391-N391</f>
        <v>5211</v>
      </c>
      <c r="P391" s="118">
        <v>7743.1720000000005</v>
      </c>
      <c r="Q391" s="118"/>
      <c r="R391" s="118">
        <v>2544</v>
      </c>
      <c r="S391" s="118">
        <f>P391-R391</f>
        <v>5199.1720000000005</v>
      </c>
      <c r="T391" s="118">
        <v>699.17200000000003</v>
      </c>
      <c r="U391" s="118"/>
      <c r="V391" s="118"/>
      <c r="W391" s="118"/>
      <c r="X391" s="118">
        <v>699.17200000000003</v>
      </c>
      <c r="Y391" s="118">
        <v>699.17200000000003</v>
      </c>
      <c r="Z391" s="118"/>
      <c r="AA391" s="118"/>
      <c r="AB391" s="118"/>
      <c r="AC391" s="118">
        <v>699.17200000000003</v>
      </c>
      <c r="AD391" s="357">
        <f t="shared" si="17"/>
        <v>1</v>
      </c>
      <c r="AE391" s="357"/>
      <c r="AF391" s="357"/>
      <c r="AG391" s="357"/>
      <c r="AH391" s="357">
        <f t="shared" si="22"/>
        <v>1</v>
      </c>
    </row>
    <row r="392" spans="1:34" ht="31.5">
      <c r="A392" s="356" t="s">
        <v>29</v>
      </c>
      <c r="B392" s="346" t="s">
        <v>894</v>
      </c>
      <c r="C392" s="356" t="s">
        <v>277</v>
      </c>
      <c r="D392" s="356"/>
      <c r="E392" s="378" t="s">
        <v>510</v>
      </c>
      <c r="F392" s="378" t="s">
        <v>895</v>
      </c>
      <c r="G392" s="118">
        <v>20620</v>
      </c>
      <c r="H392" s="118"/>
      <c r="I392" s="118"/>
      <c r="J392" s="118"/>
      <c r="K392" s="118">
        <v>20620</v>
      </c>
      <c r="L392" s="118">
        <v>19462</v>
      </c>
      <c r="M392" s="118"/>
      <c r="N392" s="118"/>
      <c r="O392" s="118">
        <v>19462</v>
      </c>
      <c r="P392" s="118">
        <v>19461</v>
      </c>
      <c r="Q392" s="118"/>
      <c r="R392" s="118"/>
      <c r="S392" s="118">
        <v>19461</v>
      </c>
      <c r="T392" s="118">
        <v>1861</v>
      </c>
      <c r="U392" s="118"/>
      <c r="V392" s="118"/>
      <c r="W392" s="118"/>
      <c r="X392" s="118">
        <v>1861</v>
      </c>
      <c r="Y392" s="118">
        <v>1861</v>
      </c>
      <c r="Z392" s="118"/>
      <c r="AA392" s="118"/>
      <c r="AB392" s="118"/>
      <c r="AC392" s="118">
        <v>1861</v>
      </c>
      <c r="AD392" s="357">
        <f t="shared" si="17"/>
        <v>1</v>
      </c>
      <c r="AE392" s="357"/>
      <c r="AF392" s="357"/>
      <c r="AG392" s="357"/>
      <c r="AH392" s="357">
        <f t="shared" si="22"/>
        <v>1</v>
      </c>
    </row>
    <row r="393" spans="1:34" ht="31.5">
      <c r="A393" s="356" t="s">
        <v>29</v>
      </c>
      <c r="B393" s="346" t="s">
        <v>896</v>
      </c>
      <c r="C393" s="356" t="s">
        <v>225</v>
      </c>
      <c r="D393" s="356"/>
      <c r="E393" s="378" t="s">
        <v>257</v>
      </c>
      <c r="F393" s="378" t="s">
        <v>897</v>
      </c>
      <c r="G393" s="118">
        <v>9948</v>
      </c>
      <c r="H393" s="118"/>
      <c r="I393" s="118">
        <v>7958</v>
      </c>
      <c r="J393" s="118"/>
      <c r="K393" s="118">
        <v>1990</v>
      </c>
      <c r="L393" s="118">
        <v>8577</v>
      </c>
      <c r="M393" s="118"/>
      <c r="N393" s="118">
        <v>6353</v>
      </c>
      <c r="O393" s="118">
        <v>2224</v>
      </c>
      <c r="P393" s="118">
        <v>8117</v>
      </c>
      <c r="Q393" s="118"/>
      <c r="R393" s="118">
        <v>4240</v>
      </c>
      <c r="S393" s="118">
        <v>3877</v>
      </c>
      <c r="T393" s="118">
        <v>635.36109399999998</v>
      </c>
      <c r="U393" s="118"/>
      <c r="V393" s="118"/>
      <c r="W393" s="118"/>
      <c r="X393" s="118">
        <v>635.36109399999998</v>
      </c>
      <c r="Y393" s="118">
        <v>399.50339400000001</v>
      </c>
      <c r="Z393" s="118"/>
      <c r="AA393" s="118"/>
      <c r="AB393" s="118"/>
      <c r="AC393" s="118">
        <v>399.50339400000001</v>
      </c>
      <c r="AD393" s="357">
        <f t="shared" si="17"/>
        <v>0.62878164522928759</v>
      </c>
      <c r="AE393" s="357"/>
      <c r="AF393" s="357"/>
      <c r="AG393" s="357"/>
      <c r="AH393" s="357">
        <f t="shared" si="22"/>
        <v>0.62878164522928759</v>
      </c>
    </row>
    <row r="394" spans="1:34" ht="47.25">
      <c r="A394" s="356" t="s">
        <v>29</v>
      </c>
      <c r="B394" s="346" t="s">
        <v>898</v>
      </c>
      <c r="C394" s="356" t="s">
        <v>299</v>
      </c>
      <c r="D394" s="356"/>
      <c r="E394" s="378" t="s">
        <v>251</v>
      </c>
      <c r="F394" s="378" t="s">
        <v>899</v>
      </c>
      <c r="G394" s="118">
        <v>76203</v>
      </c>
      <c r="H394" s="118"/>
      <c r="I394" s="118">
        <v>50000</v>
      </c>
      <c r="J394" s="118"/>
      <c r="K394" s="118">
        <v>26203</v>
      </c>
      <c r="L394" s="118">
        <v>62004</v>
      </c>
      <c r="M394" s="118"/>
      <c r="N394" s="118">
        <v>50000</v>
      </c>
      <c r="O394" s="118">
        <v>12004</v>
      </c>
      <c r="P394" s="118">
        <v>55959</v>
      </c>
      <c r="Q394" s="118"/>
      <c r="R394" s="118">
        <v>50000</v>
      </c>
      <c r="S394" s="118">
        <v>5959</v>
      </c>
      <c r="T394" s="118">
        <v>11309.391</v>
      </c>
      <c r="U394" s="118"/>
      <c r="V394" s="118">
        <f>T394-X394</f>
        <v>11297.440999999999</v>
      </c>
      <c r="W394" s="118"/>
      <c r="X394" s="118">
        <v>11.95</v>
      </c>
      <c r="Y394" s="118">
        <f>AA394</f>
        <v>11140.477999999999</v>
      </c>
      <c r="Z394" s="118"/>
      <c r="AA394" s="118">
        <v>11140.477999999999</v>
      </c>
      <c r="AB394" s="118"/>
      <c r="AC394" s="118">
        <v>0</v>
      </c>
      <c r="AD394" s="357">
        <f t="shared" si="17"/>
        <v>0.9850643593452556</v>
      </c>
      <c r="AE394" s="357"/>
      <c r="AF394" s="357">
        <f t="shared" si="18"/>
        <v>0.98610632266191967</v>
      </c>
      <c r="AG394" s="357"/>
      <c r="AH394" s="357">
        <f t="shared" si="22"/>
        <v>0</v>
      </c>
    </row>
    <row r="395" spans="1:34" ht="63">
      <c r="A395" s="356" t="s">
        <v>29</v>
      </c>
      <c r="B395" s="346" t="s">
        <v>900</v>
      </c>
      <c r="C395" s="356" t="s">
        <v>315</v>
      </c>
      <c r="D395" s="356"/>
      <c r="E395" s="378" t="s">
        <v>381</v>
      </c>
      <c r="F395" s="378" t="s">
        <v>901</v>
      </c>
      <c r="G395" s="118">
        <v>14783</v>
      </c>
      <c r="H395" s="118"/>
      <c r="I395" s="118">
        <v>8313</v>
      </c>
      <c r="J395" s="118"/>
      <c r="K395" s="118">
        <v>6470</v>
      </c>
      <c r="L395" s="118">
        <v>11869</v>
      </c>
      <c r="M395" s="118"/>
      <c r="N395" s="118">
        <v>7493</v>
      </c>
      <c r="O395" s="118">
        <v>4376</v>
      </c>
      <c r="P395" s="118">
        <v>11869</v>
      </c>
      <c r="Q395" s="118"/>
      <c r="R395" s="118">
        <v>7493</v>
      </c>
      <c r="S395" s="118">
        <v>4376</v>
      </c>
      <c r="T395" s="118">
        <v>1487.6130000000001</v>
      </c>
      <c r="U395" s="118"/>
      <c r="V395" s="118"/>
      <c r="W395" s="118"/>
      <c r="X395" s="118">
        <v>1487.6130000000001</v>
      </c>
      <c r="Y395" s="118">
        <v>1487.6130000000001</v>
      </c>
      <c r="Z395" s="118"/>
      <c r="AA395" s="118"/>
      <c r="AB395" s="118"/>
      <c r="AC395" s="118">
        <v>1487.6130000000001</v>
      </c>
      <c r="AD395" s="357">
        <f t="shared" si="17"/>
        <v>1</v>
      </c>
      <c r="AE395" s="357"/>
      <c r="AF395" s="357"/>
      <c r="AG395" s="357"/>
      <c r="AH395" s="357">
        <f t="shared" si="22"/>
        <v>1</v>
      </c>
    </row>
    <row r="396" spans="1:34" ht="47.25">
      <c r="A396" s="356" t="s">
        <v>29</v>
      </c>
      <c r="B396" s="346" t="s">
        <v>902</v>
      </c>
      <c r="C396" s="356" t="s">
        <v>439</v>
      </c>
      <c r="D396" s="356"/>
      <c r="E396" s="378" t="s">
        <v>390</v>
      </c>
      <c r="F396" s="378" t="s">
        <v>903</v>
      </c>
      <c r="G396" s="118">
        <v>1209</v>
      </c>
      <c r="H396" s="118"/>
      <c r="I396" s="118"/>
      <c r="J396" s="118"/>
      <c r="K396" s="118">
        <v>1209</v>
      </c>
      <c r="L396" s="118">
        <v>980</v>
      </c>
      <c r="M396" s="118"/>
      <c r="N396" s="118"/>
      <c r="O396" s="118">
        <v>980</v>
      </c>
      <c r="P396" s="118">
        <v>827</v>
      </c>
      <c r="Q396" s="118"/>
      <c r="R396" s="118"/>
      <c r="S396" s="118">
        <v>827</v>
      </c>
      <c r="T396" s="118">
        <v>303.8</v>
      </c>
      <c r="U396" s="118"/>
      <c r="V396" s="118"/>
      <c r="W396" s="118"/>
      <c r="X396" s="118">
        <v>303.8</v>
      </c>
      <c r="Y396" s="118">
        <v>192.8</v>
      </c>
      <c r="Z396" s="118"/>
      <c r="AA396" s="118"/>
      <c r="AB396" s="118"/>
      <c r="AC396" s="118">
        <v>192.8</v>
      </c>
      <c r="AD396" s="357">
        <f t="shared" si="17"/>
        <v>0.63462804476629364</v>
      </c>
      <c r="AE396" s="357"/>
      <c r="AF396" s="357"/>
      <c r="AG396" s="357"/>
      <c r="AH396" s="357">
        <f t="shared" si="22"/>
        <v>0.63462804476629364</v>
      </c>
    </row>
    <row r="397" spans="1:34" ht="31.5">
      <c r="A397" s="356" t="s">
        <v>29</v>
      </c>
      <c r="B397" s="346" t="s">
        <v>904</v>
      </c>
      <c r="C397" s="356" t="s">
        <v>439</v>
      </c>
      <c r="D397" s="356"/>
      <c r="E397" s="378" t="s">
        <v>278</v>
      </c>
      <c r="F397" s="378" t="s">
        <v>905</v>
      </c>
      <c r="G397" s="118">
        <v>29673</v>
      </c>
      <c r="H397" s="118"/>
      <c r="I397" s="118"/>
      <c r="J397" s="118"/>
      <c r="K397" s="118">
        <v>29673</v>
      </c>
      <c r="L397" s="118">
        <v>26360</v>
      </c>
      <c r="M397" s="118"/>
      <c r="N397" s="118"/>
      <c r="O397" s="118">
        <v>26360</v>
      </c>
      <c r="P397" s="118">
        <v>22739</v>
      </c>
      <c r="Q397" s="118"/>
      <c r="R397" s="118"/>
      <c r="S397" s="118">
        <v>22739</v>
      </c>
      <c r="T397" s="118">
        <v>9765.5521000000008</v>
      </c>
      <c r="U397" s="118"/>
      <c r="V397" s="118"/>
      <c r="W397" s="118"/>
      <c r="X397" s="118">
        <v>9765.5521000000008</v>
      </c>
      <c r="Y397" s="118">
        <v>9765.5521000000008</v>
      </c>
      <c r="Z397" s="118"/>
      <c r="AA397" s="118"/>
      <c r="AB397" s="118"/>
      <c r="AC397" s="118">
        <v>9765.5521000000008</v>
      </c>
      <c r="AD397" s="357">
        <f t="shared" si="17"/>
        <v>1</v>
      </c>
      <c r="AE397" s="357"/>
      <c r="AF397" s="357"/>
      <c r="AG397" s="357"/>
      <c r="AH397" s="357">
        <f t="shared" si="22"/>
        <v>1</v>
      </c>
    </row>
    <row r="398" spans="1:34" ht="31.5">
      <c r="A398" s="356" t="s">
        <v>29</v>
      </c>
      <c r="B398" s="346" t="s">
        <v>906</v>
      </c>
      <c r="C398" s="356" t="s">
        <v>225</v>
      </c>
      <c r="D398" s="356"/>
      <c r="E398" s="378" t="s">
        <v>248</v>
      </c>
      <c r="F398" s="378" t="s">
        <v>907</v>
      </c>
      <c r="G398" s="118">
        <v>24117</v>
      </c>
      <c r="H398" s="118"/>
      <c r="I398" s="118"/>
      <c r="J398" s="118"/>
      <c r="K398" s="118">
        <v>24117</v>
      </c>
      <c r="L398" s="118">
        <v>14700</v>
      </c>
      <c r="M398" s="118"/>
      <c r="N398" s="118"/>
      <c r="O398" s="118">
        <v>14700</v>
      </c>
      <c r="P398" s="118">
        <v>9700</v>
      </c>
      <c r="Q398" s="118"/>
      <c r="R398" s="118"/>
      <c r="S398" s="118">
        <v>9700</v>
      </c>
      <c r="T398" s="118">
        <v>5741.5844999999999</v>
      </c>
      <c r="U398" s="118"/>
      <c r="V398" s="118"/>
      <c r="W398" s="118"/>
      <c r="X398" s="118">
        <v>5741.5844999999999</v>
      </c>
      <c r="Y398" s="118">
        <v>2958</v>
      </c>
      <c r="Z398" s="118"/>
      <c r="AA398" s="118"/>
      <c r="AB398" s="118"/>
      <c r="AC398" s="118">
        <v>2958</v>
      </c>
      <c r="AD398" s="357">
        <f t="shared" ref="AD398:AE460" si="23">Y398/T398</f>
        <v>0.51518879500946124</v>
      </c>
      <c r="AE398" s="357"/>
      <c r="AF398" s="357"/>
      <c r="AG398" s="357"/>
      <c r="AH398" s="357">
        <f t="shared" si="22"/>
        <v>0.51518879500946124</v>
      </c>
    </row>
    <row r="399" spans="1:34" ht="47.25">
      <c r="A399" s="356" t="s">
        <v>29</v>
      </c>
      <c r="B399" s="346" t="s">
        <v>908</v>
      </c>
      <c r="C399" s="356" t="s">
        <v>225</v>
      </c>
      <c r="D399" s="356"/>
      <c r="E399" s="378" t="s">
        <v>248</v>
      </c>
      <c r="F399" s="378" t="s">
        <v>909</v>
      </c>
      <c r="G399" s="118">
        <v>9869</v>
      </c>
      <c r="H399" s="118"/>
      <c r="I399" s="118"/>
      <c r="J399" s="118"/>
      <c r="K399" s="118">
        <v>9869</v>
      </c>
      <c r="L399" s="118">
        <v>7003</v>
      </c>
      <c r="M399" s="118"/>
      <c r="N399" s="118"/>
      <c r="O399" s="118">
        <v>7003</v>
      </c>
      <c r="P399" s="118">
        <v>6150</v>
      </c>
      <c r="Q399" s="118"/>
      <c r="R399" s="118"/>
      <c r="S399" s="118">
        <v>6150</v>
      </c>
      <c r="T399" s="118">
        <v>1523.665</v>
      </c>
      <c r="U399" s="118"/>
      <c r="V399" s="118"/>
      <c r="W399" s="118"/>
      <c r="X399" s="118">
        <v>1523.665</v>
      </c>
      <c r="Y399" s="118">
        <v>1500</v>
      </c>
      <c r="Z399" s="118"/>
      <c r="AA399" s="118"/>
      <c r="AB399" s="118"/>
      <c r="AC399" s="118">
        <v>1500</v>
      </c>
      <c r="AD399" s="357">
        <f t="shared" si="23"/>
        <v>0.98446837067203097</v>
      </c>
      <c r="AE399" s="357"/>
      <c r="AF399" s="357"/>
      <c r="AG399" s="357"/>
      <c r="AH399" s="357">
        <f t="shared" si="22"/>
        <v>0.98446837067203097</v>
      </c>
    </row>
    <row r="400" spans="1:34" ht="31.5">
      <c r="A400" s="356" t="s">
        <v>29</v>
      </c>
      <c r="B400" s="346" t="s">
        <v>910</v>
      </c>
      <c r="C400" s="356" t="s">
        <v>439</v>
      </c>
      <c r="D400" s="356"/>
      <c r="E400" s="378" t="s">
        <v>230</v>
      </c>
      <c r="F400" s="378" t="s">
        <v>911</v>
      </c>
      <c r="G400" s="118">
        <v>18483</v>
      </c>
      <c r="H400" s="118"/>
      <c r="I400" s="118"/>
      <c r="J400" s="118"/>
      <c r="K400" s="118">
        <v>18483</v>
      </c>
      <c r="L400" s="118">
        <v>11550</v>
      </c>
      <c r="M400" s="118"/>
      <c r="N400" s="118"/>
      <c r="O400" s="118">
        <v>11550</v>
      </c>
      <c r="P400" s="118">
        <v>9866</v>
      </c>
      <c r="Q400" s="118"/>
      <c r="R400" s="118"/>
      <c r="S400" s="118">
        <v>9866</v>
      </c>
      <c r="T400" s="118">
        <v>16628.900000000001</v>
      </c>
      <c r="U400" s="118"/>
      <c r="V400" s="118"/>
      <c r="W400" s="118"/>
      <c r="X400" s="118">
        <v>16628.900000000001</v>
      </c>
      <c r="Y400" s="118">
        <v>5379.2309999999998</v>
      </c>
      <c r="Z400" s="118"/>
      <c r="AA400" s="118"/>
      <c r="AB400" s="118"/>
      <c r="AC400" s="118">
        <v>5379.2309999999998</v>
      </c>
      <c r="AD400" s="357">
        <f t="shared" si="23"/>
        <v>0.32348688127296449</v>
      </c>
      <c r="AE400" s="357"/>
      <c r="AF400" s="357"/>
      <c r="AG400" s="357"/>
      <c r="AH400" s="357">
        <f t="shared" si="22"/>
        <v>0.32348688127296449</v>
      </c>
    </row>
    <row r="401" spans="1:34" ht="31.5">
      <c r="A401" s="356" t="s">
        <v>29</v>
      </c>
      <c r="B401" s="346" t="s">
        <v>912</v>
      </c>
      <c r="C401" s="356" t="s">
        <v>488</v>
      </c>
      <c r="D401" s="356"/>
      <c r="E401" s="378">
        <v>2016</v>
      </c>
      <c r="F401" s="378" t="s">
        <v>913</v>
      </c>
      <c r="G401" s="118">
        <v>1041</v>
      </c>
      <c r="H401" s="118"/>
      <c r="I401" s="118"/>
      <c r="J401" s="118"/>
      <c r="K401" s="118">
        <v>537</v>
      </c>
      <c r="L401" s="118">
        <v>504</v>
      </c>
      <c r="M401" s="118"/>
      <c r="N401" s="118"/>
      <c r="O401" s="118">
        <v>504</v>
      </c>
      <c r="P401" s="118">
        <v>504</v>
      </c>
      <c r="Q401" s="118"/>
      <c r="R401" s="118"/>
      <c r="S401" s="118">
        <v>504</v>
      </c>
      <c r="T401" s="118">
        <v>79</v>
      </c>
      <c r="U401" s="118"/>
      <c r="V401" s="118"/>
      <c r="W401" s="118"/>
      <c r="X401" s="118">
        <v>79</v>
      </c>
      <c r="Y401" s="118">
        <v>79</v>
      </c>
      <c r="Z401" s="118"/>
      <c r="AA401" s="118"/>
      <c r="AB401" s="118"/>
      <c r="AC401" s="118">
        <v>79</v>
      </c>
      <c r="AD401" s="357">
        <f t="shared" si="23"/>
        <v>1</v>
      </c>
      <c r="AE401" s="357"/>
      <c r="AF401" s="357"/>
      <c r="AG401" s="357"/>
      <c r="AH401" s="357">
        <f t="shared" si="22"/>
        <v>1</v>
      </c>
    </row>
    <row r="402" spans="1:34" ht="47.25">
      <c r="A402" s="356" t="s">
        <v>29</v>
      </c>
      <c r="B402" s="346" t="s">
        <v>914</v>
      </c>
      <c r="C402" s="356" t="s">
        <v>299</v>
      </c>
      <c r="D402" s="356"/>
      <c r="E402" s="378">
        <v>2017</v>
      </c>
      <c r="F402" s="378" t="s">
        <v>915</v>
      </c>
      <c r="G402" s="118">
        <v>641.41200000000003</v>
      </c>
      <c r="H402" s="118"/>
      <c r="I402" s="118"/>
      <c r="J402" s="118"/>
      <c r="K402" s="118">
        <v>641.41200000000003</v>
      </c>
      <c r="L402" s="118">
        <v>618.62199999999996</v>
      </c>
      <c r="M402" s="118"/>
      <c r="N402" s="118"/>
      <c r="O402" s="118">
        <v>618.62199999999996</v>
      </c>
      <c r="P402" s="118">
        <v>643</v>
      </c>
      <c r="Q402" s="118"/>
      <c r="R402" s="118"/>
      <c r="S402" s="118">
        <v>643</v>
      </c>
      <c r="T402" s="118">
        <v>643</v>
      </c>
      <c r="U402" s="118"/>
      <c r="V402" s="118"/>
      <c r="W402" s="118"/>
      <c r="X402" s="118">
        <v>643</v>
      </c>
      <c r="Y402" s="118">
        <v>551.01400000000001</v>
      </c>
      <c r="Z402" s="118"/>
      <c r="AA402" s="118"/>
      <c r="AB402" s="118"/>
      <c r="AC402" s="118">
        <v>551.01400000000001</v>
      </c>
      <c r="AD402" s="357">
        <f t="shared" si="23"/>
        <v>0.85694245723172635</v>
      </c>
      <c r="AE402" s="357"/>
      <c r="AF402" s="357"/>
      <c r="AG402" s="357"/>
      <c r="AH402" s="357">
        <f t="shared" si="22"/>
        <v>0.85694245723172635</v>
      </c>
    </row>
    <row r="403" spans="1:34">
      <c r="A403" s="343">
        <v>62</v>
      </c>
      <c r="B403" s="344" t="s">
        <v>199</v>
      </c>
      <c r="C403" s="356"/>
      <c r="D403" s="356"/>
      <c r="E403" s="378"/>
      <c r="F403" s="378"/>
      <c r="G403" s="118"/>
      <c r="H403" s="118"/>
      <c r="I403" s="118"/>
      <c r="J403" s="118"/>
      <c r="K403" s="118"/>
      <c r="L403" s="118"/>
      <c r="M403" s="118"/>
      <c r="N403" s="118"/>
      <c r="O403" s="118"/>
      <c r="P403" s="118"/>
      <c r="Q403" s="118"/>
      <c r="R403" s="118"/>
      <c r="S403" s="118"/>
      <c r="T403" s="118"/>
      <c r="U403" s="118"/>
      <c r="V403" s="118"/>
      <c r="W403" s="118"/>
      <c r="X403" s="118"/>
      <c r="Y403" s="118"/>
      <c r="Z403" s="118"/>
      <c r="AA403" s="118"/>
      <c r="AB403" s="118"/>
      <c r="AC403" s="118"/>
      <c r="AD403" s="357"/>
      <c r="AE403" s="357"/>
      <c r="AF403" s="357"/>
      <c r="AG403" s="357"/>
      <c r="AH403" s="357"/>
    </row>
    <row r="404" spans="1:34" ht="31.5">
      <c r="A404" s="356" t="s">
        <v>29</v>
      </c>
      <c r="B404" s="346" t="s">
        <v>916</v>
      </c>
      <c r="C404" s="356" t="s">
        <v>296</v>
      </c>
      <c r="D404" s="356"/>
      <c r="E404" s="378" t="s">
        <v>917</v>
      </c>
      <c r="F404" s="378" t="s">
        <v>918</v>
      </c>
      <c r="G404" s="118">
        <v>31283</v>
      </c>
      <c r="H404" s="118"/>
      <c r="I404" s="118"/>
      <c r="J404" s="118">
        <v>22760</v>
      </c>
      <c r="K404" s="118">
        <v>8523</v>
      </c>
      <c r="L404" s="118">
        <v>26609</v>
      </c>
      <c r="M404" s="118"/>
      <c r="N404" s="118">
        <v>22760</v>
      </c>
      <c r="O404" s="118">
        <v>3849</v>
      </c>
      <c r="P404" s="118">
        <v>26609</v>
      </c>
      <c r="Q404" s="118"/>
      <c r="R404" s="118">
        <v>22760</v>
      </c>
      <c r="S404" s="118">
        <v>3849</v>
      </c>
      <c r="T404" s="118">
        <v>3847.663</v>
      </c>
      <c r="U404" s="118"/>
      <c r="V404" s="118"/>
      <c r="W404" s="118"/>
      <c r="X404" s="118">
        <v>3847.663</v>
      </c>
      <c r="Y404" s="118">
        <v>3653.2435</v>
      </c>
      <c r="Z404" s="118"/>
      <c r="AA404" s="118"/>
      <c r="AB404" s="118"/>
      <c r="AC404" s="118">
        <v>3653.2435</v>
      </c>
      <c r="AD404" s="357">
        <f t="shared" si="23"/>
        <v>0.94947075666449998</v>
      </c>
      <c r="AE404" s="357"/>
      <c r="AF404" s="357"/>
      <c r="AG404" s="357"/>
      <c r="AH404" s="357">
        <f t="shared" ref="AH404:AH413" si="24">AC404/X404</f>
        <v>0.94947075666449998</v>
      </c>
    </row>
    <row r="405" spans="1:34" ht="60">
      <c r="A405" s="356" t="s">
        <v>29</v>
      </c>
      <c r="B405" s="346" t="s">
        <v>919</v>
      </c>
      <c r="C405" s="356" t="s">
        <v>225</v>
      </c>
      <c r="D405" s="356"/>
      <c r="E405" s="378" t="s">
        <v>920</v>
      </c>
      <c r="F405" s="378" t="s">
        <v>921</v>
      </c>
      <c r="G405" s="118">
        <v>1098.79</v>
      </c>
      <c r="H405" s="118"/>
      <c r="I405" s="118"/>
      <c r="J405" s="118"/>
      <c r="K405" s="118">
        <v>1098.79</v>
      </c>
      <c r="L405" s="118">
        <v>1051</v>
      </c>
      <c r="M405" s="118"/>
      <c r="N405" s="118"/>
      <c r="O405" s="118">
        <v>1051</v>
      </c>
      <c r="P405" s="118">
        <v>1051</v>
      </c>
      <c r="Q405" s="118"/>
      <c r="R405" s="118"/>
      <c r="S405" s="118">
        <v>1051</v>
      </c>
      <c r="T405" s="118">
        <v>1.7230000000000001</v>
      </c>
      <c r="U405" s="118"/>
      <c r="V405" s="118"/>
      <c r="W405" s="118"/>
      <c r="X405" s="118">
        <v>1.7230000000000001</v>
      </c>
      <c r="Y405" s="118">
        <v>1.7230000000000001</v>
      </c>
      <c r="Z405" s="118"/>
      <c r="AA405" s="118"/>
      <c r="AB405" s="118"/>
      <c r="AC405" s="118">
        <v>1.7230000000000001</v>
      </c>
      <c r="AD405" s="357">
        <f t="shared" si="23"/>
        <v>1</v>
      </c>
      <c r="AE405" s="357"/>
      <c r="AF405" s="357"/>
      <c r="AG405" s="357"/>
      <c r="AH405" s="357">
        <f t="shared" si="24"/>
        <v>1</v>
      </c>
    </row>
    <row r="406" spans="1:34" ht="31.5">
      <c r="A406" s="356" t="s">
        <v>29</v>
      </c>
      <c r="B406" s="346" t="s">
        <v>922</v>
      </c>
      <c r="C406" s="356" t="s">
        <v>225</v>
      </c>
      <c r="D406" s="356"/>
      <c r="E406" s="378" t="s">
        <v>923</v>
      </c>
      <c r="F406" s="378" t="s">
        <v>924</v>
      </c>
      <c r="G406" s="118">
        <v>18880</v>
      </c>
      <c r="H406" s="118"/>
      <c r="I406" s="118"/>
      <c r="J406" s="118">
        <v>18880</v>
      </c>
      <c r="K406" s="118"/>
      <c r="L406" s="118">
        <v>18359</v>
      </c>
      <c r="M406" s="118"/>
      <c r="N406" s="118">
        <v>18359</v>
      </c>
      <c r="O406" s="118"/>
      <c r="P406" s="118">
        <v>24113</v>
      </c>
      <c r="Q406" s="118"/>
      <c r="R406" s="118">
        <v>24113</v>
      </c>
      <c r="S406" s="118"/>
      <c r="T406" s="118">
        <f>0.203+136.883+4062.617</f>
        <v>4199.7030000000004</v>
      </c>
      <c r="U406" s="118"/>
      <c r="V406" s="118"/>
      <c r="W406" s="118">
        <f>136.883+4062.617</f>
        <v>4199.5</v>
      </c>
      <c r="X406" s="118">
        <v>0.20300000000000001</v>
      </c>
      <c r="Y406" s="118">
        <v>136.88300000000001</v>
      </c>
      <c r="Z406" s="118"/>
      <c r="AA406" s="118"/>
      <c r="AB406" s="118">
        <v>136.88300000000001</v>
      </c>
      <c r="AC406" s="118"/>
      <c r="AD406" s="357">
        <f t="shared" si="23"/>
        <v>3.2593495301929683E-2</v>
      </c>
      <c r="AE406" s="357"/>
      <c r="AF406" s="357"/>
      <c r="AG406" s="357">
        <f>AB406/W406</f>
        <v>3.2595070841766882E-2</v>
      </c>
      <c r="AH406" s="357">
        <f t="shared" si="24"/>
        <v>0</v>
      </c>
    </row>
    <row r="407" spans="1:34" ht="31.5">
      <c r="A407" s="356" t="s">
        <v>29</v>
      </c>
      <c r="B407" s="346" t="s">
        <v>925</v>
      </c>
      <c r="C407" s="356" t="s">
        <v>225</v>
      </c>
      <c r="D407" s="356"/>
      <c r="E407" s="378" t="s">
        <v>381</v>
      </c>
      <c r="F407" s="378" t="s">
        <v>926</v>
      </c>
      <c r="G407" s="118">
        <v>6072</v>
      </c>
      <c r="H407" s="118"/>
      <c r="I407" s="118"/>
      <c r="J407" s="118"/>
      <c r="K407" s="118">
        <v>6072</v>
      </c>
      <c r="L407" s="118">
        <v>5172</v>
      </c>
      <c r="M407" s="118"/>
      <c r="N407" s="118"/>
      <c r="O407" s="118">
        <v>5172</v>
      </c>
      <c r="P407" s="118">
        <v>5172</v>
      </c>
      <c r="Q407" s="118"/>
      <c r="R407" s="118"/>
      <c r="S407" s="118">
        <v>5172</v>
      </c>
      <c r="T407" s="118">
        <v>19.266999999999999</v>
      </c>
      <c r="U407" s="118"/>
      <c r="V407" s="118"/>
      <c r="W407" s="118"/>
      <c r="X407" s="118">
        <v>19.266999999999999</v>
      </c>
      <c r="Y407" s="118">
        <v>19.266999999999999</v>
      </c>
      <c r="Z407" s="118"/>
      <c r="AA407" s="118"/>
      <c r="AB407" s="118"/>
      <c r="AC407" s="118">
        <v>19.266999999999999</v>
      </c>
      <c r="AD407" s="357">
        <f t="shared" si="23"/>
        <v>1</v>
      </c>
      <c r="AE407" s="357"/>
      <c r="AF407" s="357"/>
      <c r="AG407" s="357"/>
      <c r="AH407" s="357">
        <f t="shared" si="24"/>
        <v>1</v>
      </c>
    </row>
    <row r="408" spans="1:34" ht="31.5">
      <c r="A408" s="356" t="s">
        <v>29</v>
      </c>
      <c r="B408" s="346" t="s">
        <v>927</v>
      </c>
      <c r="C408" s="356" t="s">
        <v>439</v>
      </c>
      <c r="D408" s="356"/>
      <c r="E408" s="378">
        <v>2008</v>
      </c>
      <c r="F408" s="378" t="s">
        <v>928</v>
      </c>
      <c r="G408" s="118">
        <v>31731</v>
      </c>
      <c r="H408" s="118"/>
      <c r="I408" s="118"/>
      <c r="J408" s="118">
        <v>24724</v>
      </c>
      <c r="K408" s="118">
        <v>6989</v>
      </c>
      <c r="L408" s="118">
        <v>31561</v>
      </c>
      <c r="M408" s="118"/>
      <c r="N408" s="118">
        <v>24742</v>
      </c>
      <c r="O408" s="118">
        <v>6819</v>
      </c>
      <c r="P408" s="118">
        <v>31561</v>
      </c>
      <c r="Q408" s="118"/>
      <c r="R408" s="118">
        <v>24742</v>
      </c>
      <c r="S408" s="118">
        <v>6819</v>
      </c>
      <c r="T408" s="118">
        <v>814.13599999999997</v>
      </c>
      <c r="U408" s="118"/>
      <c r="V408" s="118"/>
      <c r="W408" s="118"/>
      <c r="X408" s="118">
        <v>814.13599999999997</v>
      </c>
      <c r="Y408" s="118">
        <v>629.71100000000001</v>
      </c>
      <c r="Z408" s="118"/>
      <c r="AA408" s="118"/>
      <c r="AB408" s="118"/>
      <c r="AC408" s="118">
        <v>629.71100000000001</v>
      </c>
      <c r="AD408" s="357">
        <f t="shared" si="23"/>
        <v>0.7734715084457634</v>
      </c>
      <c r="AE408" s="357"/>
      <c r="AF408" s="357"/>
      <c r="AG408" s="357"/>
      <c r="AH408" s="357">
        <f t="shared" si="24"/>
        <v>0.7734715084457634</v>
      </c>
    </row>
    <row r="409" spans="1:34" ht="78.75">
      <c r="A409" s="356" t="s">
        <v>29</v>
      </c>
      <c r="B409" s="346" t="s">
        <v>929</v>
      </c>
      <c r="C409" s="356" t="s">
        <v>225</v>
      </c>
      <c r="D409" s="356" t="s">
        <v>930</v>
      </c>
      <c r="E409" s="378" t="s">
        <v>931</v>
      </c>
      <c r="F409" s="378" t="s">
        <v>932</v>
      </c>
      <c r="G409" s="118">
        <v>2649.27</v>
      </c>
      <c r="H409" s="118"/>
      <c r="I409" s="118"/>
      <c r="J409" s="118"/>
      <c r="K409" s="118">
        <v>2649.27</v>
      </c>
      <c r="L409" s="118">
        <v>2264</v>
      </c>
      <c r="M409" s="118"/>
      <c r="N409" s="118"/>
      <c r="O409" s="118">
        <v>2264</v>
      </c>
      <c r="P409" s="118">
        <v>2264</v>
      </c>
      <c r="Q409" s="118"/>
      <c r="R409" s="118"/>
      <c r="S409" s="118">
        <v>2264</v>
      </c>
      <c r="T409" s="118">
        <v>1</v>
      </c>
      <c r="U409" s="118"/>
      <c r="V409" s="118"/>
      <c r="W409" s="118"/>
      <c r="X409" s="118">
        <v>1</v>
      </c>
      <c r="Y409" s="118">
        <v>1</v>
      </c>
      <c r="Z409" s="118"/>
      <c r="AA409" s="118"/>
      <c r="AB409" s="118"/>
      <c r="AC409" s="118">
        <v>1</v>
      </c>
      <c r="AD409" s="357">
        <f t="shared" si="23"/>
        <v>1</v>
      </c>
      <c r="AE409" s="357"/>
      <c r="AF409" s="357"/>
      <c r="AG409" s="357"/>
      <c r="AH409" s="357">
        <f t="shared" si="24"/>
        <v>1</v>
      </c>
    </row>
    <row r="410" spans="1:34" ht="31.5">
      <c r="A410" s="356" t="s">
        <v>29</v>
      </c>
      <c r="B410" s="346" t="s">
        <v>933</v>
      </c>
      <c r="C410" s="356" t="s">
        <v>607</v>
      </c>
      <c r="D410" s="356"/>
      <c r="E410" s="378" t="s">
        <v>934</v>
      </c>
      <c r="F410" s="378" t="s">
        <v>858</v>
      </c>
      <c r="G410" s="118">
        <v>36531.800000000003</v>
      </c>
      <c r="H410" s="118"/>
      <c r="I410" s="118"/>
      <c r="J410" s="118">
        <v>36531.800000000003</v>
      </c>
      <c r="K410" s="118"/>
      <c r="L410" s="118">
        <v>36371</v>
      </c>
      <c r="M410" s="118"/>
      <c r="N410" s="118">
        <v>35214</v>
      </c>
      <c r="O410" s="118">
        <v>1157</v>
      </c>
      <c r="P410" s="118">
        <v>36351</v>
      </c>
      <c r="Q410" s="118"/>
      <c r="R410" s="118">
        <v>35214</v>
      </c>
      <c r="S410" s="118">
        <v>1137</v>
      </c>
      <c r="T410" s="118">
        <v>1137.07</v>
      </c>
      <c r="U410" s="118"/>
      <c r="V410" s="118"/>
      <c r="W410" s="118"/>
      <c r="X410" s="118">
        <v>1137.07</v>
      </c>
      <c r="Y410" s="118">
        <v>1007.576</v>
      </c>
      <c r="Z410" s="118"/>
      <c r="AA410" s="118"/>
      <c r="AB410" s="118"/>
      <c r="AC410" s="118">
        <v>1007.576</v>
      </c>
      <c r="AD410" s="357">
        <f t="shared" si="23"/>
        <v>0.88611607025073225</v>
      </c>
      <c r="AE410" s="357"/>
      <c r="AF410" s="357"/>
      <c r="AG410" s="357"/>
      <c r="AH410" s="357">
        <f t="shared" si="24"/>
        <v>0.88611607025073225</v>
      </c>
    </row>
    <row r="411" spans="1:34" ht="105">
      <c r="A411" s="356" t="s">
        <v>29</v>
      </c>
      <c r="B411" s="346" t="s">
        <v>935</v>
      </c>
      <c r="C411" s="356" t="s">
        <v>273</v>
      </c>
      <c r="D411" s="356" t="s">
        <v>936</v>
      </c>
      <c r="E411" s="378" t="s">
        <v>937</v>
      </c>
      <c r="F411" s="378" t="s">
        <v>1508</v>
      </c>
      <c r="G411" s="118">
        <v>62293</v>
      </c>
      <c r="H411" s="118">
        <v>56663</v>
      </c>
      <c r="I411" s="118"/>
      <c r="J411" s="118"/>
      <c r="K411" s="118">
        <v>5630</v>
      </c>
      <c r="L411" s="118">
        <v>54111</v>
      </c>
      <c r="M411" s="118">
        <v>50313</v>
      </c>
      <c r="N411" s="118"/>
      <c r="O411" s="118">
        <v>3798</v>
      </c>
      <c r="P411" s="118">
        <v>54111</v>
      </c>
      <c r="Q411" s="118">
        <v>50313</v>
      </c>
      <c r="R411" s="118"/>
      <c r="S411" s="118">
        <v>3798</v>
      </c>
      <c r="T411" s="118">
        <v>2010.892934</v>
      </c>
      <c r="U411" s="118">
        <v>1652.1792780000001</v>
      </c>
      <c r="V411" s="118"/>
      <c r="W411" s="118"/>
      <c r="X411" s="118">
        <f>T411-U411</f>
        <v>358.7136559999999</v>
      </c>
      <c r="Y411" s="118">
        <v>1683.2702039999999</v>
      </c>
      <c r="Z411" s="118">
        <v>1324.556548</v>
      </c>
      <c r="AA411" s="118"/>
      <c r="AB411" s="118"/>
      <c r="AC411" s="118">
        <v>358.7136559999999</v>
      </c>
      <c r="AD411" s="357">
        <f t="shared" si="23"/>
        <v>0.83707599521556619</v>
      </c>
      <c r="AE411" s="357">
        <f t="shared" si="23"/>
        <v>0.80170267575526388</v>
      </c>
      <c r="AF411" s="357"/>
      <c r="AG411" s="357"/>
      <c r="AH411" s="357">
        <f t="shared" si="24"/>
        <v>1</v>
      </c>
    </row>
    <row r="412" spans="1:34" ht="60">
      <c r="A412" s="356" t="s">
        <v>29</v>
      </c>
      <c r="B412" s="346" t="s">
        <v>938</v>
      </c>
      <c r="C412" s="356" t="s">
        <v>296</v>
      </c>
      <c r="D412" s="356"/>
      <c r="E412" s="378" t="s">
        <v>241</v>
      </c>
      <c r="F412" s="378" t="s">
        <v>939</v>
      </c>
      <c r="G412" s="118">
        <v>43741.81</v>
      </c>
      <c r="H412" s="118"/>
      <c r="I412" s="118"/>
      <c r="J412" s="118"/>
      <c r="K412" s="118">
        <v>43741.81</v>
      </c>
      <c r="L412" s="118">
        <v>39071</v>
      </c>
      <c r="M412" s="118"/>
      <c r="N412" s="118"/>
      <c r="O412" s="118">
        <v>39071</v>
      </c>
      <c r="P412" s="118">
        <v>39071</v>
      </c>
      <c r="Q412" s="118"/>
      <c r="R412" s="118"/>
      <c r="S412" s="118">
        <v>39071</v>
      </c>
      <c r="T412" s="118">
        <v>2054.748</v>
      </c>
      <c r="U412" s="118"/>
      <c r="V412" s="118"/>
      <c r="W412" s="118"/>
      <c r="X412" s="118">
        <v>2054.748</v>
      </c>
      <c r="Y412" s="118">
        <v>1657.866</v>
      </c>
      <c r="Z412" s="118"/>
      <c r="AA412" s="118"/>
      <c r="AB412" s="118"/>
      <c r="AC412" s="118">
        <v>1657.866</v>
      </c>
      <c r="AD412" s="357">
        <f t="shared" si="23"/>
        <v>0.80684638700220168</v>
      </c>
      <c r="AE412" s="357"/>
      <c r="AF412" s="357"/>
      <c r="AG412" s="357"/>
      <c r="AH412" s="357">
        <f t="shared" si="24"/>
        <v>0.80684638700220168</v>
      </c>
    </row>
    <row r="413" spans="1:34" ht="31.5">
      <c r="A413" s="356" t="s">
        <v>29</v>
      </c>
      <c r="B413" s="346" t="s">
        <v>940</v>
      </c>
      <c r="C413" s="356"/>
      <c r="D413" s="356"/>
      <c r="E413" s="378"/>
      <c r="F413" s="378"/>
      <c r="G413" s="118"/>
      <c r="H413" s="118"/>
      <c r="I413" s="118"/>
      <c r="J413" s="118"/>
      <c r="K413" s="118"/>
      <c r="L413" s="118"/>
      <c r="M413" s="118"/>
      <c r="N413" s="118"/>
      <c r="O413" s="118"/>
      <c r="P413" s="118"/>
      <c r="Q413" s="118"/>
      <c r="R413" s="118"/>
      <c r="S413" s="118"/>
      <c r="T413" s="118">
        <v>4.6399999999999997</v>
      </c>
      <c r="U413" s="118"/>
      <c r="V413" s="118"/>
      <c r="W413" s="118"/>
      <c r="X413" s="118">
        <v>4.6399999999999997</v>
      </c>
      <c r="Y413" s="118">
        <v>0</v>
      </c>
      <c r="Z413" s="118"/>
      <c r="AA413" s="118"/>
      <c r="AB413" s="118"/>
      <c r="AC413" s="118"/>
      <c r="AD413" s="357">
        <f t="shared" si="23"/>
        <v>0</v>
      </c>
      <c r="AE413" s="357"/>
      <c r="AF413" s="357"/>
      <c r="AG413" s="357"/>
      <c r="AH413" s="357">
        <f t="shared" si="24"/>
        <v>0</v>
      </c>
    </row>
    <row r="414" spans="1:34" ht="60">
      <c r="A414" s="356" t="s">
        <v>29</v>
      </c>
      <c r="B414" s="346" t="s">
        <v>941</v>
      </c>
      <c r="C414" s="356" t="s">
        <v>225</v>
      </c>
      <c r="D414" s="356"/>
      <c r="E414" s="378" t="s">
        <v>238</v>
      </c>
      <c r="F414" s="378" t="s">
        <v>942</v>
      </c>
      <c r="G414" s="118">
        <v>32212.451000000001</v>
      </c>
      <c r="H414" s="118"/>
      <c r="I414" s="118">
        <v>32212.451000000001</v>
      </c>
      <c r="J414" s="118"/>
      <c r="K414" s="118"/>
      <c r="L414" s="118">
        <v>28457</v>
      </c>
      <c r="M414" s="118"/>
      <c r="N414" s="118">
        <v>28457</v>
      </c>
      <c r="O414" s="118"/>
      <c r="P414" s="118">
        <v>28833</v>
      </c>
      <c r="Q414" s="118"/>
      <c r="R414" s="118">
        <v>28833</v>
      </c>
      <c r="S414" s="118"/>
      <c r="T414" s="118">
        <v>1224.96</v>
      </c>
      <c r="U414" s="118"/>
      <c r="V414" s="118">
        <v>1224.96</v>
      </c>
      <c r="W414" s="118"/>
      <c r="X414" s="118"/>
      <c r="Y414" s="118">
        <v>1080.8295000000001</v>
      </c>
      <c r="Z414" s="118"/>
      <c r="AA414" s="118">
        <v>1080.8295000000001</v>
      </c>
      <c r="AB414" s="118"/>
      <c r="AC414" s="118"/>
      <c r="AD414" s="357">
        <f t="shared" si="23"/>
        <v>0.88233860697492161</v>
      </c>
      <c r="AE414" s="357"/>
      <c r="AF414" s="357">
        <f t="shared" ref="AF414:AF444" si="25">AA414/V414</f>
        <v>0.88233860697492161</v>
      </c>
      <c r="AG414" s="357"/>
      <c r="AH414" s="357"/>
    </row>
    <row r="415" spans="1:34" ht="75">
      <c r="A415" s="356" t="s">
        <v>29</v>
      </c>
      <c r="B415" s="346" t="s">
        <v>943</v>
      </c>
      <c r="C415" s="356" t="s">
        <v>225</v>
      </c>
      <c r="D415" s="356"/>
      <c r="E415" s="378" t="s">
        <v>876</v>
      </c>
      <c r="F415" s="378" t="s">
        <v>944</v>
      </c>
      <c r="G415" s="118">
        <v>1901.12</v>
      </c>
      <c r="H415" s="118"/>
      <c r="I415" s="118"/>
      <c r="J415" s="118"/>
      <c r="K415" s="118">
        <v>1901.12</v>
      </c>
      <c r="L415" s="118">
        <v>1719</v>
      </c>
      <c r="M415" s="118"/>
      <c r="N415" s="118"/>
      <c r="O415" s="118">
        <v>1719</v>
      </c>
      <c r="P415" s="118">
        <v>1719</v>
      </c>
      <c r="Q415" s="118"/>
      <c r="R415" s="118"/>
      <c r="S415" s="118">
        <v>1719</v>
      </c>
      <c r="T415" s="118">
        <v>0.38</v>
      </c>
      <c r="U415" s="118"/>
      <c r="V415" s="118"/>
      <c r="W415" s="118"/>
      <c r="X415" s="118">
        <v>0.38</v>
      </c>
      <c r="Y415" s="118">
        <v>0.38</v>
      </c>
      <c r="Z415" s="118"/>
      <c r="AA415" s="118"/>
      <c r="AB415" s="118"/>
      <c r="AC415" s="118">
        <v>0.38</v>
      </c>
      <c r="AD415" s="357">
        <f t="shared" si="23"/>
        <v>1</v>
      </c>
      <c r="AE415" s="357"/>
      <c r="AF415" s="357"/>
      <c r="AG415" s="357"/>
      <c r="AH415" s="357">
        <f t="shared" ref="AH415:AH423" si="26">AC415/X415</f>
        <v>1</v>
      </c>
    </row>
    <row r="416" spans="1:34" ht="60">
      <c r="A416" s="356" t="s">
        <v>29</v>
      </c>
      <c r="B416" s="346" t="s">
        <v>945</v>
      </c>
      <c r="C416" s="356" t="s">
        <v>612</v>
      </c>
      <c r="D416" s="356"/>
      <c r="E416" s="378" t="s">
        <v>390</v>
      </c>
      <c r="F416" s="378" t="s">
        <v>946</v>
      </c>
      <c r="G416" s="118">
        <v>7895</v>
      </c>
      <c r="H416" s="118"/>
      <c r="I416" s="118"/>
      <c r="J416" s="118"/>
      <c r="K416" s="118">
        <v>7895</v>
      </c>
      <c r="L416" s="118">
        <v>6723</v>
      </c>
      <c r="M416" s="118"/>
      <c r="N416" s="118"/>
      <c r="O416" s="118">
        <v>6723</v>
      </c>
      <c r="P416" s="118">
        <v>6723</v>
      </c>
      <c r="Q416" s="118"/>
      <c r="R416" s="118"/>
      <c r="S416" s="118">
        <v>6723</v>
      </c>
      <c r="T416" s="118">
        <v>1123.0440000000001</v>
      </c>
      <c r="U416" s="118"/>
      <c r="V416" s="118"/>
      <c r="W416" s="118"/>
      <c r="X416" s="118">
        <v>1123.0440000000001</v>
      </c>
      <c r="Y416" s="118">
        <v>985.44399999999996</v>
      </c>
      <c r="Z416" s="118"/>
      <c r="AA416" s="118"/>
      <c r="AB416" s="118"/>
      <c r="AC416" s="118">
        <v>985.44399999999996</v>
      </c>
      <c r="AD416" s="357">
        <f t="shared" si="23"/>
        <v>0.87747586025124558</v>
      </c>
      <c r="AE416" s="357"/>
      <c r="AF416" s="357"/>
      <c r="AG416" s="357"/>
      <c r="AH416" s="357">
        <f t="shared" si="26"/>
        <v>0.87747586025124558</v>
      </c>
    </row>
    <row r="417" spans="1:34" ht="75">
      <c r="A417" s="356" t="s">
        <v>29</v>
      </c>
      <c r="B417" s="346" t="s">
        <v>947</v>
      </c>
      <c r="C417" s="356" t="s">
        <v>225</v>
      </c>
      <c r="D417" s="356"/>
      <c r="E417" s="378" t="s">
        <v>876</v>
      </c>
      <c r="F417" s="378" t="s">
        <v>948</v>
      </c>
      <c r="G417" s="118">
        <v>10670.57</v>
      </c>
      <c r="H417" s="118"/>
      <c r="I417" s="118">
        <v>5335.2849999999999</v>
      </c>
      <c r="J417" s="118"/>
      <c r="K417" s="118">
        <v>5335.2849999999999</v>
      </c>
      <c r="L417" s="118">
        <v>9561.1919999999991</v>
      </c>
      <c r="M417" s="118"/>
      <c r="N417" s="118">
        <v>4780.5959999999995</v>
      </c>
      <c r="O417" s="118">
        <v>4780.5959999999995</v>
      </c>
      <c r="P417" s="118">
        <v>9561.1919999999991</v>
      </c>
      <c r="Q417" s="118"/>
      <c r="R417" s="118">
        <v>4780.5959999999995</v>
      </c>
      <c r="S417" s="118">
        <v>4780.5959999999995</v>
      </c>
      <c r="T417" s="118">
        <v>172.03</v>
      </c>
      <c r="U417" s="118"/>
      <c r="V417" s="118"/>
      <c r="W417" s="118"/>
      <c r="X417" s="118">
        <v>172.03</v>
      </c>
      <c r="Y417" s="118">
        <v>0</v>
      </c>
      <c r="Z417" s="118"/>
      <c r="AA417" s="118"/>
      <c r="AB417" s="118"/>
      <c r="AC417" s="118"/>
      <c r="AD417" s="357">
        <f t="shared" si="23"/>
        <v>0</v>
      </c>
      <c r="AE417" s="357"/>
      <c r="AF417" s="357"/>
      <c r="AG417" s="357"/>
      <c r="AH417" s="357">
        <f t="shared" si="26"/>
        <v>0</v>
      </c>
    </row>
    <row r="418" spans="1:34" ht="63">
      <c r="A418" s="356" t="s">
        <v>29</v>
      </c>
      <c r="B418" s="346" t="s">
        <v>949</v>
      </c>
      <c r="C418" s="356" t="s">
        <v>439</v>
      </c>
      <c r="D418" s="356"/>
      <c r="E418" s="378" t="s">
        <v>518</v>
      </c>
      <c r="F418" s="378" t="s">
        <v>950</v>
      </c>
      <c r="G418" s="118">
        <v>54880</v>
      </c>
      <c r="H418" s="118"/>
      <c r="I418" s="118"/>
      <c r="J418" s="118"/>
      <c r="K418" s="118">
        <v>54880</v>
      </c>
      <c r="L418" s="118">
        <v>30354</v>
      </c>
      <c r="M418" s="118"/>
      <c r="N418" s="118"/>
      <c r="O418" s="118">
        <v>30354</v>
      </c>
      <c r="P418" s="118">
        <v>28394</v>
      </c>
      <c r="Q418" s="118"/>
      <c r="R418" s="118"/>
      <c r="S418" s="118">
        <v>28394</v>
      </c>
      <c r="T418" s="118">
        <v>1657</v>
      </c>
      <c r="U418" s="118"/>
      <c r="V418" s="118"/>
      <c r="W418" s="118"/>
      <c r="X418" s="118">
        <v>1657</v>
      </c>
      <c r="Y418" s="118">
        <v>1457</v>
      </c>
      <c r="Z418" s="118"/>
      <c r="AA418" s="118"/>
      <c r="AB418" s="118"/>
      <c r="AC418" s="118">
        <v>1457</v>
      </c>
      <c r="AD418" s="357">
        <f t="shared" si="23"/>
        <v>0.87929993964996978</v>
      </c>
      <c r="AE418" s="357"/>
      <c r="AF418" s="357"/>
      <c r="AG418" s="357"/>
      <c r="AH418" s="357">
        <f t="shared" si="26"/>
        <v>0.87929993964996978</v>
      </c>
    </row>
    <row r="419" spans="1:34" ht="75">
      <c r="A419" s="356" t="s">
        <v>29</v>
      </c>
      <c r="B419" s="346" t="s">
        <v>951</v>
      </c>
      <c r="C419" s="356" t="s">
        <v>296</v>
      </c>
      <c r="D419" s="356"/>
      <c r="E419" s="378" t="s">
        <v>251</v>
      </c>
      <c r="F419" s="378" t="s">
        <v>952</v>
      </c>
      <c r="G419" s="118">
        <v>24325</v>
      </c>
      <c r="H419" s="118"/>
      <c r="I419" s="118"/>
      <c r="J419" s="118"/>
      <c r="K419" s="118">
        <v>24325</v>
      </c>
      <c r="L419" s="118">
        <v>17584</v>
      </c>
      <c r="M419" s="118"/>
      <c r="N419" s="118"/>
      <c r="O419" s="118">
        <v>17584</v>
      </c>
      <c r="P419" s="118">
        <v>16500</v>
      </c>
      <c r="Q419" s="118"/>
      <c r="R419" s="118"/>
      <c r="S419" s="118">
        <v>16500</v>
      </c>
      <c r="T419" s="118">
        <v>8050.5349999999999</v>
      </c>
      <c r="U419" s="118"/>
      <c r="V419" s="118"/>
      <c r="W419" s="118"/>
      <c r="X419" s="118">
        <v>8050.5349999999999</v>
      </c>
      <c r="Y419" s="118">
        <v>8050.5349999999999</v>
      </c>
      <c r="Z419" s="118"/>
      <c r="AA419" s="118"/>
      <c r="AB419" s="118"/>
      <c r="AC419" s="118">
        <v>8050.5349999999999</v>
      </c>
      <c r="AD419" s="357">
        <f t="shared" si="23"/>
        <v>1</v>
      </c>
      <c r="AE419" s="357"/>
      <c r="AF419" s="357"/>
      <c r="AG419" s="357"/>
      <c r="AH419" s="357">
        <f t="shared" si="26"/>
        <v>1</v>
      </c>
    </row>
    <row r="420" spans="1:34" ht="75">
      <c r="A420" s="356" t="s">
        <v>29</v>
      </c>
      <c r="B420" s="346" t="s">
        <v>953</v>
      </c>
      <c r="C420" s="356" t="s">
        <v>225</v>
      </c>
      <c r="D420" s="356"/>
      <c r="E420" s="378" t="s">
        <v>656</v>
      </c>
      <c r="F420" s="378" t="s">
        <v>954</v>
      </c>
      <c r="G420" s="118">
        <v>59668</v>
      </c>
      <c r="H420" s="118"/>
      <c r="I420" s="118">
        <v>27524</v>
      </c>
      <c r="J420" s="118"/>
      <c r="K420" s="118">
        <v>32144</v>
      </c>
      <c r="L420" s="118">
        <v>43099</v>
      </c>
      <c r="M420" s="118"/>
      <c r="N420" s="118">
        <v>27524</v>
      </c>
      <c r="O420" s="118">
        <v>15575</v>
      </c>
      <c r="P420" s="118">
        <v>36524</v>
      </c>
      <c r="Q420" s="118"/>
      <c r="R420" s="118">
        <v>27524</v>
      </c>
      <c r="S420" s="118">
        <v>9000</v>
      </c>
      <c r="T420" s="118">
        <v>17948</v>
      </c>
      <c r="U420" s="118"/>
      <c r="V420" s="118">
        <f>5000+3948</f>
        <v>8948</v>
      </c>
      <c r="W420" s="118"/>
      <c r="X420" s="118">
        <f>T420-V420</f>
        <v>9000</v>
      </c>
      <c r="Y420" s="118">
        <v>9470.5499999999993</v>
      </c>
      <c r="Z420" s="118"/>
      <c r="AA420" s="118">
        <v>8544.7970000000005</v>
      </c>
      <c r="AB420" s="118"/>
      <c r="AC420" s="118">
        <v>925.75299999999879</v>
      </c>
      <c r="AD420" s="357">
        <f t="shared" si="23"/>
        <v>0.52766603521283706</v>
      </c>
      <c r="AE420" s="357"/>
      <c r="AF420" s="357">
        <f t="shared" si="25"/>
        <v>0.95493931604827897</v>
      </c>
      <c r="AG420" s="357"/>
      <c r="AH420" s="357">
        <f t="shared" si="26"/>
        <v>0.10286144444444431</v>
      </c>
    </row>
    <row r="421" spans="1:34" ht="75">
      <c r="A421" s="356" t="s">
        <v>29</v>
      </c>
      <c r="B421" s="346" t="s">
        <v>955</v>
      </c>
      <c r="C421" s="356" t="s">
        <v>273</v>
      </c>
      <c r="D421" s="356"/>
      <c r="E421" s="378" t="s">
        <v>230</v>
      </c>
      <c r="F421" s="378" t="s">
        <v>956</v>
      </c>
      <c r="G421" s="118">
        <v>24336.974999999999</v>
      </c>
      <c r="H421" s="118">
        <v>19191.705271999999</v>
      </c>
      <c r="I421" s="118"/>
      <c r="J421" s="118"/>
      <c r="K421" s="118">
        <f>G421-H421</f>
        <v>5145.2697279999993</v>
      </c>
      <c r="L421" s="118">
        <v>7159</v>
      </c>
      <c r="M421" s="118">
        <v>6961</v>
      </c>
      <c r="N421" s="118"/>
      <c r="O421" s="118">
        <v>198</v>
      </c>
      <c r="P421" s="118">
        <v>6396</v>
      </c>
      <c r="Q421" s="118">
        <v>6000</v>
      </c>
      <c r="R421" s="118"/>
      <c r="S421" s="118">
        <v>396</v>
      </c>
      <c r="T421" s="118">
        <v>6211.9930000000004</v>
      </c>
      <c r="U421" s="118">
        <v>6000</v>
      </c>
      <c r="V421" s="118"/>
      <c r="W421" s="118"/>
      <c r="X421" s="118">
        <f>T421-U421</f>
        <v>211.99300000000039</v>
      </c>
      <c r="Y421" s="118">
        <v>5309.9984999999997</v>
      </c>
      <c r="Z421" s="118">
        <v>5309.9984999999997</v>
      </c>
      <c r="AA421" s="118"/>
      <c r="AB421" s="118"/>
      <c r="AC421" s="118"/>
      <c r="AD421" s="357">
        <f t="shared" si="23"/>
        <v>0.85479788853593353</v>
      </c>
      <c r="AE421" s="357">
        <f t="shared" si="23"/>
        <v>0.88499974999999997</v>
      </c>
      <c r="AF421" s="357"/>
      <c r="AG421" s="357"/>
      <c r="AH421" s="357">
        <f t="shared" si="26"/>
        <v>0</v>
      </c>
    </row>
    <row r="422" spans="1:34" ht="75">
      <c r="A422" s="356" t="s">
        <v>29</v>
      </c>
      <c r="B422" s="346" t="s">
        <v>957</v>
      </c>
      <c r="C422" s="356" t="s">
        <v>296</v>
      </c>
      <c r="D422" s="356"/>
      <c r="E422" s="378" t="s">
        <v>230</v>
      </c>
      <c r="F422" s="378" t="s">
        <v>958</v>
      </c>
      <c r="G422" s="118">
        <v>9632.9911780000002</v>
      </c>
      <c r="H422" s="118">
        <v>8226.7321780000002</v>
      </c>
      <c r="I422" s="118"/>
      <c r="J422" s="118"/>
      <c r="K422" s="118">
        <f>G422-H422</f>
        <v>1406.259</v>
      </c>
      <c r="L422" s="118">
        <v>6759</v>
      </c>
      <c r="M422" s="118">
        <v>6383</v>
      </c>
      <c r="N422" s="118"/>
      <c r="O422" s="118">
        <v>376</v>
      </c>
      <c r="P422" s="118">
        <v>6529</v>
      </c>
      <c r="Q422" s="118">
        <v>6164</v>
      </c>
      <c r="R422" s="118"/>
      <c r="S422" s="118">
        <v>364</v>
      </c>
      <c r="T422" s="118">
        <v>4199.0860000000002</v>
      </c>
      <c r="U422" s="118">
        <v>4000</v>
      </c>
      <c r="V422" s="118"/>
      <c r="W422" s="118"/>
      <c r="X422" s="118">
        <f>T422-U422</f>
        <v>199.08600000000024</v>
      </c>
      <c r="Y422" s="118">
        <v>2961.9870000000001</v>
      </c>
      <c r="Z422" s="118">
        <v>2891.28</v>
      </c>
      <c r="AA422" s="118"/>
      <c r="AB422" s="118"/>
      <c r="AC422" s="118">
        <v>70.70699999999988</v>
      </c>
      <c r="AD422" s="357">
        <f t="shared" si="23"/>
        <v>0.70538850597487168</v>
      </c>
      <c r="AE422" s="357">
        <f t="shared" si="23"/>
        <v>0.72282000000000002</v>
      </c>
      <c r="AF422" s="357"/>
      <c r="AG422" s="357"/>
      <c r="AH422" s="357">
        <f t="shared" si="26"/>
        <v>0.35515807239082503</v>
      </c>
    </row>
    <row r="423" spans="1:34" ht="60">
      <c r="A423" s="356" t="s">
        <v>29</v>
      </c>
      <c r="B423" s="346" t="s">
        <v>959</v>
      </c>
      <c r="C423" s="356" t="s">
        <v>225</v>
      </c>
      <c r="D423" s="356"/>
      <c r="E423" s="378" t="s">
        <v>230</v>
      </c>
      <c r="F423" s="378" t="s">
        <v>960</v>
      </c>
      <c r="G423" s="118">
        <v>17582.655999999999</v>
      </c>
      <c r="H423" s="118">
        <v>15269.889585000001</v>
      </c>
      <c r="I423" s="118"/>
      <c r="J423" s="118"/>
      <c r="K423" s="118">
        <f>G423-H423</f>
        <v>2312.7664149999982</v>
      </c>
      <c r="L423" s="118">
        <v>11901</v>
      </c>
      <c r="M423" s="118">
        <v>11642</v>
      </c>
      <c r="N423" s="118"/>
      <c r="O423" s="118">
        <v>260</v>
      </c>
      <c r="P423" s="118">
        <v>9515</v>
      </c>
      <c r="Q423" s="118">
        <v>9000</v>
      </c>
      <c r="R423" s="118"/>
      <c r="S423" s="118">
        <v>515</v>
      </c>
      <c r="T423" s="118">
        <v>9276.2039999999997</v>
      </c>
      <c r="U423" s="118">
        <v>9000</v>
      </c>
      <c r="V423" s="118"/>
      <c r="W423" s="118"/>
      <c r="X423" s="118">
        <f>T423-U423</f>
        <v>276.20399999999972</v>
      </c>
      <c r="Y423" s="118">
        <v>8634.6689999999999</v>
      </c>
      <c r="Z423" s="118">
        <v>8634.6689999999999</v>
      </c>
      <c r="AA423" s="118"/>
      <c r="AB423" s="118"/>
      <c r="AC423" s="118"/>
      <c r="AD423" s="357">
        <f t="shared" si="23"/>
        <v>0.93084078357914513</v>
      </c>
      <c r="AE423" s="357">
        <f t="shared" si="23"/>
        <v>0.95940766666666666</v>
      </c>
      <c r="AF423" s="357"/>
      <c r="AG423" s="357"/>
      <c r="AH423" s="357">
        <f t="shared" si="26"/>
        <v>0</v>
      </c>
    </row>
    <row r="424" spans="1:34" ht="75">
      <c r="A424" s="356" t="s">
        <v>29</v>
      </c>
      <c r="B424" s="346" t="s">
        <v>961</v>
      </c>
      <c r="C424" s="356" t="s">
        <v>225</v>
      </c>
      <c r="D424" s="356"/>
      <c r="E424" s="378" t="s">
        <v>251</v>
      </c>
      <c r="F424" s="378" t="s">
        <v>962</v>
      </c>
      <c r="G424" s="118">
        <v>9633.11</v>
      </c>
      <c r="H424" s="118"/>
      <c r="I424" s="118">
        <v>9633.11</v>
      </c>
      <c r="J424" s="118"/>
      <c r="K424" s="118">
        <v>8665</v>
      </c>
      <c r="L424" s="118"/>
      <c r="M424" s="118"/>
      <c r="N424" s="118">
        <v>8665</v>
      </c>
      <c r="O424" s="118"/>
      <c r="P424" s="118">
        <v>8665</v>
      </c>
      <c r="Q424" s="118"/>
      <c r="R424" s="118">
        <v>8665</v>
      </c>
      <c r="S424" s="118"/>
      <c r="T424" s="118">
        <v>6035.47</v>
      </c>
      <c r="U424" s="118"/>
      <c r="V424" s="118">
        <v>6035.47</v>
      </c>
      <c r="W424" s="118"/>
      <c r="X424" s="118"/>
      <c r="Y424" s="118">
        <f>AA424</f>
        <v>5852.6184999999996</v>
      </c>
      <c r="Z424" s="118"/>
      <c r="AA424" s="118">
        <v>5852.6184999999996</v>
      </c>
      <c r="AB424" s="118"/>
      <c r="AC424" s="118"/>
      <c r="AD424" s="357">
        <f t="shared" si="23"/>
        <v>0.96970385073573384</v>
      </c>
      <c r="AE424" s="357"/>
      <c r="AF424" s="357">
        <f t="shared" si="25"/>
        <v>0.96970385073573384</v>
      </c>
      <c r="AG424" s="357"/>
      <c r="AH424" s="357"/>
    </row>
    <row r="425" spans="1:34" ht="78.75">
      <c r="A425" s="356" t="s">
        <v>29</v>
      </c>
      <c r="B425" s="346" t="s">
        <v>963</v>
      </c>
      <c r="C425" s="356" t="s">
        <v>296</v>
      </c>
      <c r="D425" s="356"/>
      <c r="E425" s="378" t="s">
        <v>251</v>
      </c>
      <c r="F425" s="378" t="s">
        <v>964</v>
      </c>
      <c r="G425" s="118">
        <v>13685</v>
      </c>
      <c r="H425" s="118"/>
      <c r="I425" s="118"/>
      <c r="J425" s="118"/>
      <c r="K425" s="118">
        <v>13685</v>
      </c>
      <c r="L425" s="118">
        <v>9778</v>
      </c>
      <c r="M425" s="118"/>
      <c r="N425" s="118"/>
      <c r="O425" s="118">
        <v>9778</v>
      </c>
      <c r="P425" s="118">
        <v>8800</v>
      </c>
      <c r="Q425" s="118"/>
      <c r="R425" s="118"/>
      <c r="S425" s="118">
        <v>8800</v>
      </c>
      <c r="T425" s="118">
        <v>1923.9090000000001</v>
      </c>
      <c r="U425" s="118"/>
      <c r="V425" s="118"/>
      <c r="W425" s="118"/>
      <c r="X425" s="118">
        <v>1923.9090000000001</v>
      </c>
      <c r="Y425" s="118">
        <v>1791.557</v>
      </c>
      <c r="Z425" s="118"/>
      <c r="AA425" s="118"/>
      <c r="AB425" s="118"/>
      <c r="AC425" s="118">
        <v>1791.557</v>
      </c>
      <c r="AD425" s="357">
        <f t="shared" si="23"/>
        <v>0.93120672547402183</v>
      </c>
      <c r="AE425" s="357"/>
      <c r="AF425" s="357"/>
      <c r="AG425" s="357"/>
      <c r="AH425" s="357">
        <f t="shared" ref="AH425:AH438" si="27">AC425/X425</f>
        <v>0.93120672547402183</v>
      </c>
    </row>
    <row r="426" spans="1:34" ht="94.5">
      <c r="A426" s="356" t="s">
        <v>29</v>
      </c>
      <c r="B426" s="346" t="s">
        <v>965</v>
      </c>
      <c r="C426" s="356" t="s">
        <v>321</v>
      </c>
      <c r="D426" s="356"/>
      <c r="E426" s="378" t="s">
        <v>390</v>
      </c>
      <c r="F426" s="378" t="s">
        <v>966</v>
      </c>
      <c r="G426" s="118">
        <v>5443</v>
      </c>
      <c r="H426" s="118"/>
      <c r="I426" s="118"/>
      <c r="J426" s="118"/>
      <c r="K426" s="118">
        <v>5443</v>
      </c>
      <c r="L426" s="118">
        <v>4674</v>
      </c>
      <c r="M426" s="118"/>
      <c r="N426" s="118"/>
      <c r="O426" s="118">
        <v>4674</v>
      </c>
      <c r="P426" s="118">
        <v>4400</v>
      </c>
      <c r="Q426" s="118"/>
      <c r="R426" s="118"/>
      <c r="S426" s="118">
        <v>4400</v>
      </c>
      <c r="T426" s="118">
        <v>500</v>
      </c>
      <c r="U426" s="118"/>
      <c r="V426" s="118"/>
      <c r="W426" s="118"/>
      <c r="X426" s="118">
        <v>500</v>
      </c>
      <c r="Y426" s="118">
        <v>450</v>
      </c>
      <c r="Z426" s="118"/>
      <c r="AA426" s="118"/>
      <c r="AB426" s="118"/>
      <c r="AC426" s="118">
        <v>450</v>
      </c>
      <c r="AD426" s="357">
        <f t="shared" si="23"/>
        <v>0.9</v>
      </c>
      <c r="AE426" s="357"/>
      <c r="AF426" s="357"/>
      <c r="AG426" s="357"/>
      <c r="AH426" s="357">
        <f t="shared" si="27"/>
        <v>0.9</v>
      </c>
    </row>
    <row r="427" spans="1:34" ht="60">
      <c r="A427" s="356" t="s">
        <v>29</v>
      </c>
      <c r="B427" s="346" t="s">
        <v>967</v>
      </c>
      <c r="C427" s="356" t="s">
        <v>225</v>
      </c>
      <c r="D427" s="356"/>
      <c r="E427" s="378" t="s">
        <v>968</v>
      </c>
      <c r="F427" s="378" t="s">
        <v>969</v>
      </c>
      <c r="G427" s="118">
        <v>142000</v>
      </c>
      <c r="H427" s="118"/>
      <c r="I427" s="118">
        <v>142000</v>
      </c>
      <c r="J427" s="118"/>
      <c r="K427" s="118"/>
      <c r="L427" s="118">
        <v>11968</v>
      </c>
      <c r="M427" s="118"/>
      <c r="N427" s="118"/>
      <c r="O427" s="118">
        <v>11968</v>
      </c>
      <c r="P427" s="118">
        <v>10000</v>
      </c>
      <c r="Q427" s="118"/>
      <c r="R427" s="118"/>
      <c r="S427" s="118">
        <v>10000</v>
      </c>
      <c r="T427" s="118">
        <v>4210.51</v>
      </c>
      <c r="U427" s="118"/>
      <c r="V427" s="118"/>
      <c r="W427" s="118"/>
      <c r="X427" s="118">
        <v>4210.51</v>
      </c>
      <c r="Y427" s="118">
        <v>4202.01</v>
      </c>
      <c r="Z427" s="118"/>
      <c r="AA427" s="118"/>
      <c r="AB427" s="118"/>
      <c r="AC427" s="118">
        <v>4202.01</v>
      </c>
      <c r="AD427" s="357">
        <f t="shared" si="23"/>
        <v>0.99798124217731343</v>
      </c>
      <c r="AE427" s="357"/>
      <c r="AF427" s="357"/>
      <c r="AG427" s="357"/>
      <c r="AH427" s="357">
        <f t="shared" si="27"/>
        <v>0.99798124217731343</v>
      </c>
    </row>
    <row r="428" spans="1:34" ht="60">
      <c r="A428" s="356" t="s">
        <v>29</v>
      </c>
      <c r="B428" s="346" t="s">
        <v>970</v>
      </c>
      <c r="C428" s="356" t="s">
        <v>321</v>
      </c>
      <c r="D428" s="356"/>
      <c r="E428" s="378" t="s">
        <v>248</v>
      </c>
      <c r="F428" s="378" t="s">
        <v>971</v>
      </c>
      <c r="G428" s="118">
        <v>29396</v>
      </c>
      <c r="H428" s="118"/>
      <c r="I428" s="118">
        <v>10484</v>
      </c>
      <c r="J428" s="118"/>
      <c r="K428" s="118">
        <f>G428-I428</f>
        <v>18912</v>
      </c>
      <c r="L428" s="118">
        <v>18400</v>
      </c>
      <c r="M428" s="118"/>
      <c r="N428" s="118">
        <v>10484</v>
      </c>
      <c r="O428" s="118">
        <v>7916</v>
      </c>
      <c r="P428" s="118">
        <v>16638</v>
      </c>
      <c r="Q428" s="118"/>
      <c r="R428" s="118">
        <v>10484</v>
      </c>
      <c r="S428" s="118">
        <v>6154</v>
      </c>
      <c r="T428" s="118">
        <v>9234.1628440000004</v>
      </c>
      <c r="U428" s="118"/>
      <c r="V428" s="118">
        <v>5951.2505000000001</v>
      </c>
      <c r="W428" s="118"/>
      <c r="X428" s="118">
        <f>T428-V428</f>
        <v>3282.9123440000003</v>
      </c>
      <c r="Y428" s="118">
        <v>8678.4365379999999</v>
      </c>
      <c r="Z428" s="118"/>
      <c r="AA428" s="118">
        <v>5951.2505000000001</v>
      </c>
      <c r="AB428" s="118"/>
      <c r="AC428" s="118">
        <v>2727.1860379999998</v>
      </c>
      <c r="AD428" s="357">
        <f t="shared" si="23"/>
        <v>0.93981844208421239</v>
      </c>
      <c r="AE428" s="357"/>
      <c r="AF428" s="357">
        <f t="shared" si="25"/>
        <v>1</v>
      </c>
      <c r="AG428" s="357"/>
      <c r="AH428" s="357">
        <f t="shared" si="27"/>
        <v>0.83072155215606924</v>
      </c>
    </row>
    <row r="429" spans="1:34" ht="75">
      <c r="A429" s="356" t="s">
        <v>29</v>
      </c>
      <c r="B429" s="346" t="s">
        <v>972</v>
      </c>
      <c r="C429" s="356" t="s">
        <v>310</v>
      </c>
      <c r="D429" s="356"/>
      <c r="E429" s="378" t="s">
        <v>390</v>
      </c>
      <c r="F429" s="378" t="s">
        <v>973</v>
      </c>
      <c r="G429" s="118">
        <v>4978</v>
      </c>
      <c r="H429" s="118"/>
      <c r="I429" s="118"/>
      <c r="J429" s="118"/>
      <c r="K429" s="118">
        <v>4978</v>
      </c>
      <c r="L429" s="118">
        <v>4951</v>
      </c>
      <c r="M429" s="118"/>
      <c r="N429" s="118"/>
      <c r="O429" s="118">
        <v>4951</v>
      </c>
      <c r="P429" s="118">
        <v>3900</v>
      </c>
      <c r="Q429" s="118"/>
      <c r="R429" s="118"/>
      <c r="S429" s="118">
        <v>3900</v>
      </c>
      <c r="T429" s="118">
        <v>600</v>
      </c>
      <c r="U429" s="118"/>
      <c r="V429" s="118"/>
      <c r="W429" s="118"/>
      <c r="X429" s="118">
        <v>600</v>
      </c>
      <c r="Y429" s="118">
        <v>600</v>
      </c>
      <c r="Z429" s="118"/>
      <c r="AA429" s="118"/>
      <c r="AB429" s="118"/>
      <c r="AC429" s="118">
        <v>600</v>
      </c>
      <c r="AD429" s="357">
        <f t="shared" si="23"/>
        <v>1</v>
      </c>
      <c r="AE429" s="357"/>
      <c r="AF429" s="357"/>
      <c r="AG429" s="357"/>
      <c r="AH429" s="357">
        <f t="shared" si="27"/>
        <v>1</v>
      </c>
    </row>
    <row r="430" spans="1:34" ht="75">
      <c r="A430" s="356" t="s">
        <v>29</v>
      </c>
      <c r="B430" s="346" t="s">
        <v>974</v>
      </c>
      <c r="C430" s="356" t="s">
        <v>299</v>
      </c>
      <c r="D430" s="356"/>
      <c r="E430" s="378" t="s">
        <v>390</v>
      </c>
      <c r="F430" s="378" t="s">
        <v>975</v>
      </c>
      <c r="G430" s="118">
        <v>5094</v>
      </c>
      <c r="H430" s="118"/>
      <c r="I430" s="118"/>
      <c r="J430" s="118"/>
      <c r="K430" s="118">
        <v>5094</v>
      </c>
      <c r="L430" s="118">
        <v>4519</v>
      </c>
      <c r="M430" s="118"/>
      <c r="N430" s="118"/>
      <c r="O430" s="118">
        <v>4519</v>
      </c>
      <c r="P430" s="118">
        <v>3600</v>
      </c>
      <c r="Q430" s="118"/>
      <c r="R430" s="118"/>
      <c r="S430" s="118">
        <v>3600</v>
      </c>
      <c r="T430" s="118">
        <v>200</v>
      </c>
      <c r="U430" s="118"/>
      <c r="V430" s="118"/>
      <c r="W430" s="118"/>
      <c r="X430" s="118">
        <v>200</v>
      </c>
      <c r="Y430" s="118">
        <v>120</v>
      </c>
      <c r="Z430" s="118"/>
      <c r="AA430" s="118"/>
      <c r="AB430" s="118"/>
      <c r="AC430" s="118">
        <v>120</v>
      </c>
      <c r="AD430" s="357">
        <f t="shared" si="23"/>
        <v>0.6</v>
      </c>
      <c r="AE430" s="357"/>
      <c r="AF430" s="357"/>
      <c r="AG430" s="357"/>
      <c r="AH430" s="357">
        <f t="shared" si="27"/>
        <v>0.6</v>
      </c>
    </row>
    <row r="431" spans="1:34" ht="75">
      <c r="A431" s="356" t="s">
        <v>29</v>
      </c>
      <c r="B431" s="346" t="s">
        <v>976</v>
      </c>
      <c r="C431" s="356" t="s">
        <v>363</v>
      </c>
      <c r="D431" s="356"/>
      <c r="E431" s="378" t="s">
        <v>390</v>
      </c>
      <c r="F431" s="378" t="s">
        <v>977</v>
      </c>
      <c r="G431" s="118">
        <v>5542</v>
      </c>
      <c r="H431" s="118"/>
      <c r="I431" s="118"/>
      <c r="J431" s="118"/>
      <c r="K431" s="118">
        <v>5542</v>
      </c>
      <c r="L431" s="118">
        <v>4695</v>
      </c>
      <c r="M431" s="118"/>
      <c r="N431" s="118"/>
      <c r="O431" s="118">
        <v>4695</v>
      </c>
      <c r="P431" s="118">
        <v>4695</v>
      </c>
      <c r="Q431" s="118"/>
      <c r="R431" s="118"/>
      <c r="S431" s="118">
        <v>4695</v>
      </c>
      <c r="T431" s="118">
        <v>695.03700000000003</v>
      </c>
      <c r="U431" s="118"/>
      <c r="V431" s="118"/>
      <c r="W431" s="118"/>
      <c r="X431" s="118">
        <v>695.03700000000003</v>
      </c>
      <c r="Y431" s="118">
        <v>599.11500000000001</v>
      </c>
      <c r="Z431" s="118"/>
      <c r="AA431" s="118"/>
      <c r="AB431" s="118"/>
      <c r="AC431" s="118">
        <v>599.11500000000001</v>
      </c>
      <c r="AD431" s="357">
        <f t="shared" si="23"/>
        <v>0.86199008110359587</v>
      </c>
      <c r="AE431" s="357"/>
      <c r="AF431" s="357"/>
      <c r="AG431" s="357"/>
      <c r="AH431" s="357">
        <f t="shared" si="27"/>
        <v>0.86199008110359587</v>
      </c>
    </row>
    <row r="432" spans="1:34" ht="94.5">
      <c r="A432" s="356" t="s">
        <v>29</v>
      </c>
      <c r="B432" s="346" t="s">
        <v>978</v>
      </c>
      <c r="C432" s="356" t="s">
        <v>273</v>
      </c>
      <c r="D432" s="356"/>
      <c r="E432" s="378" t="s">
        <v>248</v>
      </c>
      <c r="F432" s="378" t="s">
        <v>979</v>
      </c>
      <c r="G432" s="118">
        <v>49639.178</v>
      </c>
      <c r="H432" s="118"/>
      <c r="I432" s="118"/>
      <c r="J432" s="118"/>
      <c r="K432" s="118">
        <v>49639.178</v>
      </c>
      <c r="L432" s="118">
        <v>30475</v>
      </c>
      <c r="M432" s="118"/>
      <c r="N432" s="118"/>
      <c r="O432" s="118">
        <v>30475</v>
      </c>
      <c r="P432" s="118">
        <v>24833</v>
      </c>
      <c r="Q432" s="118"/>
      <c r="R432" s="118"/>
      <c r="S432" s="118">
        <v>24833</v>
      </c>
      <c r="T432" s="118">
        <v>15453</v>
      </c>
      <c r="U432" s="118"/>
      <c r="V432" s="118"/>
      <c r="W432" s="118"/>
      <c r="X432" s="118">
        <v>15453</v>
      </c>
      <c r="Y432" s="118">
        <v>15453</v>
      </c>
      <c r="Z432" s="118"/>
      <c r="AA432" s="118"/>
      <c r="AB432" s="118"/>
      <c r="AC432" s="118">
        <v>15453</v>
      </c>
      <c r="AD432" s="357">
        <f t="shared" si="23"/>
        <v>1</v>
      </c>
      <c r="AE432" s="357"/>
      <c r="AF432" s="357"/>
      <c r="AG432" s="357"/>
      <c r="AH432" s="357">
        <f t="shared" si="27"/>
        <v>1</v>
      </c>
    </row>
    <row r="433" spans="1:34" ht="75">
      <c r="A433" s="356" t="s">
        <v>29</v>
      </c>
      <c r="B433" s="346" t="s">
        <v>980</v>
      </c>
      <c r="C433" s="356" t="s">
        <v>225</v>
      </c>
      <c r="D433" s="356"/>
      <c r="E433" s="378" t="s">
        <v>390</v>
      </c>
      <c r="F433" s="378" t="s">
        <v>981</v>
      </c>
      <c r="G433" s="118">
        <v>5366</v>
      </c>
      <c r="H433" s="118"/>
      <c r="I433" s="118"/>
      <c r="J433" s="118"/>
      <c r="K433" s="118">
        <v>5366</v>
      </c>
      <c r="L433" s="118">
        <v>4956</v>
      </c>
      <c r="M433" s="118"/>
      <c r="N433" s="118"/>
      <c r="O433" s="118">
        <v>4956</v>
      </c>
      <c r="P433" s="118">
        <v>4000</v>
      </c>
      <c r="Q433" s="118"/>
      <c r="R433" s="118"/>
      <c r="S433" s="118">
        <v>4000</v>
      </c>
      <c r="T433" s="118">
        <v>200</v>
      </c>
      <c r="U433" s="118"/>
      <c r="V433" s="118"/>
      <c r="W433" s="118"/>
      <c r="X433" s="118">
        <v>200</v>
      </c>
      <c r="Y433" s="118">
        <v>200</v>
      </c>
      <c r="Z433" s="118"/>
      <c r="AA433" s="118"/>
      <c r="AB433" s="118"/>
      <c r="AC433" s="118">
        <v>200</v>
      </c>
      <c r="AD433" s="357">
        <f t="shared" si="23"/>
        <v>1</v>
      </c>
      <c r="AE433" s="357"/>
      <c r="AF433" s="357"/>
      <c r="AG433" s="357"/>
      <c r="AH433" s="357">
        <f t="shared" si="27"/>
        <v>1</v>
      </c>
    </row>
    <row r="434" spans="1:34" ht="75">
      <c r="A434" s="356" t="s">
        <v>29</v>
      </c>
      <c r="B434" s="346" t="s">
        <v>982</v>
      </c>
      <c r="C434" s="356" t="s">
        <v>363</v>
      </c>
      <c r="D434" s="356"/>
      <c r="E434" s="378" t="s">
        <v>230</v>
      </c>
      <c r="F434" s="378" t="s">
        <v>983</v>
      </c>
      <c r="G434" s="118">
        <v>6463.8432419999999</v>
      </c>
      <c r="H434" s="118">
        <v>5502.4802419999996</v>
      </c>
      <c r="I434" s="118"/>
      <c r="J434" s="118"/>
      <c r="K434" s="118">
        <v>961</v>
      </c>
      <c r="L434" s="118">
        <v>3616</v>
      </c>
      <c r="M434" s="118">
        <v>3346</v>
      </c>
      <c r="N434" s="118"/>
      <c r="O434" s="118">
        <v>270</v>
      </c>
      <c r="P434" s="118">
        <v>3850</v>
      </c>
      <c r="Q434" s="118">
        <v>3596</v>
      </c>
      <c r="R434" s="118"/>
      <c r="S434" s="118">
        <v>254</v>
      </c>
      <c r="T434" s="118">
        <v>2367.4699999999998</v>
      </c>
      <c r="U434" s="118">
        <v>2250</v>
      </c>
      <c r="V434" s="118"/>
      <c r="W434" s="118"/>
      <c r="X434" s="118">
        <f>T434-U434</f>
        <v>117.4699999999998</v>
      </c>
      <c r="Y434" s="118">
        <v>1838.31</v>
      </c>
      <c r="Z434" s="118">
        <v>1800.4449999999999</v>
      </c>
      <c r="AA434" s="118"/>
      <c r="AB434" s="118"/>
      <c r="AC434" s="118">
        <v>37.865000000000009</v>
      </c>
      <c r="AD434" s="357">
        <f t="shared" si="23"/>
        <v>0.77648713605663433</v>
      </c>
      <c r="AE434" s="357">
        <f t="shared" si="23"/>
        <v>0.80019777777777779</v>
      </c>
      <c r="AF434" s="357"/>
      <c r="AG434" s="357"/>
      <c r="AH434" s="357">
        <f t="shared" si="27"/>
        <v>0.32233761811526412</v>
      </c>
    </row>
    <row r="435" spans="1:34" ht="75">
      <c r="A435" s="356" t="s">
        <v>29</v>
      </c>
      <c r="B435" s="346" t="s">
        <v>984</v>
      </c>
      <c r="C435" s="356" t="s">
        <v>273</v>
      </c>
      <c r="D435" s="356" t="s">
        <v>985</v>
      </c>
      <c r="E435" s="378" t="s">
        <v>986</v>
      </c>
      <c r="F435" s="378" t="s">
        <v>987</v>
      </c>
      <c r="G435" s="118">
        <v>1203.42</v>
      </c>
      <c r="H435" s="118"/>
      <c r="I435" s="118"/>
      <c r="J435" s="118"/>
      <c r="K435" s="118">
        <v>1203.42</v>
      </c>
      <c r="L435" s="118">
        <v>1019.931</v>
      </c>
      <c r="M435" s="118"/>
      <c r="N435" s="118"/>
      <c r="O435" s="118">
        <v>1019.931</v>
      </c>
      <c r="P435" s="118">
        <v>1019.931</v>
      </c>
      <c r="Q435" s="118"/>
      <c r="R435" s="118"/>
      <c r="S435" s="118">
        <v>1019.931</v>
      </c>
      <c r="T435" s="118">
        <v>0.41399999999999998</v>
      </c>
      <c r="U435" s="118"/>
      <c r="V435" s="118"/>
      <c r="W435" s="118"/>
      <c r="X435" s="118">
        <v>0.41399999999999998</v>
      </c>
      <c r="Y435" s="118">
        <v>0</v>
      </c>
      <c r="Z435" s="118"/>
      <c r="AA435" s="118"/>
      <c r="AB435" s="118"/>
      <c r="AC435" s="118"/>
      <c r="AD435" s="357">
        <f t="shared" si="23"/>
        <v>0</v>
      </c>
      <c r="AE435" s="357"/>
      <c r="AF435" s="357"/>
      <c r="AG435" s="357"/>
      <c r="AH435" s="357">
        <f t="shared" si="27"/>
        <v>0</v>
      </c>
    </row>
    <row r="436" spans="1:34" ht="75">
      <c r="A436" s="356" t="s">
        <v>29</v>
      </c>
      <c r="B436" s="346" t="s">
        <v>988</v>
      </c>
      <c r="C436" s="356" t="s">
        <v>263</v>
      </c>
      <c r="D436" s="356"/>
      <c r="E436" s="378" t="s">
        <v>230</v>
      </c>
      <c r="F436" s="378" t="s">
        <v>989</v>
      </c>
      <c r="G436" s="118">
        <v>6080.5815299999995</v>
      </c>
      <c r="H436" s="118">
        <v>5185.5025299999998</v>
      </c>
      <c r="I436" s="118"/>
      <c r="J436" s="118"/>
      <c r="K436" s="118">
        <v>895</v>
      </c>
      <c r="L436" s="118">
        <v>3458</v>
      </c>
      <c r="M436" s="118">
        <v>3210</v>
      </c>
      <c r="N436" s="118"/>
      <c r="O436" s="118">
        <v>248</v>
      </c>
      <c r="P436" s="118">
        <v>3689</v>
      </c>
      <c r="Q436" s="118">
        <v>3442</v>
      </c>
      <c r="R436" s="118"/>
      <c r="S436" s="118">
        <v>247</v>
      </c>
      <c r="T436" s="118">
        <v>2358.7269999999999</v>
      </c>
      <c r="U436" s="118">
        <v>2250</v>
      </c>
      <c r="V436" s="118"/>
      <c r="W436" s="118"/>
      <c r="X436" s="118">
        <f>T436-U436</f>
        <v>108.72699999999986</v>
      </c>
      <c r="Y436" s="118">
        <v>1629.7139</v>
      </c>
      <c r="Z436" s="118">
        <v>1593.9139</v>
      </c>
      <c r="AA436" s="118"/>
      <c r="AB436" s="118"/>
      <c r="AC436" s="118">
        <v>35.799999999999955</v>
      </c>
      <c r="AD436" s="357">
        <f t="shared" si="23"/>
        <v>0.69092942930657086</v>
      </c>
      <c r="AE436" s="357">
        <f t="shared" si="23"/>
        <v>0.70840617777777781</v>
      </c>
      <c r="AF436" s="357"/>
      <c r="AG436" s="357"/>
      <c r="AH436" s="357">
        <f t="shared" si="27"/>
        <v>0.3292650399624748</v>
      </c>
    </row>
    <row r="437" spans="1:34" ht="75">
      <c r="A437" s="356" t="s">
        <v>29</v>
      </c>
      <c r="B437" s="346" t="s">
        <v>990</v>
      </c>
      <c r="C437" s="356" t="s">
        <v>229</v>
      </c>
      <c r="D437" s="356"/>
      <c r="E437" s="378" t="s">
        <v>230</v>
      </c>
      <c r="F437" s="378" t="s">
        <v>991</v>
      </c>
      <c r="G437" s="118">
        <v>8289.0889999999999</v>
      </c>
      <c r="H437" s="118">
        <v>7042.5559919999996</v>
      </c>
      <c r="I437" s="118"/>
      <c r="J437" s="118"/>
      <c r="K437" s="118">
        <v>1247</v>
      </c>
      <c r="L437" s="118">
        <v>5528</v>
      </c>
      <c r="M437" s="118">
        <v>5173</v>
      </c>
      <c r="N437" s="118"/>
      <c r="O437" s="118">
        <v>355</v>
      </c>
      <c r="P437" s="118">
        <v>5164</v>
      </c>
      <c r="Q437" s="118">
        <v>4827</v>
      </c>
      <c r="R437" s="118"/>
      <c r="S437" s="118">
        <v>337</v>
      </c>
      <c r="T437" s="118">
        <v>3118.7</v>
      </c>
      <c r="U437" s="118">
        <v>3000</v>
      </c>
      <c r="V437" s="118"/>
      <c r="W437" s="118"/>
      <c r="X437" s="118">
        <f>T437-U437</f>
        <v>118.69999999999982</v>
      </c>
      <c r="Y437" s="118">
        <v>2507.1010000000001</v>
      </c>
      <c r="Z437" s="118">
        <v>2442.201</v>
      </c>
      <c r="AA437" s="118"/>
      <c r="AB437" s="118"/>
      <c r="AC437" s="118">
        <v>64.900000000000091</v>
      </c>
      <c r="AD437" s="357">
        <f t="shared" si="23"/>
        <v>0.80389296822393952</v>
      </c>
      <c r="AE437" s="357">
        <f t="shared" si="23"/>
        <v>0.81406699999999999</v>
      </c>
      <c r="AF437" s="357"/>
      <c r="AG437" s="357"/>
      <c r="AH437" s="357">
        <f t="shared" si="27"/>
        <v>0.54675652906487104</v>
      </c>
    </row>
    <row r="438" spans="1:34" ht="75">
      <c r="A438" s="356" t="s">
        <v>29</v>
      </c>
      <c r="B438" s="346" t="s">
        <v>992</v>
      </c>
      <c r="C438" s="356" t="s">
        <v>612</v>
      </c>
      <c r="D438" s="356"/>
      <c r="E438" s="378" t="s">
        <v>230</v>
      </c>
      <c r="F438" s="378" t="s">
        <v>993</v>
      </c>
      <c r="G438" s="118">
        <v>7829.6855329999999</v>
      </c>
      <c r="H438" s="118">
        <v>6664.498533</v>
      </c>
      <c r="I438" s="118"/>
      <c r="J438" s="118"/>
      <c r="K438" s="118">
        <v>1165</v>
      </c>
      <c r="L438" s="118">
        <v>5092</v>
      </c>
      <c r="M438" s="118">
        <v>4770</v>
      </c>
      <c r="N438" s="118"/>
      <c r="O438" s="118">
        <v>322</v>
      </c>
      <c r="P438" s="118">
        <v>4969</v>
      </c>
      <c r="Q438" s="118">
        <v>4659</v>
      </c>
      <c r="R438" s="118"/>
      <c r="S438" s="118">
        <v>310</v>
      </c>
      <c r="T438" s="118">
        <v>3151.9809999999998</v>
      </c>
      <c r="U438" s="118">
        <v>3000</v>
      </c>
      <c r="V438" s="118"/>
      <c r="W438" s="118"/>
      <c r="X438" s="118">
        <f>T438-U438</f>
        <v>151.98099999999977</v>
      </c>
      <c r="Y438" s="118">
        <v>2273.77</v>
      </c>
      <c r="Z438" s="118">
        <v>2220.0700000000002</v>
      </c>
      <c r="AA438" s="118"/>
      <c r="AB438" s="118"/>
      <c r="AC438" s="118">
        <v>53.699999999999818</v>
      </c>
      <c r="AD438" s="357">
        <f t="shared" si="23"/>
        <v>0.72137807937294041</v>
      </c>
      <c r="AE438" s="357">
        <f t="shared" si="23"/>
        <v>0.74002333333333337</v>
      </c>
      <c r="AF438" s="357"/>
      <c r="AG438" s="357"/>
      <c r="AH438" s="357">
        <f t="shared" si="27"/>
        <v>0.35333364038925852</v>
      </c>
    </row>
    <row r="439" spans="1:34" ht="75">
      <c r="A439" s="356" t="s">
        <v>29</v>
      </c>
      <c r="B439" s="346" t="s">
        <v>994</v>
      </c>
      <c r="C439" s="356" t="s">
        <v>310</v>
      </c>
      <c r="D439" s="356"/>
      <c r="E439" s="378" t="s">
        <v>390</v>
      </c>
      <c r="F439" s="378" t="s">
        <v>995</v>
      </c>
      <c r="G439" s="118">
        <v>3726.6970000000001</v>
      </c>
      <c r="H439" s="118"/>
      <c r="I439" s="118">
        <v>3726.6970000000001</v>
      </c>
      <c r="J439" s="118"/>
      <c r="K439" s="118"/>
      <c r="L439" s="118">
        <v>3336</v>
      </c>
      <c r="M439" s="118"/>
      <c r="N439" s="118">
        <v>3336</v>
      </c>
      <c r="O439" s="118"/>
      <c r="P439" s="118">
        <v>3336</v>
      </c>
      <c r="Q439" s="118"/>
      <c r="R439" s="118">
        <v>3336</v>
      </c>
      <c r="S439" s="118"/>
      <c r="T439" s="118">
        <v>20.888999999999999</v>
      </c>
      <c r="U439" s="118"/>
      <c r="V439" s="118">
        <v>20.888999999999999</v>
      </c>
      <c r="W439" s="118"/>
      <c r="X439" s="118"/>
      <c r="Y439" s="118">
        <v>20.888999999999999</v>
      </c>
      <c r="Z439" s="118"/>
      <c r="AA439" s="118">
        <v>20.888999999999999</v>
      </c>
      <c r="AB439" s="118"/>
      <c r="AC439" s="118"/>
      <c r="AD439" s="357">
        <f t="shared" si="23"/>
        <v>1</v>
      </c>
      <c r="AE439" s="357"/>
      <c r="AF439" s="357">
        <f t="shared" si="25"/>
        <v>1</v>
      </c>
      <c r="AG439" s="357"/>
      <c r="AH439" s="357"/>
    </row>
    <row r="440" spans="1:34" ht="75">
      <c r="A440" s="356" t="s">
        <v>29</v>
      </c>
      <c r="B440" s="346" t="s">
        <v>996</v>
      </c>
      <c r="C440" s="356" t="s">
        <v>273</v>
      </c>
      <c r="D440" s="356"/>
      <c r="E440" s="378" t="s">
        <v>230</v>
      </c>
      <c r="F440" s="378" t="s">
        <v>997</v>
      </c>
      <c r="G440" s="118">
        <v>10710.675999999999</v>
      </c>
      <c r="H440" s="118"/>
      <c r="I440" s="118"/>
      <c r="J440" s="118"/>
      <c r="K440" s="118">
        <v>10710.675999999999</v>
      </c>
      <c r="L440" s="118">
        <v>5826</v>
      </c>
      <c r="M440" s="118"/>
      <c r="N440" s="118"/>
      <c r="O440" s="118">
        <v>5826</v>
      </c>
      <c r="P440" s="118">
        <v>5000</v>
      </c>
      <c r="Q440" s="118"/>
      <c r="R440" s="118"/>
      <c r="S440" s="118">
        <v>5000</v>
      </c>
      <c r="T440" s="118">
        <v>3053.4340000000002</v>
      </c>
      <c r="U440" s="118"/>
      <c r="V440" s="118"/>
      <c r="W440" s="118"/>
      <c r="X440" s="118">
        <v>3053.4340000000002</v>
      </c>
      <c r="Y440" s="118">
        <v>3053.4340000000002</v>
      </c>
      <c r="Z440" s="118"/>
      <c r="AA440" s="118"/>
      <c r="AB440" s="118"/>
      <c r="AC440" s="118">
        <v>3053.4340000000002</v>
      </c>
      <c r="AD440" s="357">
        <f t="shared" si="23"/>
        <v>1</v>
      </c>
      <c r="AE440" s="357"/>
      <c r="AF440" s="357"/>
      <c r="AG440" s="357"/>
      <c r="AH440" s="357">
        <f t="shared" ref="AH440:AH447" si="28">AC440/X440</f>
        <v>1</v>
      </c>
    </row>
    <row r="441" spans="1:34" ht="75">
      <c r="A441" s="356" t="s">
        <v>29</v>
      </c>
      <c r="B441" s="346" t="s">
        <v>998</v>
      </c>
      <c r="C441" s="356" t="s">
        <v>225</v>
      </c>
      <c r="D441" s="356"/>
      <c r="E441" s="378" t="s">
        <v>293</v>
      </c>
      <c r="F441" s="378" t="s">
        <v>999</v>
      </c>
      <c r="G441" s="118">
        <v>2938.605</v>
      </c>
      <c r="H441" s="118"/>
      <c r="I441" s="118"/>
      <c r="J441" s="118"/>
      <c r="K441" s="118">
        <v>2938.605</v>
      </c>
      <c r="L441" s="118">
        <v>2485</v>
      </c>
      <c r="M441" s="118"/>
      <c r="N441" s="118"/>
      <c r="O441" s="118">
        <v>2485</v>
      </c>
      <c r="P441" s="118">
        <v>2570</v>
      </c>
      <c r="Q441" s="118"/>
      <c r="R441" s="118"/>
      <c r="S441" s="118">
        <v>2570</v>
      </c>
      <c r="T441" s="118">
        <v>350</v>
      </c>
      <c r="U441" s="118"/>
      <c r="V441" s="118"/>
      <c r="W441" s="118"/>
      <c r="X441" s="118">
        <v>350</v>
      </c>
      <c r="Y441" s="118">
        <v>350</v>
      </c>
      <c r="Z441" s="118"/>
      <c r="AA441" s="118"/>
      <c r="AB441" s="118"/>
      <c r="AC441" s="118">
        <v>350</v>
      </c>
      <c r="AD441" s="357">
        <f t="shared" si="23"/>
        <v>1</v>
      </c>
      <c r="AE441" s="357"/>
      <c r="AF441" s="357"/>
      <c r="AG441" s="357"/>
      <c r="AH441" s="357">
        <f t="shared" si="28"/>
        <v>1</v>
      </c>
    </row>
    <row r="442" spans="1:34" ht="75">
      <c r="A442" s="356" t="s">
        <v>29</v>
      </c>
      <c r="B442" s="346" t="s">
        <v>1000</v>
      </c>
      <c r="C442" s="356" t="s">
        <v>318</v>
      </c>
      <c r="D442" s="356"/>
      <c r="E442" s="378" t="s">
        <v>230</v>
      </c>
      <c r="F442" s="378" t="s">
        <v>1001</v>
      </c>
      <c r="G442" s="118">
        <v>7336.8059999999996</v>
      </c>
      <c r="H442" s="118"/>
      <c r="I442" s="118"/>
      <c r="J442" s="118"/>
      <c r="K442" s="118">
        <v>7336.8059999999996</v>
      </c>
      <c r="L442" s="118">
        <v>4974</v>
      </c>
      <c r="M442" s="118"/>
      <c r="N442" s="118"/>
      <c r="O442" s="118">
        <v>4974</v>
      </c>
      <c r="P442" s="118">
        <v>4678</v>
      </c>
      <c r="Q442" s="118"/>
      <c r="R442" s="118"/>
      <c r="S442" s="118">
        <v>4678</v>
      </c>
      <c r="T442" s="118">
        <v>3048.5</v>
      </c>
      <c r="U442" s="118"/>
      <c r="V442" s="118"/>
      <c r="W442" s="118"/>
      <c r="X442" s="118">
        <v>3048.5</v>
      </c>
      <c r="Y442" s="118">
        <v>2939.5482999999999</v>
      </c>
      <c r="Z442" s="118"/>
      <c r="AA442" s="118"/>
      <c r="AB442" s="118"/>
      <c r="AC442" s="118">
        <v>2939.5482999999999</v>
      </c>
      <c r="AD442" s="357">
        <f t="shared" si="23"/>
        <v>0.96426055437100211</v>
      </c>
      <c r="AE442" s="357"/>
      <c r="AF442" s="357"/>
      <c r="AG442" s="357"/>
      <c r="AH442" s="357">
        <f t="shared" si="28"/>
        <v>0.96426055437100211</v>
      </c>
    </row>
    <row r="443" spans="1:34" ht="75">
      <c r="A443" s="356" t="s">
        <v>29</v>
      </c>
      <c r="B443" s="346" t="s">
        <v>1002</v>
      </c>
      <c r="C443" s="356" t="s">
        <v>225</v>
      </c>
      <c r="D443" s="356"/>
      <c r="E443" s="378" t="s">
        <v>293</v>
      </c>
      <c r="F443" s="378" t="s">
        <v>1003</v>
      </c>
      <c r="G443" s="118">
        <v>2621.6419999999998</v>
      </c>
      <c r="H443" s="118"/>
      <c r="I443" s="118"/>
      <c r="J443" s="118"/>
      <c r="K443" s="118">
        <v>2621.6419999999998</v>
      </c>
      <c r="L443" s="118">
        <v>2304</v>
      </c>
      <c r="M443" s="118"/>
      <c r="N443" s="118"/>
      <c r="O443" s="118">
        <v>2304</v>
      </c>
      <c r="P443" s="118">
        <v>2304</v>
      </c>
      <c r="Q443" s="118"/>
      <c r="R443" s="118"/>
      <c r="S443" s="118">
        <v>2304</v>
      </c>
      <c r="T443" s="118">
        <v>401.45400000000001</v>
      </c>
      <c r="U443" s="118"/>
      <c r="V443" s="118"/>
      <c r="W443" s="118"/>
      <c r="X443" s="118">
        <v>401.45400000000001</v>
      </c>
      <c r="Y443" s="118">
        <v>360.01400000000001</v>
      </c>
      <c r="Z443" s="118"/>
      <c r="AA443" s="118"/>
      <c r="AB443" s="118"/>
      <c r="AC443" s="118">
        <v>360.01400000000001</v>
      </c>
      <c r="AD443" s="357">
        <f t="shared" si="23"/>
        <v>0.8967752220677836</v>
      </c>
      <c r="AE443" s="357"/>
      <c r="AF443" s="357"/>
      <c r="AG443" s="357"/>
      <c r="AH443" s="357">
        <f t="shared" si="28"/>
        <v>0.8967752220677836</v>
      </c>
    </row>
    <row r="444" spans="1:34" ht="60">
      <c r="A444" s="356" t="s">
        <v>29</v>
      </c>
      <c r="B444" s="346" t="s">
        <v>1004</v>
      </c>
      <c r="C444" s="356" t="s">
        <v>225</v>
      </c>
      <c r="D444" s="356"/>
      <c r="E444" s="378" t="s">
        <v>288</v>
      </c>
      <c r="F444" s="378" t="s">
        <v>1005</v>
      </c>
      <c r="G444" s="118">
        <v>150274</v>
      </c>
      <c r="H444" s="118"/>
      <c r="I444" s="118">
        <v>85000</v>
      </c>
      <c r="J444" s="118"/>
      <c r="K444" s="118">
        <v>65274</v>
      </c>
      <c r="L444" s="118">
        <v>57995</v>
      </c>
      <c r="M444" s="118"/>
      <c r="N444" s="118">
        <v>21585</v>
      </c>
      <c r="O444" s="118">
        <v>36411</v>
      </c>
      <c r="P444" s="118">
        <v>55573</v>
      </c>
      <c r="Q444" s="118"/>
      <c r="R444" s="118">
        <v>19163</v>
      </c>
      <c r="S444" s="118">
        <v>36411</v>
      </c>
      <c r="T444" s="118">
        <v>52988.017999999996</v>
      </c>
      <c r="U444" s="118"/>
      <c r="V444" s="118">
        <v>16988.018</v>
      </c>
      <c r="W444" s="118"/>
      <c r="X444" s="118">
        <f>T444-V444</f>
        <v>36000</v>
      </c>
      <c r="Y444" s="118">
        <v>35572.091999999997</v>
      </c>
      <c r="Z444" s="118"/>
      <c r="AA444" s="118">
        <v>16164.864</v>
      </c>
      <c r="AB444" s="118"/>
      <c r="AC444" s="118">
        <v>19407.227999999996</v>
      </c>
      <c r="AD444" s="357">
        <f t="shared" si="23"/>
        <v>0.67132331690534264</v>
      </c>
      <c r="AE444" s="357"/>
      <c r="AF444" s="357">
        <f t="shared" si="25"/>
        <v>0.95154502426357213</v>
      </c>
      <c r="AG444" s="357"/>
      <c r="AH444" s="357">
        <f t="shared" si="28"/>
        <v>0.53908966666666658</v>
      </c>
    </row>
    <row r="445" spans="1:34" ht="75">
      <c r="A445" s="356" t="s">
        <v>29</v>
      </c>
      <c r="B445" s="346" t="s">
        <v>1006</v>
      </c>
      <c r="C445" s="356" t="s">
        <v>296</v>
      </c>
      <c r="D445" s="356"/>
      <c r="E445" s="378" t="s">
        <v>293</v>
      </c>
      <c r="F445" s="378" t="s">
        <v>1007</v>
      </c>
      <c r="G445" s="118">
        <v>3826.1559999999999</v>
      </c>
      <c r="H445" s="118"/>
      <c r="I445" s="118"/>
      <c r="J445" s="118"/>
      <c r="K445" s="118">
        <v>3826.1559999999999</v>
      </c>
      <c r="L445" s="118">
        <v>3707</v>
      </c>
      <c r="M445" s="118"/>
      <c r="N445" s="118"/>
      <c r="O445" s="118">
        <v>3707</v>
      </c>
      <c r="P445" s="118">
        <v>3757</v>
      </c>
      <c r="Q445" s="118"/>
      <c r="R445" s="118"/>
      <c r="S445" s="118">
        <v>3757</v>
      </c>
      <c r="T445" s="118">
        <v>2773.0054</v>
      </c>
      <c r="U445" s="118"/>
      <c r="V445" s="118"/>
      <c r="W445" s="118"/>
      <c r="X445" s="118">
        <v>2773.0054</v>
      </c>
      <c r="Y445" s="118">
        <v>2559.9634000000001</v>
      </c>
      <c r="Z445" s="118"/>
      <c r="AA445" s="118"/>
      <c r="AB445" s="118"/>
      <c r="AC445" s="118">
        <v>2559.9634000000001</v>
      </c>
      <c r="AD445" s="357">
        <f t="shared" si="23"/>
        <v>0.92317288671706155</v>
      </c>
      <c r="AE445" s="357"/>
      <c r="AF445" s="357"/>
      <c r="AG445" s="357"/>
      <c r="AH445" s="357">
        <f t="shared" si="28"/>
        <v>0.92317288671706155</v>
      </c>
    </row>
    <row r="446" spans="1:34" ht="75">
      <c r="A446" s="356" t="s">
        <v>29</v>
      </c>
      <c r="B446" s="346" t="s">
        <v>1008</v>
      </c>
      <c r="C446" s="356" t="s">
        <v>612</v>
      </c>
      <c r="D446" s="356"/>
      <c r="E446" s="378" t="s">
        <v>226</v>
      </c>
      <c r="F446" s="378" t="s">
        <v>1009</v>
      </c>
      <c r="G446" s="118">
        <v>4833.38</v>
      </c>
      <c r="H446" s="118"/>
      <c r="I446" s="118"/>
      <c r="J446" s="118"/>
      <c r="K446" s="118">
        <v>4833.38</v>
      </c>
      <c r="L446" s="118">
        <v>4827</v>
      </c>
      <c r="M446" s="118"/>
      <c r="N446" s="118"/>
      <c r="O446" s="118">
        <v>4827</v>
      </c>
      <c r="P446" s="118">
        <v>4840</v>
      </c>
      <c r="Q446" s="118"/>
      <c r="R446" s="118"/>
      <c r="S446" s="118">
        <v>4840</v>
      </c>
      <c r="T446" s="118">
        <v>4840</v>
      </c>
      <c r="U446" s="118"/>
      <c r="V446" s="118"/>
      <c r="W446" s="118"/>
      <c r="X446" s="118">
        <v>4840</v>
      </c>
      <c r="Y446" s="118">
        <v>4827.1959999999999</v>
      </c>
      <c r="Z446" s="118"/>
      <c r="AA446" s="118"/>
      <c r="AB446" s="118"/>
      <c r="AC446" s="118">
        <v>4827.1959999999999</v>
      </c>
      <c r="AD446" s="357">
        <f t="shared" si="23"/>
        <v>0.99735454545454538</v>
      </c>
      <c r="AE446" s="357"/>
      <c r="AF446" s="357"/>
      <c r="AG446" s="357"/>
      <c r="AH446" s="357">
        <f t="shared" si="28"/>
        <v>0.99735454545454538</v>
      </c>
    </row>
    <row r="447" spans="1:34" ht="75">
      <c r="A447" s="356" t="s">
        <v>29</v>
      </c>
      <c r="B447" s="346" t="s">
        <v>1010</v>
      </c>
      <c r="C447" s="356" t="s">
        <v>225</v>
      </c>
      <c r="D447" s="356"/>
      <c r="E447" s="378" t="s">
        <v>433</v>
      </c>
      <c r="F447" s="378" t="s">
        <v>1011</v>
      </c>
      <c r="G447" s="118">
        <v>10580.145</v>
      </c>
      <c r="H447" s="118">
        <v>9094.9314200000008</v>
      </c>
      <c r="I447" s="118"/>
      <c r="J447" s="118"/>
      <c r="K447" s="118">
        <v>1485</v>
      </c>
      <c r="L447" s="118">
        <v>196</v>
      </c>
      <c r="M447" s="118"/>
      <c r="N447" s="118"/>
      <c r="O447" s="118">
        <v>196</v>
      </c>
      <c r="P447" s="118">
        <v>770</v>
      </c>
      <c r="Q447" s="118">
        <v>500</v>
      </c>
      <c r="R447" s="118"/>
      <c r="S447" s="118">
        <v>270</v>
      </c>
      <c r="T447" s="118">
        <v>770</v>
      </c>
      <c r="U447" s="118">
        <v>500</v>
      </c>
      <c r="V447" s="118"/>
      <c r="W447" s="118"/>
      <c r="X447" s="118">
        <f>T447-U447</f>
        <v>270</v>
      </c>
      <c r="Y447" s="118">
        <f>Z447+AC447</f>
        <v>180.05099999999999</v>
      </c>
      <c r="Z447" s="118">
        <v>4.0510000000000002</v>
      </c>
      <c r="AA447" s="118"/>
      <c r="AB447" s="118"/>
      <c r="AC447" s="118">
        <v>176</v>
      </c>
      <c r="AD447" s="357">
        <f t="shared" si="23"/>
        <v>0.2338324675324675</v>
      </c>
      <c r="AE447" s="357">
        <f t="shared" si="23"/>
        <v>8.1019999999999998E-3</v>
      </c>
      <c r="AF447" s="357"/>
      <c r="AG447" s="357"/>
      <c r="AH447" s="357">
        <f t="shared" si="28"/>
        <v>0.6518518518518519</v>
      </c>
    </row>
    <row r="448" spans="1:34" ht="60">
      <c r="A448" s="356" t="s">
        <v>29</v>
      </c>
      <c r="B448" s="346" t="s">
        <v>1012</v>
      </c>
      <c r="C448" s="356" t="s">
        <v>374</v>
      </c>
      <c r="D448" s="356"/>
      <c r="E448" s="378" t="s">
        <v>1013</v>
      </c>
      <c r="F448" s="378" t="s">
        <v>1014</v>
      </c>
      <c r="G448" s="118">
        <v>43649</v>
      </c>
      <c r="H448" s="118"/>
      <c r="I448" s="118"/>
      <c r="J448" s="118">
        <v>37049</v>
      </c>
      <c r="K448" s="118">
        <v>6600</v>
      </c>
      <c r="L448" s="118">
        <v>41563</v>
      </c>
      <c r="M448" s="118"/>
      <c r="N448" s="118">
        <v>36163</v>
      </c>
      <c r="O448" s="118">
        <v>5400</v>
      </c>
      <c r="P448" s="118">
        <v>42407</v>
      </c>
      <c r="Q448" s="118"/>
      <c r="R448" s="118">
        <v>37007</v>
      </c>
      <c r="S448" s="118">
        <v>5400</v>
      </c>
      <c r="T448" s="118">
        <v>848.17146700000001</v>
      </c>
      <c r="U448" s="118"/>
      <c r="V448" s="118"/>
      <c r="W448" s="118">
        <v>848.17146700000001</v>
      </c>
      <c r="X448" s="118"/>
      <c r="Y448" s="118">
        <v>791.86800000000005</v>
      </c>
      <c r="Z448" s="118"/>
      <c r="AA448" s="118"/>
      <c r="AB448" s="118">
        <v>791.86800000000005</v>
      </c>
      <c r="AC448" s="118"/>
      <c r="AD448" s="357">
        <f t="shared" si="23"/>
        <v>0.93361782470807886</v>
      </c>
      <c r="AE448" s="357"/>
      <c r="AF448" s="357"/>
      <c r="AG448" s="357">
        <f t="shared" ref="AG448:AG457" si="29">AB448/W448</f>
        <v>0.93361782470807886</v>
      </c>
      <c r="AH448" s="357"/>
    </row>
    <row r="449" spans="1:34" ht="75">
      <c r="A449" s="356" t="s">
        <v>29</v>
      </c>
      <c r="B449" s="346" t="s">
        <v>1015</v>
      </c>
      <c r="C449" s="356" t="s">
        <v>273</v>
      </c>
      <c r="D449" s="356"/>
      <c r="E449" s="378" t="s">
        <v>881</v>
      </c>
      <c r="F449" s="378" t="s">
        <v>1016</v>
      </c>
      <c r="G449" s="118">
        <v>12449.7</v>
      </c>
      <c r="H449" s="118"/>
      <c r="I449" s="118"/>
      <c r="J449" s="118">
        <v>12449.7</v>
      </c>
      <c r="K449" s="118"/>
      <c r="L449" s="118">
        <v>12112</v>
      </c>
      <c r="M449" s="118"/>
      <c r="N449" s="118">
        <v>12112</v>
      </c>
      <c r="O449" s="118"/>
      <c r="P449" s="118">
        <v>12109</v>
      </c>
      <c r="Q449" s="118"/>
      <c r="R449" s="118">
        <v>12109</v>
      </c>
      <c r="S449" s="118"/>
      <c r="T449" s="118">
        <v>150</v>
      </c>
      <c r="U449" s="118"/>
      <c r="V449" s="118"/>
      <c r="W449" s="118">
        <v>150</v>
      </c>
      <c r="X449" s="118"/>
      <c r="Y449" s="118">
        <v>0</v>
      </c>
      <c r="Z449" s="118"/>
      <c r="AA449" s="118"/>
      <c r="AB449" s="118"/>
      <c r="AC449" s="118"/>
      <c r="AD449" s="357">
        <f t="shared" si="23"/>
        <v>0</v>
      </c>
      <c r="AE449" s="357"/>
      <c r="AF449" s="357"/>
      <c r="AG449" s="357">
        <f t="shared" si="29"/>
        <v>0</v>
      </c>
      <c r="AH449" s="357"/>
    </row>
    <row r="450" spans="1:34" ht="94.5">
      <c r="A450" s="356" t="s">
        <v>29</v>
      </c>
      <c r="B450" s="346" t="s">
        <v>1017</v>
      </c>
      <c r="C450" s="356" t="s">
        <v>225</v>
      </c>
      <c r="D450" s="356" t="s">
        <v>1018</v>
      </c>
      <c r="E450" s="378" t="s">
        <v>917</v>
      </c>
      <c r="F450" s="378" t="s">
        <v>1019</v>
      </c>
      <c r="G450" s="118">
        <v>36715.14</v>
      </c>
      <c r="H450" s="118"/>
      <c r="I450" s="118"/>
      <c r="J450" s="118">
        <v>29368</v>
      </c>
      <c r="K450" s="118">
        <v>7347.1399999999994</v>
      </c>
      <c r="L450" s="118">
        <v>30280.999</v>
      </c>
      <c r="M450" s="118"/>
      <c r="N450" s="118">
        <v>29632.694</v>
      </c>
      <c r="O450" s="118">
        <v>648.30499999999995</v>
      </c>
      <c r="P450" s="118">
        <v>30280.999</v>
      </c>
      <c r="Q450" s="118"/>
      <c r="R450" s="118">
        <v>29632.694</v>
      </c>
      <c r="S450" s="118">
        <v>648.30499999999995</v>
      </c>
      <c r="T450" s="118">
        <v>141.85300000000001</v>
      </c>
      <c r="U450" s="118"/>
      <c r="V450" s="118"/>
      <c r="W450" s="118">
        <v>141.85300000000001</v>
      </c>
      <c r="X450" s="118"/>
      <c r="Y450" s="118">
        <v>0</v>
      </c>
      <c r="Z450" s="118"/>
      <c r="AA450" s="118"/>
      <c r="AB450" s="118"/>
      <c r="AC450" s="118"/>
      <c r="AD450" s="357">
        <f t="shared" si="23"/>
        <v>0</v>
      </c>
      <c r="AE450" s="357"/>
      <c r="AF450" s="357"/>
      <c r="AG450" s="357">
        <f t="shared" si="29"/>
        <v>0</v>
      </c>
      <c r="AH450" s="357"/>
    </row>
    <row r="451" spans="1:34" ht="75">
      <c r="A451" s="356" t="s">
        <v>29</v>
      </c>
      <c r="B451" s="346" t="s">
        <v>1020</v>
      </c>
      <c r="C451" s="356" t="s">
        <v>310</v>
      </c>
      <c r="D451" s="356"/>
      <c r="E451" s="378" t="s">
        <v>1013</v>
      </c>
      <c r="F451" s="378" t="s">
        <v>1021</v>
      </c>
      <c r="G451" s="118">
        <v>21186</v>
      </c>
      <c r="H451" s="118"/>
      <c r="I451" s="118"/>
      <c r="J451" s="118">
        <v>17382</v>
      </c>
      <c r="K451" s="118">
        <v>3804</v>
      </c>
      <c r="L451" s="118">
        <v>20574</v>
      </c>
      <c r="M451" s="118"/>
      <c r="N451" s="118">
        <v>17246</v>
      </c>
      <c r="O451" s="118">
        <v>3328</v>
      </c>
      <c r="P451" s="118">
        <v>20659</v>
      </c>
      <c r="Q451" s="118"/>
      <c r="R451" s="118">
        <v>17331</v>
      </c>
      <c r="S451" s="118">
        <v>3328</v>
      </c>
      <c r="T451" s="118">
        <v>1258.7650000000001</v>
      </c>
      <c r="U451" s="118"/>
      <c r="V451" s="118"/>
      <c r="W451" s="118">
        <v>1258.7650000000001</v>
      </c>
      <c r="X451" s="118"/>
      <c r="Y451" s="118">
        <v>1234.222</v>
      </c>
      <c r="Z451" s="118"/>
      <c r="AA451" s="118"/>
      <c r="AB451" s="118">
        <v>1234.222</v>
      </c>
      <c r="AC451" s="118"/>
      <c r="AD451" s="357">
        <f t="shared" si="23"/>
        <v>0.98050231774795127</v>
      </c>
      <c r="AE451" s="357"/>
      <c r="AF451" s="357"/>
      <c r="AG451" s="357">
        <f t="shared" si="29"/>
        <v>0.98050231774795127</v>
      </c>
      <c r="AH451" s="357"/>
    </row>
    <row r="452" spans="1:34" ht="60">
      <c r="A452" s="356" t="s">
        <v>29</v>
      </c>
      <c r="B452" s="346" t="s">
        <v>1022</v>
      </c>
      <c r="C452" s="356" t="s">
        <v>225</v>
      </c>
      <c r="D452" s="356"/>
      <c r="E452" s="378" t="s">
        <v>674</v>
      </c>
      <c r="F452" s="378" t="s">
        <v>1023</v>
      </c>
      <c r="G452" s="118">
        <v>196806</v>
      </c>
      <c r="H452" s="118"/>
      <c r="I452" s="118"/>
      <c r="J452" s="118">
        <v>196806</v>
      </c>
      <c r="K452" s="118"/>
      <c r="L452" s="118">
        <v>196087</v>
      </c>
      <c r="M452" s="118"/>
      <c r="N452" s="118">
        <v>196087</v>
      </c>
      <c r="O452" s="118"/>
      <c r="P452" s="118">
        <v>196807</v>
      </c>
      <c r="Q452" s="118"/>
      <c r="R452" s="118">
        <v>196807</v>
      </c>
      <c r="S452" s="118"/>
      <c r="T452" s="118">
        <v>4280.1332000000002</v>
      </c>
      <c r="U452" s="118"/>
      <c r="V452" s="118"/>
      <c r="W452" s="118">
        <v>4280.1332000000002</v>
      </c>
      <c r="X452" s="118"/>
      <c r="Y452" s="118">
        <v>3924.0160000000001</v>
      </c>
      <c r="Z452" s="118"/>
      <c r="AA452" s="118"/>
      <c r="AB452" s="118">
        <v>3924.0160000000001</v>
      </c>
      <c r="AC452" s="118"/>
      <c r="AD452" s="357">
        <f t="shared" si="23"/>
        <v>0.91679763611095089</v>
      </c>
      <c r="AE452" s="357"/>
      <c r="AF452" s="357"/>
      <c r="AG452" s="357">
        <f t="shared" si="29"/>
        <v>0.91679763611095089</v>
      </c>
      <c r="AH452" s="357"/>
    </row>
    <row r="453" spans="1:34" ht="75">
      <c r="A453" s="356" t="s">
        <v>29</v>
      </c>
      <c r="B453" s="346" t="s">
        <v>1024</v>
      </c>
      <c r="C453" s="356" t="s">
        <v>612</v>
      </c>
      <c r="D453" s="356"/>
      <c r="E453" s="378" t="s">
        <v>1025</v>
      </c>
      <c r="F453" s="378" t="s">
        <v>1026</v>
      </c>
      <c r="G453" s="118">
        <v>9474.5</v>
      </c>
      <c r="H453" s="118"/>
      <c r="I453" s="118"/>
      <c r="J453" s="118">
        <v>9474.5</v>
      </c>
      <c r="K453" s="118"/>
      <c r="L453" s="118">
        <v>9450</v>
      </c>
      <c r="M453" s="118"/>
      <c r="N453" s="118">
        <v>9450</v>
      </c>
      <c r="O453" s="118"/>
      <c r="P453" s="118">
        <v>9448</v>
      </c>
      <c r="Q453" s="118"/>
      <c r="R453" s="118">
        <v>9448</v>
      </c>
      <c r="S453" s="118"/>
      <c r="T453" s="118">
        <v>190.785</v>
      </c>
      <c r="U453" s="118"/>
      <c r="V453" s="118"/>
      <c r="W453" s="118">
        <v>190.785</v>
      </c>
      <c r="X453" s="118"/>
      <c r="Y453" s="118">
        <v>25.413</v>
      </c>
      <c r="Z453" s="118"/>
      <c r="AA453" s="118"/>
      <c r="AB453" s="118">
        <v>25.413</v>
      </c>
      <c r="AC453" s="118"/>
      <c r="AD453" s="357">
        <f t="shared" si="23"/>
        <v>0.13320229577796996</v>
      </c>
      <c r="AE453" s="357"/>
      <c r="AF453" s="357"/>
      <c r="AG453" s="357">
        <f t="shared" si="29"/>
        <v>0.13320229577796996</v>
      </c>
      <c r="AH453" s="357"/>
    </row>
    <row r="454" spans="1:34" ht="60">
      <c r="A454" s="356" t="s">
        <v>29</v>
      </c>
      <c r="B454" s="346" t="s">
        <v>1027</v>
      </c>
      <c r="C454" s="356" t="s">
        <v>225</v>
      </c>
      <c r="D454" s="356"/>
      <c r="E454" s="378" t="s">
        <v>573</v>
      </c>
      <c r="F454" s="378" t="s">
        <v>1028</v>
      </c>
      <c r="G454" s="118">
        <v>39156</v>
      </c>
      <c r="H454" s="118"/>
      <c r="I454" s="118"/>
      <c r="J454" s="118">
        <v>39156</v>
      </c>
      <c r="K454" s="118"/>
      <c r="L454" s="118">
        <v>39156</v>
      </c>
      <c r="M454" s="118"/>
      <c r="N454" s="118">
        <v>39156</v>
      </c>
      <c r="O454" s="118"/>
      <c r="P454" s="118">
        <v>39156</v>
      </c>
      <c r="Q454" s="118"/>
      <c r="R454" s="118">
        <v>39156</v>
      </c>
      <c r="S454" s="118"/>
      <c r="T454" s="118">
        <v>299.4255</v>
      </c>
      <c r="U454" s="118"/>
      <c r="V454" s="118"/>
      <c r="W454" s="118">
        <v>299.4255</v>
      </c>
      <c r="X454" s="118"/>
      <c r="Y454" s="118">
        <v>8.0609999999999999</v>
      </c>
      <c r="Z454" s="118"/>
      <c r="AA454" s="118"/>
      <c r="AB454" s="118">
        <v>8.0609999999999999</v>
      </c>
      <c r="AC454" s="118"/>
      <c r="AD454" s="357">
        <f t="shared" si="23"/>
        <v>2.6921554777398719E-2</v>
      </c>
      <c r="AE454" s="357"/>
      <c r="AF454" s="357"/>
      <c r="AG454" s="357">
        <f t="shared" si="29"/>
        <v>2.6921554777398719E-2</v>
      </c>
      <c r="AH454" s="357"/>
    </row>
    <row r="455" spans="1:34" ht="94.5">
      <c r="A455" s="356" t="s">
        <v>29</v>
      </c>
      <c r="B455" s="346" t="s">
        <v>1029</v>
      </c>
      <c r="C455" s="356" t="s">
        <v>488</v>
      </c>
      <c r="D455" s="356" t="s">
        <v>1030</v>
      </c>
      <c r="E455" s="378" t="s">
        <v>917</v>
      </c>
      <c r="F455" s="378" t="s">
        <v>1031</v>
      </c>
      <c r="G455" s="118">
        <v>34453</v>
      </c>
      <c r="H455" s="118"/>
      <c r="I455" s="118"/>
      <c r="J455" s="118">
        <v>28983</v>
      </c>
      <c r="K455" s="118">
        <v>5470</v>
      </c>
      <c r="L455" s="118">
        <v>34452.44</v>
      </c>
      <c r="M455" s="118"/>
      <c r="N455" s="118">
        <v>28753.981000000003</v>
      </c>
      <c r="O455" s="118">
        <v>5698.4589999999998</v>
      </c>
      <c r="P455" s="118">
        <v>34452.44</v>
      </c>
      <c r="Q455" s="118"/>
      <c r="R455" s="118">
        <v>28753.981000000003</v>
      </c>
      <c r="S455" s="118">
        <v>5698.4589999999998</v>
      </c>
      <c r="T455" s="118">
        <v>101.211</v>
      </c>
      <c r="U455" s="118"/>
      <c r="V455" s="118"/>
      <c r="W455" s="118">
        <v>101.211</v>
      </c>
      <c r="X455" s="118"/>
      <c r="Y455" s="118">
        <v>0</v>
      </c>
      <c r="Z455" s="118"/>
      <c r="AA455" s="118"/>
      <c r="AB455" s="118"/>
      <c r="AC455" s="118"/>
      <c r="AD455" s="357">
        <f t="shared" si="23"/>
        <v>0</v>
      </c>
      <c r="AE455" s="357"/>
      <c r="AF455" s="357"/>
      <c r="AG455" s="357">
        <f t="shared" si="29"/>
        <v>0</v>
      </c>
      <c r="AH455" s="357"/>
    </row>
    <row r="456" spans="1:34" ht="75">
      <c r="A456" s="356" t="s">
        <v>29</v>
      </c>
      <c r="B456" s="346" t="s">
        <v>1032</v>
      </c>
      <c r="C456" s="356" t="s">
        <v>277</v>
      </c>
      <c r="D456" s="356"/>
      <c r="E456" s="378" t="s">
        <v>1025</v>
      </c>
      <c r="F456" s="378" t="s">
        <v>1033</v>
      </c>
      <c r="G456" s="118">
        <v>39012</v>
      </c>
      <c r="H456" s="118"/>
      <c r="I456" s="118"/>
      <c r="J456" s="118">
        <v>34051</v>
      </c>
      <c r="K456" s="118">
        <v>4961</v>
      </c>
      <c r="L456" s="118">
        <v>31540</v>
      </c>
      <c r="M456" s="118"/>
      <c r="N456" s="118">
        <v>30756</v>
      </c>
      <c r="O456" s="118">
        <v>784</v>
      </c>
      <c r="P456" s="118">
        <v>34584</v>
      </c>
      <c r="Q456" s="118"/>
      <c r="R456" s="118">
        <v>33800</v>
      </c>
      <c r="S456" s="118">
        <v>784</v>
      </c>
      <c r="T456" s="118">
        <v>2739.6215000000002</v>
      </c>
      <c r="U456" s="118"/>
      <c r="V456" s="118"/>
      <c r="W456" s="118">
        <v>2739.6215000000002</v>
      </c>
      <c r="X456" s="118"/>
      <c r="Y456" s="118">
        <v>109.273</v>
      </c>
      <c r="Z456" s="118"/>
      <c r="AA456" s="118"/>
      <c r="AB456" s="118">
        <v>109.273</v>
      </c>
      <c r="AC456" s="118"/>
      <c r="AD456" s="357">
        <f t="shared" si="23"/>
        <v>3.988616675697719E-2</v>
      </c>
      <c r="AE456" s="357"/>
      <c r="AF456" s="357"/>
      <c r="AG456" s="357">
        <f t="shared" si="29"/>
        <v>3.988616675697719E-2</v>
      </c>
      <c r="AH456" s="357"/>
    </row>
    <row r="457" spans="1:34" ht="60">
      <c r="A457" s="356" t="s">
        <v>29</v>
      </c>
      <c r="B457" s="346" t="s">
        <v>1034</v>
      </c>
      <c r="C457" s="356" t="s">
        <v>225</v>
      </c>
      <c r="D457" s="356"/>
      <c r="E457" s="378" t="s">
        <v>573</v>
      </c>
      <c r="F457" s="378" t="s">
        <v>1035</v>
      </c>
      <c r="G457" s="118">
        <v>34219</v>
      </c>
      <c r="H457" s="118"/>
      <c r="I457" s="118"/>
      <c r="J457" s="118">
        <v>34219</v>
      </c>
      <c r="K457" s="118"/>
      <c r="L457" s="118">
        <v>34173</v>
      </c>
      <c r="M457" s="118">
        <v>13984</v>
      </c>
      <c r="N457" s="118">
        <v>20189</v>
      </c>
      <c r="O457" s="118"/>
      <c r="P457" s="118">
        <v>36681</v>
      </c>
      <c r="Q457" s="118">
        <v>13984</v>
      </c>
      <c r="R457" s="118">
        <v>22697</v>
      </c>
      <c r="S457" s="118"/>
      <c r="T457" s="118">
        <v>2055.0445</v>
      </c>
      <c r="U457" s="118"/>
      <c r="V457" s="118"/>
      <c r="W457" s="118">
        <v>2055.0445</v>
      </c>
      <c r="X457" s="118"/>
      <c r="Y457" s="118">
        <v>71.644499999999994</v>
      </c>
      <c r="Z457" s="118"/>
      <c r="AA457" s="118"/>
      <c r="AB457" s="118">
        <v>71.644499999999994</v>
      </c>
      <c r="AC457" s="118"/>
      <c r="AD457" s="357">
        <f t="shared" si="23"/>
        <v>3.4862748714200593E-2</v>
      </c>
      <c r="AE457" s="357"/>
      <c r="AF457" s="357"/>
      <c r="AG457" s="357">
        <f t="shared" si="29"/>
        <v>3.4862748714200593E-2</v>
      </c>
      <c r="AH457" s="357"/>
    </row>
    <row r="458" spans="1:34">
      <c r="A458" s="343">
        <v>63</v>
      </c>
      <c r="B458" s="344" t="s">
        <v>200</v>
      </c>
      <c r="C458" s="356"/>
      <c r="D458" s="356"/>
      <c r="E458" s="378"/>
      <c r="F458" s="378"/>
      <c r="G458" s="118"/>
      <c r="H458" s="118"/>
      <c r="I458" s="118"/>
      <c r="J458" s="118"/>
      <c r="K458" s="118"/>
      <c r="L458" s="118"/>
      <c r="M458" s="118"/>
      <c r="N458" s="118"/>
      <c r="O458" s="118"/>
      <c r="P458" s="118"/>
      <c r="Q458" s="118"/>
      <c r="R458" s="118"/>
      <c r="S458" s="118"/>
      <c r="T458" s="118"/>
      <c r="U458" s="118"/>
      <c r="V458" s="118"/>
      <c r="W458" s="118"/>
      <c r="X458" s="118"/>
      <c r="Y458" s="118"/>
      <c r="Z458" s="118"/>
      <c r="AA458" s="118"/>
      <c r="AB458" s="118"/>
      <c r="AC458" s="118"/>
      <c r="AD458" s="357"/>
      <c r="AE458" s="357"/>
      <c r="AF458" s="357"/>
      <c r="AG458" s="357"/>
      <c r="AH458" s="357"/>
    </row>
    <row r="459" spans="1:34" ht="31.5">
      <c r="A459" s="356" t="s">
        <v>29</v>
      </c>
      <c r="B459" s="346" t="s">
        <v>1036</v>
      </c>
      <c r="C459" s="356" t="s">
        <v>310</v>
      </c>
      <c r="D459" s="356"/>
      <c r="E459" s="378">
        <v>2015</v>
      </c>
      <c r="F459" s="378" t="s">
        <v>1037</v>
      </c>
      <c r="G459" s="118">
        <v>4693</v>
      </c>
      <c r="H459" s="118"/>
      <c r="I459" s="118"/>
      <c r="J459" s="118"/>
      <c r="K459" s="118">
        <v>2193</v>
      </c>
      <c r="L459" s="118">
        <v>4606</v>
      </c>
      <c r="M459" s="118"/>
      <c r="N459" s="118"/>
      <c r="O459" s="118">
        <v>2106</v>
      </c>
      <c r="P459" s="118">
        <v>4700</v>
      </c>
      <c r="Q459" s="118"/>
      <c r="R459" s="118"/>
      <c r="S459" s="118">
        <v>2200</v>
      </c>
      <c r="T459" s="118">
        <v>2600</v>
      </c>
      <c r="U459" s="118"/>
      <c r="V459" s="118"/>
      <c r="W459" s="118"/>
      <c r="X459" s="118">
        <v>2600</v>
      </c>
      <c r="Y459" s="118">
        <v>2471.2429999999999</v>
      </c>
      <c r="Z459" s="118"/>
      <c r="AA459" s="118"/>
      <c r="AB459" s="118"/>
      <c r="AC459" s="118">
        <v>2471.2429999999999</v>
      </c>
      <c r="AD459" s="357">
        <f t="shared" si="23"/>
        <v>0.95047807692307695</v>
      </c>
      <c r="AE459" s="357"/>
      <c r="AF459" s="357"/>
      <c r="AG459" s="357"/>
      <c r="AH459" s="357">
        <f>AC459/X459</f>
        <v>0.95047807692307695</v>
      </c>
    </row>
    <row r="460" spans="1:34" ht="47.25">
      <c r="A460" s="356" t="s">
        <v>29</v>
      </c>
      <c r="B460" s="346" t="s">
        <v>1038</v>
      </c>
      <c r="C460" s="356"/>
      <c r="D460" s="356"/>
      <c r="E460" s="378">
        <v>2015</v>
      </c>
      <c r="F460" s="378" t="s">
        <v>1037</v>
      </c>
      <c r="G460" s="118">
        <v>4693</v>
      </c>
      <c r="H460" s="118"/>
      <c r="I460" s="118"/>
      <c r="J460" s="118"/>
      <c r="K460" s="118">
        <v>2193</v>
      </c>
      <c r="L460" s="118">
        <v>4606</v>
      </c>
      <c r="M460" s="118"/>
      <c r="N460" s="118"/>
      <c r="O460" s="118">
        <v>2106</v>
      </c>
      <c r="P460" s="118">
        <v>4700</v>
      </c>
      <c r="Q460" s="118"/>
      <c r="R460" s="118"/>
      <c r="S460" s="118">
        <v>2200</v>
      </c>
      <c r="T460" s="118">
        <v>1200</v>
      </c>
      <c r="U460" s="118"/>
      <c r="V460" s="118"/>
      <c r="W460" s="118"/>
      <c r="X460" s="118">
        <v>1200</v>
      </c>
      <c r="Y460" s="118">
        <v>1106.2570000000001</v>
      </c>
      <c r="Z460" s="118"/>
      <c r="AA460" s="118"/>
      <c r="AB460" s="118"/>
      <c r="AC460" s="118">
        <v>1106.2570000000001</v>
      </c>
      <c r="AD460" s="357">
        <f t="shared" si="23"/>
        <v>0.92188083333333337</v>
      </c>
      <c r="AE460" s="357"/>
      <c r="AF460" s="357"/>
      <c r="AG460" s="357"/>
      <c r="AH460" s="357">
        <f>AC460/X460</f>
        <v>0.92188083333333337</v>
      </c>
    </row>
    <row r="461" spans="1:34" s="355" customFormat="1" ht="31.5">
      <c r="A461" s="343">
        <v>64</v>
      </c>
      <c r="B461" s="344" t="s">
        <v>201</v>
      </c>
      <c r="C461" s="343"/>
      <c r="D461" s="343"/>
      <c r="E461" s="366"/>
      <c r="F461" s="366"/>
      <c r="G461" s="354"/>
      <c r="H461" s="354"/>
      <c r="I461" s="354"/>
      <c r="J461" s="354"/>
      <c r="K461" s="354"/>
      <c r="L461" s="354"/>
      <c r="M461" s="354"/>
      <c r="N461" s="354"/>
      <c r="O461" s="354"/>
      <c r="P461" s="354"/>
      <c r="Q461" s="354"/>
      <c r="R461" s="354"/>
      <c r="S461" s="354"/>
      <c r="T461" s="354"/>
      <c r="U461" s="354"/>
      <c r="V461" s="354"/>
      <c r="W461" s="354"/>
      <c r="X461" s="354"/>
      <c r="Y461" s="354"/>
      <c r="Z461" s="354"/>
      <c r="AA461" s="354"/>
      <c r="AB461" s="354"/>
      <c r="AC461" s="354"/>
      <c r="AD461" s="357"/>
      <c r="AE461" s="357"/>
      <c r="AF461" s="357"/>
      <c r="AG461" s="357"/>
      <c r="AH461" s="357"/>
    </row>
    <row r="462" spans="1:34" ht="63">
      <c r="A462" s="356" t="s">
        <v>29</v>
      </c>
      <c r="B462" s="346" t="s">
        <v>1039</v>
      </c>
      <c r="C462" s="356" t="s">
        <v>277</v>
      </c>
      <c r="D462" s="356"/>
      <c r="E462" s="378" t="s">
        <v>390</v>
      </c>
      <c r="F462" s="378" t="s">
        <v>1040</v>
      </c>
      <c r="G462" s="118">
        <v>14333</v>
      </c>
      <c r="H462" s="118"/>
      <c r="I462" s="118">
        <v>9250</v>
      </c>
      <c r="J462" s="118"/>
      <c r="K462" s="118">
        <v>5083</v>
      </c>
      <c r="L462" s="118">
        <v>12447.808999999999</v>
      </c>
      <c r="M462" s="118"/>
      <c r="N462" s="118">
        <v>9250</v>
      </c>
      <c r="O462" s="118">
        <v>3197.8090000000002</v>
      </c>
      <c r="P462" s="118">
        <v>12447.808999999999</v>
      </c>
      <c r="Q462" s="118"/>
      <c r="R462" s="118">
        <v>9250</v>
      </c>
      <c r="S462" s="118">
        <v>3197.8090000000002</v>
      </c>
      <c r="T462" s="118">
        <v>1597.809</v>
      </c>
      <c r="U462" s="118"/>
      <c r="V462" s="118"/>
      <c r="W462" s="118"/>
      <c r="X462" s="118">
        <v>1597.809</v>
      </c>
      <c r="Y462" s="118">
        <v>1597.809</v>
      </c>
      <c r="Z462" s="118"/>
      <c r="AA462" s="118"/>
      <c r="AB462" s="118"/>
      <c r="AC462" s="118">
        <v>1597.809</v>
      </c>
      <c r="AD462" s="357">
        <f t="shared" ref="AD462:AD496" si="30">Y462/T462</f>
        <v>1</v>
      </c>
      <c r="AE462" s="357"/>
      <c r="AF462" s="357"/>
      <c r="AG462" s="357"/>
      <c r="AH462" s="357">
        <f>AC462/X462</f>
        <v>1</v>
      </c>
    </row>
    <row r="463" spans="1:34" ht="31.5">
      <c r="A463" s="356" t="s">
        <v>29</v>
      </c>
      <c r="B463" s="346" t="s">
        <v>1041</v>
      </c>
      <c r="C463" s="356" t="s">
        <v>277</v>
      </c>
      <c r="D463" s="356"/>
      <c r="E463" s="378" t="s">
        <v>226</v>
      </c>
      <c r="F463" s="378" t="s">
        <v>1042</v>
      </c>
      <c r="G463" s="118">
        <v>7381</v>
      </c>
      <c r="H463" s="118"/>
      <c r="I463" s="118">
        <v>5500</v>
      </c>
      <c r="J463" s="118"/>
      <c r="K463" s="118">
        <v>1000</v>
      </c>
      <c r="L463" s="118">
        <v>3500</v>
      </c>
      <c r="M463" s="118"/>
      <c r="N463" s="118">
        <v>2500</v>
      </c>
      <c r="O463" s="118">
        <v>1000</v>
      </c>
      <c r="P463" s="118">
        <v>3500</v>
      </c>
      <c r="Q463" s="118"/>
      <c r="R463" s="118">
        <v>2500</v>
      </c>
      <c r="S463" s="118">
        <v>1000</v>
      </c>
      <c r="T463" s="118">
        <v>1000</v>
      </c>
      <c r="U463" s="118"/>
      <c r="V463" s="118"/>
      <c r="W463" s="118"/>
      <c r="X463" s="118">
        <v>1000</v>
      </c>
      <c r="Y463" s="118">
        <v>1000</v>
      </c>
      <c r="Z463" s="118"/>
      <c r="AA463" s="118"/>
      <c r="AB463" s="118"/>
      <c r="AC463" s="118">
        <v>1000</v>
      </c>
      <c r="AD463" s="357">
        <f t="shared" si="30"/>
        <v>1</v>
      </c>
      <c r="AE463" s="357"/>
      <c r="AF463" s="357"/>
      <c r="AG463" s="357"/>
      <c r="AH463" s="357">
        <f>AC463/X463</f>
        <v>1</v>
      </c>
    </row>
    <row r="464" spans="1:34" ht="31.5">
      <c r="A464" s="343">
        <v>65</v>
      </c>
      <c r="B464" s="344" t="s">
        <v>202</v>
      </c>
      <c r="C464" s="356"/>
      <c r="D464" s="356"/>
      <c r="E464" s="378"/>
      <c r="F464" s="378"/>
      <c r="G464" s="118"/>
      <c r="H464" s="118"/>
      <c r="I464" s="118"/>
      <c r="J464" s="118"/>
      <c r="K464" s="118"/>
      <c r="L464" s="118"/>
      <c r="M464" s="118"/>
      <c r="N464" s="118"/>
      <c r="O464" s="118"/>
      <c r="P464" s="118"/>
      <c r="Q464" s="118"/>
      <c r="R464" s="118"/>
      <c r="S464" s="118"/>
      <c r="T464" s="118"/>
      <c r="U464" s="118"/>
      <c r="V464" s="118"/>
      <c r="W464" s="118"/>
      <c r="X464" s="118"/>
      <c r="Y464" s="118"/>
      <c r="Z464" s="118"/>
      <c r="AA464" s="118"/>
      <c r="AB464" s="118"/>
      <c r="AC464" s="118"/>
      <c r="AD464" s="357"/>
      <c r="AE464" s="357"/>
      <c r="AF464" s="357"/>
      <c r="AG464" s="357"/>
      <c r="AH464" s="357"/>
    </row>
    <row r="465" spans="1:34" ht="63">
      <c r="A465" s="356" t="s">
        <v>29</v>
      </c>
      <c r="B465" s="346" t="s">
        <v>1043</v>
      </c>
      <c r="C465" s="356" t="s">
        <v>612</v>
      </c>
      <c r="D465" s="356"/>
      <c r="E465" s="378" t="s">
        <v>226</v>
      </c>
      <c r="F465" s="378" t="s">
        <v>1044</v>
      </c>
      <c r="G465" s="118">
        <v>983</v>
      </c>
      <c r="H465" s="118"/>
      <c r="I465" s="118"/>
      <c r="J465" s="118"/>
      <c r="K465" s="118">
        <v>983</v>
      </c>
      <c r="L465" s="118">
        <v>68.965999999999994</v>
      </c>
      <c r="M465" s="118"/>
      <c r="N465" s="118"/>
      <c r="O465" s="118">
        <v>68.965999999999994</v>
      </c>
      <c r="P465" s="118">
        <v>850</v>
      </c>
      <c r="Q465" s="118"/>
      <c r="R465" s="118"/>
      <c r="S465" s="118">
        <v>850</v>
      </c>
      <c r="T465" s="118">
        <v>850</v>
      </c>
      <c r="U465" s="118"/>
      <c r="V465" s="118"/>
      <c r="W465" s="118"/>
      <c r="X465" s="118">
        <v>850</v>
      </c>
      <c r="Y465" s="118">
        <v>68.966499999999996</v>
      </c>
      <c r="Z465" s="118"/>
      <c r="AA465" s="118"/>
      <c r="AB465" s="118"/>
      <c r="AC465" s="118">
        <v>68.966499999999996</v>
      </c>
      <c r="AD465" s="357">
        <f t="shared" si="30"/>
        <v>8.1137058823529409E-2</v>
      </c>
      <c r="AE465" s="357"/>
      <c r="AF465" s="357"/>
      <c r="AG465" s="357"/>
      <c r="AH465" s="357">
        <f>AC465/X465</f>
        <v>8.1137058823529409E-2</v>
      </c>
    </row>
    <row r="466" spans="1:34">
      <c r="A466" s="343">
        <v>66</v>
      </c>
      <c r="B466" s="344" t="s">
        <v>203</v>
      </c>
      <c r="C466" s="356"/>
      <c r="D466" s="356"/>
      <c r="E466" s="378"/>
      <c r="F466" s="378"/>
      <c r="G466" s="118"/>
      <c r="H466" s="118"/>
      <c r="I466" s="118"/>
      <c r="J466" s="118"/>
      <c r="K466" s="118"/>
      <c r="L466" s="118"/>
      <c r="M466" s="118"/>
      <c r="N466" s="118"/>
      <c r="O466" s="118"/>
      <c r="P466" s="118"/>
      <c r="Q466" s="118"/>
      <c r="R466" s="118"/>
      <c r="S466" s="118"/>
      <c r="T466" s="118"/>
      <c r="U466" s="118"/>
      <c r="V466" s="118"/>
      <c r="W466" s="118"/>
      <c r="X466" s="118"/>
      <c r="Y466" s="118"/>
      <c r="Z466" s="118"/>
      <c r="AA466" s="118"/>
      <c r="AB466" s="118"/>
      <c r="AC466" s="118"/>
      <c r="AD466" s="357"/>
      <c r="AE466" s="357"/>
      <c r="AF466" s="357"/>
      <c r="AG466" s="357"/>
      <c r="AH466" s="357"/>
    </row>
    <row r="467" spans="1:34" ht="31.5">
      <c r="A467" s="356" t="s">
        <v>29</v>
      </c>
      <c r="B467" s="346" t="s">
        <v>1045</v>
      </c>
      <c r="C467" s="356" t="s">
        <v>374</v>
      </c>
      <c r="D467" s="356"/>
      <c r="E467" s="378" t="s">
        <v>390</v>
      </c>
      <c r="F467" s="378" t="s">
        <v>1046</v>
      </c>
      <c r="G467" s="118">
        <v>2500</v>
      </c>
      <c r="H467" s="118"/>
      <c r="I467" s="118"/>
      <c r="J467" s="118"/>
      <c r="K467" s="118">
        <v>2500</v>
      </c>
      <c r="L467" s="118">
        <v>2412.931</v>
      </c>
      <c r="M467" s="118"/>
      <c r="N467" s="118"/>
      <c r="O467" s="118">
        <v>2412.931</v>
      </c>
      <c r="P467" s="118">
        <v>2400</v>
      </c>
      <c r="Q467" s="118"/>
      <c r="R467" s="118"/>
      <c r="S467" s="118">
        <v>2400</v>
      </c>
      <c r="T467" s="118">
        <v>300</v>
      </c>
      <c r="U467" s="118"/>
      <c r="V467" s="118"/>
      <c r="W467" s="118"/>
      <c r="X467" s="118">
        <v>300</v>
      </c>
      <c r="Y467" s="118">
        <v>300</v>
      </c>
      <c r="Z467" s="118"/>
      <c r="AA467" s="118"/>
      <c r="AB467" s="118"/>
      <c r="AC467" s="118">
        <v>300</v>
      </c>
      <c r="AD467" s="357">
        <f t="shared" si="30"/>
        <v>1</v>
      </c>
      <c r="AE467" s="357"/>
      <c r="AF467" s="357"/>
      <c r="AG467" s="357"/>
      <c r="AH467" s="357">
        <f>AC467/X467</f>
        <v>1</v>
      </c>
    </row>
    <row r="468" spans="1:34">
      <c r="A468" s="343">
        <v>67</v>
      </c>
      <c r="B468" s="344" t="s">
        <v>204</v>
      </c>
      <c r="C468" s="356"/>
      <c r="D468" s="356"/>
      <c r="E468" s="378"/>
      <c r="F468" s="378"/>
      <c r="G468" s="118"/>
      <c r="H468" s="118"/>
      <c r="I468" s="118"/>
      <c r="J468" s="118"/>
      <c r="K468" s="118"/>
      <c r="L468" s="118"/>
      <c r="M468" s="118"/>
      <c r="N468" s="118"/>
      <c r="O468" s="118"/>
      <c r="P468" s="118"/>
      <c r="Q468" s="118"/>
      <c r="R468" s="118"/>
      <c r="S468" s="118"/>
      <c r="T468" s="118"/>
      <c r="U468" s="118"/>
      <c r="V468" s="118"/>
      <c r="W468" s="118"/>
      <c r="X468" s="118"/>
      <c r="Y468" s="118"/>
      <c r="Z468" s="118"/>
      <c r="AA468" s="118"/>
      <c r="AB468" s="118"/>
      <c r="AC468" s="118"/>
      <c r="AD468" s="357"/>
      <c r="AE468" s="357"/>
      <c r="AF468" s="357"/>
      <c r="AG468" s="357"/>
      <c r="AH468" s="357"/>
    </row>
    <row r="469" spans="1:34" ht="47.25">
      <c r="A469" s="356" t="s">
        <v>29</v>
      </c>
      <c r="B469" s="346" t="s">
        <v>1047</v>
      </c>
      <c r="C469" s="356" t="s">
        <v>225</v>
      </c>
      <c r="D469" s="356"/>
      <c r="E469" s="378" t="s">
        <v>589</v>
      </c>
      <c r="F469" s="378" t="s">
        <v>1048</v>
      </c>
      <c r="G469" s="118">
        <v>2560.1959999999999</v>
      </c>
      <c r="H469" s="118"/>
      <c r="I469" s="118"/>
      <c r="J469" s="118"/>
      <c r="K469" s="118">
        <v>2560.1959999999999</v>
      </c>
      <c r="L469" s="118">
        <v>2456.3200000000002</v>
      </c>
      <c r="M469" s="118"/>
      <c r="N469" s="118"/>
      <c r="O469" s="118">
        <v>2456.3200000000002</v>
      </c>
      <c r="P469" s="118">
        <v>2000</v>
      </c>
      <c r="Q469" s="118"/>
      <c r="R469" s="118"/>
      <c r="S469" s="118">
        <v>2000</v>
      </c>
      <c r="T469" s="118">
        <v>1200</v>
      </c>
      <c r="U469" s="118"/>
      <c r="V469" s="118"/>
      <c r="W469" s="118"/>
      <c r="X469" s="118">
        <v>1200</v>
      </c>
      <c r="Y469" s="118">
        <v>1200</v>
      </c>
      <c r="Z469" s="118"/>
      <c r="AA469" s="118"/>
      <c r="AB469" s="118"/>
      <c r="AC469" s="118">
        <v>1200</v>
      </c>
      <c r="AD469" s="357">
        <f t="shared" si="30"/>
        <v>1</v>
      </c>
      <c r="AE469" s="357"/>
      <c r="AF469" s="357"/>
      <c r="AG469" s="357"/>
      <c r="AH469" s="357">
        <f>AC469/X469</f>
        <v>1</v>
      </c>
    </row>
    <row r="470" spans="1:34" ht="31.5">
      <c r="A470" s="343">
        <v>68</v>
      </c>
      <c r="B470" s="344" t="s">
        <v>205</v>
      </c>
      <c r="C470" s="356"/>
      <c r="D470" s="356"/>
      <c r="E470" s="378"/>
      <c r="F470" s="378"/>
      <c r="G470" s="118"/>
      <c r="H470" s="118"/>
      <c r="I470" s="118"/>
      <c r="J470" s="118"/>
      <c r="K470" s="118"/>
      <c r="L470" s="118"/>
      <c r="M470" s="118"/>
      <c r="N470" s="118"/>
      <c r="O470" s="118"/>
      <c r="P470" s="118"/>
      <c r="Q470" s="118"/>
      <c r="R470" s="118"/>
      <c r="S470" s="118"/>
      <c r="T470" s="118"/>
      <c r="U470" s="118"/>
      <c r="V470" s="118"/>
      <c r="W470" s="118"/>
      <c r="X470" s="118"/>
      <c r="Y470" s="118"/>
      <c r="Z470" s="118"/>
      <c r="AA470" s="118"/>
      <c r="AB470" s="118"/>
      <c r="AC470" s="118"/>
      <c r="AD470" s="357"/>
      <c r="AE470" s="357"/>
      <c r="AF470" s="357"/>
      <c r="AG470" s="357"/>
      <c r="AH470" s="357"/>
    </row>
    <row r="471" spans="1:34" ht="135">
      <c r="A471" s="356" t="s">
        <v>29</v>
      </c>
      <c r="B471" s="346" t="s">
        <v>1049</v>
      </c>
      <c r="C471" s="356" t="s">
        <v>439</v>
      </c>
      <c r="D471" s="356"/>
      <c r="E471" s="378" t="s">
        <v>293</v>
      </c>
      <c r="F471" s="378" t="s">
        <v>1050</v>
      </c>
      <c r="G471" s="118">
        <v>184.41</v>
      </c>
      <c r="H471" s="118"/>
      <c r="I471" s="118"/>
      <c r="J471" s="118"/>
      <c r="K471" s="118">
        <v>184.41</v>
      </c>
      <c r="L471" s="118">
        <v>184.41</v>
      </c>
      <c r="M471" s="118"/>
      <c r="N471" s="118"/>
      <c r="O471" s="118">
        <v>184.41</v>
      </c>
      <c r="P471" s="118">
        <v>184.41</v>
      </c>
      <c r="Q471" s="118"/>
      <c r="R471" s="118"/>
      <c r="S471" s="118">
        <v>184.41</v>
      </c>
      <c r="T471" s="118">
        <v>184.41</v>
      </c>
      <c r="U471" s="118"/>
      <c r="V471" s="118"/>
      <c r="W471" s="118"/>
      <c r="X471" s="118">
        <v>184.41</v>
      </c>
      <c r="Y471" s="118">
        <v>184.41</v>
      </c>
      <c r="Z471" s="118"/>
      <c r="AA471" s="118"/>
      <c r="AB471" s="118"/>
      <c r="AC471" s="118">
        <v>184.41</v>
      </c>
      <c r="AD471" s="357">
        <f t="shared" si="30"/>
        <v>1</v>
      </c>
      <c r="AE471" s="357"/>
      <c r="AF471" s="357"/>
      <c r="AG471" s="357"/>
      <c r="AH471" s="357">
        <f>AC471/X471</f>
        <v>1</v>
      </c>
    </row>
    <row r="472" spans="1:34" ht="150">
      <c r="A472" s="356" t="s">
        <v>29</v>
      </c>
      <c r="B472" s="346" t="s">
        <v>1051</v>
      </c>
      <c r="C472" s="356" t="s">
        <v>299</v>
      </c>
      <c r="D472" s="356"/>
      <c r="E472" s="378" t="s">
        <v>226</v>
      </c>
      <c r="F472" s="378" t="s">
        <v>1052</v>
      </c>
      <c r="G472" s="118">
        <v>4437.9809999999998</v>
      </c>
      <c r="H472" s="118"/>
      <c r="I472" s="118"/>
      <c r="J472" s="118"/>
      <c r="K472" s="118">
        <v>4437.9809999999998</v>
      </c>
      <c r="L472" s="118">
        <v>4437.9809999999998</v>
      </c>
      <c r="M472" s="118"/>
      <c r="N472" s="118"/>
      <c r="O472" s="118">
        <v>4437.9809999999998</v>
      </c>
      <c r="P472" s="118">
        <v>4437.9809999999998</v>
      </c>
      <c r="Q472" s="118"/>
      <c r="R472" s="118"/>
      <c r="S472" s="118">
        <v>4437.9809999999998</v>
      </c>
      <c r="T472" s="118">
        <v>4437.9809999999998</v>
      </c>
      <c r="U472" s="118"/>
      <c r="V472" s="118"/>
      <c r="W472" s="118"/>
      <c r="X472" s="118">
        <v>4437.9809999999998</v>
      </c>
      <c r="Y472" s="118">
        <v>0</v>
      </c>
      <c r="Z472" s="118"/>
      <c r="AA472" s="118"/>
      <c r="AB472" s="118"/>
      <c r="AC472" s="118"/>
      <c r="AD472" s="357">
        <f t="shared" si="30"/>
        <v>0</v>
      </c>
      <c r="AE472" s="357"/>
      <c r="AF472" s="357"/>
      <c r="AG472" s="357"/>
      <c r="AH472" s="357">
        <f>AC472/X472</f>
        <v>0</v>
      </c>
    </row>
    <row r="473" spans="1:34" s="355" customFormat="1" ht="31.5">
      <c r="A473" s="343">
        <v>69</v>
      </c>
      <c r="B473" s="344" t="s">
        <v>206</v>
      </c>
      <c r="C473" s="343"/>
      <c r="D473" s="343"/>
      <c r="E473" s="366"/>
      <c r="F473" s="366"/>
      <c r="G473" s="354"/>
      <c r="H473" s="354"/>
      <c r="I473" s="354"/>
      <c r="J473" s="354"/>
      <c r="K473" s="354"/>
      <c r="L473" s="354"/>
      <c r="M473" s="354"/>
      <c r="N473" s="354"/>
      <c r="O473" s="354"/>
      <c r="P473" s="354"/>
      <c r="Q473" s="354"/>
      <c r="R473" s="354"/>
      <c r="S473" s="354"/>
      <c r="T473" s="354"/>
      <c r="U473" s="354"/>
      <c r="V473" s="354"/>
      <c r="W473" s="354"/>
      <c r="X473" s="354"/>
      <c r="Y473" s="354"/>
      <c r="Z473" s="354"/>
      <c r="AA473" s="354"/>
      <c r="AB473" s="354"/>
      <c r="AC473" s="354"/>
      <c r="AD473" s="357"/>
      <c r="AE473" s="357"/>
      <c r="AF473" s="357"/>
      <c r="AG473" s="357"/>
      <c r="AH473" s="357"/>
    </row>
    <row r="474" spans="1:34" ht="47.25">
      <c r="A474" s="356" t="s">
        <v>29</v>
      </c>
      <c r="B474" s="346" t="s">
        <v>1053</v>
      </c>
      <c r="C474" s="356"/>
      <c r="D474" s="356"/>
      <c r="E474" s="378"/>
      <c r="F474" s="378"/>
      <c r="G474" s="118">
        <v>665.42</v>
      </c>
      <c r="H474" s="118"/>
      <c r="I474" s="118"/>
      <c r="J474" s="118"/>
      <c r="K474" s="118"/>
      <c r="L474" s="118"/>
      <c r="M474" s="118"/>
      <c r="N474" s="118"/>
      <c r="O474" s="118"/>
      <c r="P474" s="118"/>
      <c r="Q474" s="118"/>
      <c r="R474" s="118"/>
      <c r="S474" s="118"/>
      <c r="T474" s="118">
        <v>87.52</v>
      </c>
      <c r="U474" s="118"/>
      <c r="V474" s="118"/>
      <c r="W474" s="118"/>
      <c r="X474" s="118">
        <v>87.52</v>
      </c>
      <c r="Y474" s="118">
        <v>87.52</v>
      </c>
      <c r="Z474" s="118"/>
      <c r="AA474" s="118"/>
      <c r="AB474" s="118"/>
      <c r="AC474" s="118">
        <v>87.52</v>
      </c>
      <c r="AD474" s="357">
        <f t="shared" si="30"/>
        <v>1</v>
      </c>
      <c r="AE474" s="357"/>
      <c r="AF474" s="357"/>
      <c r="AG474" s="357"/>
      <c r="AH474" s="357">
        <f>AC474/X474</f>
        <v>1</v>
      </c>
    </row>
    <row r="475" spans="1:34" ht="31.5">
      <c r="A475" s="356" t="s">
        <v>29</v>
      </c>
      <c r="B475" s="346" t="s">
        <v>1054</v>
      </c>
      <c r="C475" s="356"/>
      <c r="D475" s="356"/>
      <c r="E475" s="378"/>
      <c r="F475" s="378" t="s">
        <v>1055</v>
      </c>
      <c r="G475" s="118">
        <v>2138.16</v>
      </c>
      <c r="H475" s="118"/>
      <c r="I475" s="118"/>
      <c r="J475" s="118"/>
      <c r="K475" s="118"/>
      <c r="L475" s="118"/>
      <c r="M475" s="118"/>
      <c r="N475" s="118"/>
      <c r="O475" s="118"/>
      <c r="P475" s="118"/>
      <c r="Q475" s="118"/>
      <c r="R475" s="118"/>
      <c r="S475" s="118"/>
      <c r="T475" s="118">
        <v>207.69300000000001</v>
      </c>
      <c r="U475" s="118"/>
      <c r="V475" s="118"/>
      <c r="W475" s="118"/>
      <c r="X475" s="118">
        <v>207.69300000000001</v>
      </c>
      <c r="Y475" s="118">
        <v>207.69300000000001</v>
      </c>
      <c r="Z475" s="118"/>
      <c r="AA475" s="118"/>
      <c r="AB475" s="118"/>
      <c r="AC475" s="118">
        <v>207.69300000000001</v>
      </c>
      <c r="AD475" s="357">
        <f t="shared" si="30"/>
        <v>1</v>
      </c>
      <c r="AE475" s="357"/>
      <c r="AF475" s="357"/>
      <c r="AG475" s="357"/>
      <c r="AH475" s="357">
        <f>AC475/X475</f>
        <v>1</v>
      </c>
    </row>
    <row r="476" spans="1:34">
      <c r="A476" s="343">
        <v>70</v>
      </c>
      <c r="B476" s="344" t="s">
        <v>207</v>
      </c>
      <c r="C476" s="356"/>
      <c r="D476" s="356"/>
      <c r="E476" s="378"/>
      <c r="F476" s="378"/>
      <c r="G476" s="118"/>
      <c r="H476" s="118"/>
      <c r="I476" s="118"/>
      <c r="J476" s="118"/>
      <c r="K476" s="118"/>
      <c r="L476" s="118"/>
      <c r="M476" s="118"/>
      <c r="N476" s="118"/>
      <c r="O476" s="118"/>
      <c r="P476" s="118"/>
      <c r="Q476" s="118"/>
      <c r="R476" s="118"/>
      <c r="S476" s="118"/>
      <c r="T476" s="118"/>
      <c r="U476" s="118"/>
      <c r="V476" s="118"/>
      <c r="W476" s="118"/>
      <c r="X476" s="118"/>
      <c r="Y476" s="118"/>
      <c r="Z476" s="118"/>
      <c r="AA476" s="118"/>
      <c r="AB476" s="118"/>
      <c r="AC476" s="118"/>
      <c r="AD476" s="357"/>
      <c r="AE476" s="357"/>
      <c r="AF476" s="357"/>
      <c r="AG476" s="357"/>
      <c r="AH476" s="357"/>
    </row>
    <row r="477" spans="1:34" ht="31.5">
      <c r="A477" s="356" t="s">
        <v>29</v>
      </c>
      <c r="B477" s="346" t="s">
        <v>1056</v>
      </c>
      <c r="C477" s="356" t="s">
        <v>225</v>
      </c>
      <c r="D477" s="356"/>
      <c r="E477" s="378" t="s">
        <v>226</v>
      </c>
      <c r="F477" s="378" t="s">
        <v>1057</v>
      </c>
      <c r="G477" s="118">
        <v>2025</v>
      </c>
      <c r="H477" s="118"/>
      <c r="I477" s="118"/>
      <c r="J477" s="118"/>
      <c r="K477" s="118">
        <v>2025</v>
      </c>
      <c r="L477" s="118">
        <v>951</v>
      </c>
      <c r="M477" s="118"/>
      <c r="N477" s="118"/>
      <c r="O477" s="118">
        <v>951</v>
      </c>
      <c r="P477" s="118">
        <v>2025</v>
      </c>
      <c r="Q477" s="118"/>
      <c r="R477" s="118"/>
      <c r="S477" s="118">
        <v>2025</v>
      </c>
      <c r="T477" s="118">
        <v>2025</v>
      </c>
      <c r="U477" s="118"/>
      <c r="V477" s="118"/>
      <c r="W477" s="118"/>
      <c r="X477" s="118">
        <v>2025</v>
      </c>
      <c r="Y477" s="118">
        <v>890.21</v>
      </c>
      <c r="Z477" s="118"/>
      <c r="AA477" s="118"/>
      <c r="AB477" s="118"/>
      <c r="AC477" s="118">
        <v>890.21</v>
      </c>
      <c r="AD477" s="357">
        <f t="shared" si="30"/>
        <v>0.43960987654320988</v>
      </c>
      <c r="AE477" s="357"/>
      <c r="AF477" s="357"/>
      <c r="AG477" s="357"/>
      <c r="AH477" s="357">
        <f>AC477/X477</f>
        <v>0.43960987654320988</v>
      </c>
    </row>
    <row r="478" spans="1:34" s="355" customFormat="1">
      <c r="A478" s="343">
        <v>71</v>
      </c>
      <c r="B478" s="344" t="s">
        <v>208</v>
      </c>
      <c r="C478" s="343"/>
      <c r="D478" s="343"/>
      <c r="E478" s="366"/>
      <c r="F478" s="366"/>
      <c r="G478" s="354"/>
      <c r="H478" s="354"/>
      <c r="I478" s="354"/>
      <c r="J478" s="354"/>
      <c r="K478" s="354"/>
      <c r="L478" s="354"/>
      <c r="M478" s="354"/>
      <c r="N478" s="354"/>
      <c r="O478" s="354"/>
      <c r="P478" s="354"/>
      <c r="Q478" s="354"/>
      <c r="R478" s="354"/>
      <c r="S478" s="354"/>
      <c r="T478" s="354"/>
      <c r="U478" s="354"/>
      <c r="V478" s="354"/>
      <c r="W478" s="354"/>
      <c r="X478" s="354"/>
      <c r="Y478" s="354"/>
      <c r="Z478" s="354"/>
      <c r="AA478" s="354"/>
      <c r="AB478" s="354"/>
      <c r="AC478" s="354"/>
      <c r="AD478" s="357"/>
      <c r="AE478" s="357"/>
      <c r="AF478" s="357"/>
      <c r="AG478" s="357"/>
      <c r="AH478" s="357"/>
    </row>
    <row r="479" spans="1:34" ht="47.25">
      <c r="A479" s="356" t="s">
        <v>29</v>
      </c>
      <c r="B479" s="346" t="s">
        <v>1058</v>
      </c>
      <c r="C479" s="356" t="s">
        <v>225</v>
      </c>
      <c r="D479" s="356"/>
      <c r="E479" s="378" t="s">
        <v>293</v>
      </c>
      <c r="F479" s="378" t="s">
        <v>1059</v>
      </c>
      <c r="G479" s="118">
        <v>5316.5929999999998</v>
      </c>
      <c r="H479" s="118"/>
      <c r="I479" s="118"/>
      <c r="J479" s="118"/>
      <c r="K479" s="118">
        <v>5316.5929999999998</v>
      </c>
      <c r="L479" s="118">
        <v>5316.5929999999998</v>
      </c>
      <c r="M479" s="118"/>
      <c r="N479" s="118"/>
      <c r="O479" s="118">
        <v>5316.5929999999998</v>
      </c>
      <c r="P479" s="118">
        <v>4347</v>
      </c>
      <c r="Q479" s="118"/>
      <c r="R479" s="118"/>
      <c r="S479" s="118">
        <v>4347</v>
      </c>
      <c r="T479" s="118">
        <v>1347</v>
      </c>
      <c r="U479" s="118"/>
      <c r="V479" s="118"/>
      <c r="W479" s="118"/>
      <c r="X479" s="118">
        <v>1347</v>
      </c>
      <c r="Y479" s="118">
        <v>1347</v>
      </c>
      <c r="Z479" s="118"/>
      <c r="AA479" s="118"/>
      <c r="AB479" s="118"/>
      <c r="AC479" s="118">
        <v>1347</v>
      </c>
      <c r="AD479" s="357">
        <f t="shared" si="30"/>
        <v>1</v>
      </c>
      <c r="AE479" s="357"/>
      <c r="AF479" s="357"/>
      <c r="AG479" s="357"/>
      <c r="AH479" s="357">
        <f>AC479/X479</f>
        <v>1</v>
      </c>
    </row>
    <row r="480" spans="1:34" s="355" customFormat="1">
      <c r="A480" s="343">
        <v>72</v>
      </c>
      <c r="B480" s="344" t="s">
        <v>209</v>
      </c>
      <c r="C480" s="343"/>
      <c r="D480" s="343"/>
      <c r="E480" s="366"/>
      <c r="F480" s="366"/>
      <c r="G480" s="354"/>
      <c r="H480" s="354"/>
      <c r="I480" s="354"/>
      <c r="J480" s="354"/>
      <c r="K480" s="354"/>
      <c r="L480" s="354"/>
      <c r="M480" s="354"/>
      <c r="N480" s="354"/>
      <c r="O480" s="354"/>
      <c r="P480" s="354"/>
      <c r="Q480" s="354"/>
      <c r="R480" s="354"/>
      <c r="S480" s="354"/>
      <c r="T480" s="354"/>
      <c r="U480" s="354"/>
      <c r="V480" s="354"/>
      <c r="W480" s="354"/>
      <c r="X480" s="354"/>
      <c r="Y480" s="354"/>
      <c r="Z480" s="354"/>
      <c r="AA480" s="354"/>
      <c r="AB480" s="354"/>
      <c r="AC480" s="354"/>
      <c r="AD480" s="357"/>
      <c r="AE480" s="357"/>
      <c r="AF480" s="357"/>
      <c r="AG480" s="357"/>
      <c r="AH480" s="357"/>
    </row>
    <row r="481" spans="1:34" ht="31.5">
      <c r="A481" s="356" t="s">
        <v>29</v>
      </c>
      <c r="B481" s="346" t="s">
        <v>1060</v>
      </c>
      <c r="C481" s="356" t="s">
        <v>225</v>
      </c>
      <c r="D481" s="356"/>
      <c r="E481" s="378" t="s">
        <v>573</v>
      </c>
      <c r="F481" s="378" t="s">
        <v>1061</v>
      </c>
      <c r="G481" s="118">
        <v>63243</v>
      </c>
      <c r="H481" s="118"/>
      <c r="I481" s="118"/>
      <c r="J481" s="118"/>
      <c r="K481" s="118">
        <v>63243</v>
      </c>
      <c r="L481" s="118">
        <v>61425</v>
      </c>
      <c r="M481" s="118"/>
      <c r="N481" s="118"/>
      <c r="O481" s="118">
        <v>61425</v>
      </c>
      <c r="P481" s="118">
        <v>58900</v>
      </c>
      <c r="Q481" s="118"/>
      <c r="R481" s="118"/>
      <c r="S481" s="118">
        <v>58900</v>
      </c>
      <c r="T481" s="118">
        <v>800</v>
      </c>
      <c r="U481" s="118"/>
      <c r="V481" s="118"/>
      <c r="W481" s="118"/>
      <c r="X481" s="118">
        <v>800</v>
      </c>
      <c r="Y481" s="118">
        <v>800</v>
      </c>
      <c r="Z481" s="118"/>
      <c r="AA481" s="118"/>
      <c r="AB481" s="118"/>
      <c r="AC481" s="118">
        <v>800</v>
      </c>
      <c r="AD481" s="357">
        <f t="shared" si="30"/>
        <v>1</v>
      </c>
      <c r="AE481" s="357"/>
      <c r="AF481" s="357"/>
      <c r="AG481" s="357"/>
      <c r="AH481" s="357">
        <f>AC481/X481</f>
        <v>1</v>
      </c>
    </row>
    <row r="482" spans="1:34" s="355" customFormat="1">
      <c r="A482" s="343">
        <v>73</v>
      </c>
      <c r="B482" s="344" t="s">
        <v>210</v>
      </c>
      <c r="C482" s="343"/>
      <c r="D482" s="343"/>
      <c r="E482" s="366"/>
      <c r="F482" s="366"/>
      <c r="G482" s="354"/>
      <c r="H482" s="354"/>
      <c r="I482" s="354"/>
      <c r="J482" s="354"/>
      <c r="K482" s="354"/>
      <c r="L482" s="354"/>
      <c r="M482" s="354"/>
      <c r="N482" s="354"/>
      <c r="O482" s="354"/>
      <c r="P482" s="354"/>
      <c r="Q482" s="354"/>
      <c r="R482" s="354"/>
      <c r="S482" s="354"/>
      <c r="T482" s="354"/>
      <c r="U482" s="354"/>
      <c r="V482" s="354"/>
      <c r="W482" s="354"/>
      <c r="X482" s="354"/>
      <c r="Y482" s="354"/>
      <c r="Z482" s="354"/>
      <c r="AA482" s="354"/>
      <c r="AB482" s="354"/>
      <c r="AC482" s="354"/>
      <c r="AD482" s="357"/>
      <c r="AE482" s="357"/>
      <c r="AF482" s="357"/>
      <c r="AG482" s="357"/>
      <c r="AH482" s="357"/>
    </row>
    <row r="483" spans="1:34" ht="31.5">
      <c r="A483" s="356" t="s">
        <v>29</v>
      </c>
      <c r="B483" s="346" t="s">
        <v>1062</v>
      </c>
      <c r="C483" s="356" t="s">
        <v>225</v>
      </c>
      <c r="D483" s="356"/>
      <c r="E483" s="378" t="s">
        <v>851</v>
      </c>
      <c r="F483" s="378" t="s">
        <v>1063</v>
      </c>
      <c r="G483" s="118">
        <v>6030</v>
      </c>
      <c r="H483" s="118"/>
      <c r="I483" s="118"/>
      <c r="J483" s="118"/>
      <c r="K483" s="118">
        <v>6030</v>
      </c>
      <c r="L483" s="118">
        <v>5952</v>
      </c>
      <c r="M483" s="118"/>
      <c r="N483" s="118"/>
      <c r="O483" s="118">
        <v>5952</v>
      </c>
      <c r="P483" s="118">
        <v>5952</v>
      </c>
      <c r="Q483" s="118"/>
      <c r="R483" s="118"/>
      <c r="S483" s="118">
        <v>5952</v>
      </c>
      <c r="T483" s="118">
        <v>2352</v>
      </c>
      <c r="U483" s="118"/>
      <c r="V483" s="118"/>
      <c r="W483" s="118"/>
      <c r="X483" s="118">
        <v>2352</v>
      </c>
      <c r="Y483" s="118">
        <v>2352</v>
      </c>
      <c r="Z483" s="118"/>
      <c r="AA483" s="118"/>
      <c r="AB483" s="118"/>
      <c r="AC483" s="118">
        <v>2352</v>
      </c>
      <c r="AD483" s="357">
        <f t="shared" si="30"/>
        <v>1</v>
      </c>
      <c r="AE483" s="357"/>
      <c r="AF483" s="357"/>
      <c r="AG483" s="357"/>
      <c r="AH483" s="357">
        <f>AC483/X483</f>
        <v>1</v>
      </c>
    </row>
    <row r="484" spans="1:34" ht="31.5">
      <c r="A484" s="356" t="s">
        <v>29</v>
      </c>
      <c r="B484" s="346" t="s">
        <v>1064</v>
      </c>
      <c r="C484" s="356" t="s">
        <v>225</v>
      </c>
      <c r="D484" s="356"/>
      <c r="E484" s="378" t="s">
        <v>226</v>
      </c>
      <c r="F484" s="378" t="s">
        <v>1065</v>
      </c>
      <c r="G484" s="118">
        <v>5926</v>
      </c>
      <c r="H484" s="118"/>
      <c r="I484" s="118"/>
      <c r="J484" s="118"/>
      <c r="K484" s="118">
        <v>5926</v>
      </c>
      <c r="L484" s="118">
        <v>3000</v>
      </c>
      <c r="M484" s="118"/>
      <c r="N484" s="118"/>
      <c r="O484" s="118">
        <v>3000</v>
      </c>
      <c r="P484" s="118">
        <v>3000</v>
      </c>
      <c r="Q484" s="118"/>
      <c r="R484" s="118"/>
      <c r="S484" s="118">
        <v>3000</v>
      </c>
      <c r="T484" s="118">
        <v>3000</v>
      </c>
      <c r="U484" s="118"/>
      <c r="V484" s="118"/>
      <c r="W484" s="118"/>
      <c r="X484" s="118">
        <v>3000</v>
      </c>
      <c r="Y484" s="118">
        <v>276.49200000000002</v>
      </c>
      <c r="Z484" s="118"/>
      <c r="AA484" s="118"/>
      <c r="AB484" s="118"/>
      <c r="AC484" s="118">
        <v>276.49200000000002</v>
      </c>
      <c r="AD484" s="357">
        <f t="shared" si="30"/>
        <v>9.216400000000001E-2</v>
      </c>
      <c r="AE484" s="357"/>
      <c r="AF484" s="357"/>
      <c r="AG484" s="357"/>
      <c r="AH484" s="357">
        <f>AC484/X484</f>
        <v>9.216400000000001E-2</v>
      </c>
    </row>
    <row r="485" spans="1:34" s="355" customFormat="1">
      <c r="A485" s="343">
        <v>74</v>
      </c>
      <c r="B485" s="344" t="s">
        <v>211</v>
      </c>
      <c r="C485" s="343"/>
      <c r="D485" s="343"/>
      <c r="E485" s="366"/>
      <c r="F485" s="366"/>
      <c r="G485" s="354"/>
      <c r="H485" s="354"/>
      <c r="I485" s="354"/>
      <c r="J485" s="354"/>
      <c r="K485" s="354"/>
      <c r="L485" s="354"/>
      <c r="M485" s="354"/>
      <c r="N485" s="354"/>
      <c r="O485" s="354"/>
      <c r="P485" s="354"/>
      <c r="Q485" s="354"/>
      <c r="R485" s="354"/>
      <c r="S485" s="354"/>
      <c r="T485" s="354"/>
      <c r="U485" s="354"/>
      <c r="V485" s="354"/>
      <c r="W485" s="354"/>
      <c r="X485" s="354"/>
      <c r="Y485" s="354"/>
      <c r="Z485" s="354"/>
      <c r="AA485" s="354"/>
      <c r="AB485" s="354"/>
      <c r="AC485" s="354"/>
      <c r="AD485" s="357"/>
      <c r="AE485" s="357"/>
      <c r="AF485" s="357"/>
      <c r="AG485" s="357"/>
      <c r="AH485" s="357"/>
    </row>
    <row r="486" spans="1:34" ht="31.5">
      <c r="A486" s="356" t="s">
        <v>29</v>
      </c>
      <c r="B486" s="346" t="s">
        <v>1066</v>
      </c>
      <c r="C486" s="356" t="s">
        <v>225</v>
      </c>
      <c r="D486" s="356"/>
      <c r="E486" s="378" t="s">
        <v>510</v>
      </c>
      <c r="F486" s="378" t="s">
        <v>1067</v>
      </c>
      <c r="G486" s="118">
        <v>75729</v>
      </c>
      <c r="H486" s="118"/>
      <c r="I486" s="118">
        <v>50000</v>
      </c>
      <c r="J486" s="118"/>
      <c r="K486" s="118">
        <v>25729</v>
      </c>
      <c r="L486" s="118">
        <v>53681.288999999997</v>
      </c>
      <c r="M486" s="118"/>
      <c r="N486" s="118">
        <v>49447</v>
      </c>
      <c r="O486" s="118">
        <v>4234.2889999999998</v>
      </c>
      <c r="P486" s="118">
        <v>53447</v>
      </c>
      <c r="Q486" s="118"/>
      <c r="R486" s="118">
        <v>49447</v>
      </c>
      <c r="S486" s="118">
        <v>4000</v>
      </c>
      <c r="T486" s="118">
        <v>9538.3070000000007</v>
      </c>
      <c r="U486" s="118"/>
      <c r="V486" s="118">
        <v>9500.3070000000007</v>
      </c>
      <c r="W486" s="118"/>
      <c r="X486" s="118">
        <f>T486-V486</f>
        <v>38</v>
      </c>
      <c r="Y486" s="118">
        <v>9538.3070000000007</v>
      </c>
      <c r="Z486" s="118"/>
      <c r="AA486" s="118">
        <v>9500.3070000000007</v>
      </c>
      <c r="AB486" s="118"/>
      <c r="AC486" s="118">
        <v>38</v>
      </c>
      <c r="AD486" s="357">
        <f t="shared" si="30"/>
        <v>1</v>
      </c>
      <c r="AE486" s="357"/>
      <c r="AF486" s="357">
        <f t="shared" ref="AF486" si="31">AA486/V486</f>
        <v>1</v>
      </c>
      <c r="AG486" s="357"/>
      <c r="AH486" s="357">
        <f>AC486/X486</f>
        <v>1</v>
      </c>
    </row>
    <row r="487" spans="1:34" ht="47.25">
      <c r="A487" s="356" t="s">
        <v>29</v>
      </c>
      <c r="B487" s="346" t="s">
        <v>1068</v>
      </c>
      <c r="C487" s="356" t="s">
        <v>225</v>
      </c>
      <c r="D487" s="356"/>
      <c r="E487" s="382" t="s">
        <v>375</v>
      </c>
      <c r="F487" s="378" t="s">
        <v>1069</v>
      </c>
      <c r="G487" s="118">
        <v>4605</v>
      </c>
      <c r="H487" s="118"/>
      <c r="I487" s="118"/>
      <c r="J487" s="118"/>
      <c r="K487" s="118">
        <v>4605</v>
      </c>
      <c r="L487" s="118">
        <v>4486.7809999999999</v>
      </c>
      <c r="M487" s="118"/>
      <c r="N487" s="118"/>
      <c r="O487" s="118"/>
      <c r="P487" s="118">
        <v>4430.4440000000004</v>
      </c>
      <c r="Q487" s="118"/>
      <c r="R487" s="118"/>
      <c r="S487" s="118">
        <v>4430.4440000000004</v>
      </c>
      <c r="T487" s="118">
        <v>640.74670000000003</v>
      </c>
      <c r="U487" s="118"/>
      <c r="V487" s="118"/>
      <c r="W487" s="118"/>
      <c r="X487" s="118">
        <v>640.74670000000003</v>
      </c>
      <c r="Y487" s="118">
        <v>640.74670000000003</v>
      </c>
      <c r="Z487" s="118"/>
      <c r="AA487" s="118"/>
      <c r="AB487" s="118"/>
      <c r="AC487" s="118">
        <v>640.74670000000003</v>
      </c>
      <c r="AD487" s="357">
        <f t="shared" si="30"/>
        <v>1</v>
      </c>
      <c r="AE487" s="357"/>
      <c r="AF487" s="357"/>
      <c r="AG487" s="357"/>
      <c r="AH487" s="357">
        <f>AC487/X487</f>
        <v>1</v>
      </c>
    </row>
    <row r="488" spans="1:34" s="355" customFormat="1">
      <c r="A488" s="343">
        <v>75</v>
      </c>
      <c r="B488" s="344" t="s">
        <v>212</v>
      </c>
      <c r="C488" s="343"/>
      <c r="D488" s="343"/>
      <c r="E488" s="366"/>
      <c r="F488" s="366"/>
      <c r="G488" s="354"/>
      <c r="H488" s="354"/>
      <c r="I488" s="354"/>
      <c r="J488" s="354"/>
      <c r="K488" s="354"/>
      <c r="L488" s="354"/>
      <c r="M488" s="354"/>
      <c r="N488" s="354"/>
      <c r="O488" s="354"/>
      <c r="P488" s="354"/>
      <c r="Q488" s="354"/>
      <c r="R488" s="354"/>
      <c r="S488" s="354"/>
      <c r="T488" s="354"/>
      <c r="U488" s="354"/>
      <c r="V488" s="354"/>
      <c r="W488" s="354"/>
      <c r="X488" s="354"/>
      <c r="Y488" s="354"/>
      <c r="Z488" s="354"/>
      <c r="AA488" s="354"/>
      <c r="AB488" s="354"/>
      <c r="AC488" s="354"/>
      <c r="AD488" s="357"/>
      <c r="AE488" s="357"/>
      <c r="AF488" s="357"/>
      <c r="AG488" s="357"/>
      <c r="AH488" s="357"/>
    </row>
    <row r="489" spans="1:34" ht="47.25">
      <c r="A489" s="356" t="s">
        <v>29</v>
      </c>
      <c r="B489" s="346" t="s">
        <v>1070</v>
      </c>
      <c r="C489" s="356" t="s">
        <v>225</v>
      </c>
      <c r="D489" s="356"/>
      <c r="E489" s="378" t="s">
        <v>293</v>
      </c>
      <c r="F489" s="378" t="s">
        <v>1071</v>
      </c>
      <c r="G489" s="118">
        <v>3823</v>
      </c>
      <c r="H489" s="118"/>
      <c r="I489" s="118"/>
      <c r="J489" s="118"/>
      <c r="K489" s="118">
        <v>3823</v>
      </c>
      <c r="L489" s="118">
        <v>2950</v>
      </c>
      <c r="M489" s="118"/>
      <c r="N489" s="118"/>
      <c r="O489" s="118">
        <v>2950</v>
      </c>
      <c r="P489" s="118">
        <v>2700</v>
      </c>
      <c r="Q489" s="118"/>
      <c r="R489" s="118"/>
      <c r="S489" s="118">
        <v>2700</v>
      </c>
      <c r="T489" s="118">
        <v>1300</v>
      </c>
      <c r="U489" s="118"/>
      <c r="V489" s="118"/>
      <c r="W489" s="118"/>
      <c r="X489" s="118">
        <v>1300</v>
      </c>
      <c r="Y489" s="118">
        <v>1300</v>
      </c>
      <c r="Z489" s="118"/>
      <c r="AA489" s="118"/>
      <c r="AB489" s="118"/>
      <c r="AC489" s="118">
        <v>1300</v>
      </c>
      <c r="AD489" s="357">
        <f t="shared" si="30"/>
        <v>1</v>
      </c>
      <c r="AE489" s="357"/>
      <c r="AF489" s="357"/>
      <c r="AG489" s="357"/>
      <c r="AH489" s="357">
        <f>AC489/X489</f>
        <v>1</v>
      </c>
    </row>
    <row r="490" spans="1:34" s="355" customFormat="1">
      <c r="A490" s="343">
        <v>76</v>
      </c>
      <c r="B490" s="344" t="s">
        <v>119</v>
      </c>
      <c r="C490" s="343"/>
      <c r="D490" s="343"/>
      <c r="E490" s="366"/>
      <c r="F490" s="366"/>
      <c r="G490" s="354"/>
      <c r="H490" s="354"/>
      <c r="I490" s="354"/>
      <c r="J490" s="354"/>
      <c r="K490" s="354"/>
      <c r="L490" s="354"/>
      <c r="M490" s="354"/>
      <c r="N490" s="354"/>
      <c r="O490" s="354"/>
      <c r="P490" s="354"/>
      <c r="Q490" s="354"/>
      <c r="R490" s="354"/>
      <c r="S490" s="354"/>
      <c r="T490" s="354"/>
      <c r="U490" s="354"/>
      <c r="V490" s="354"/>
      <c r="W490" s="354"/>
      <c r="X490" s="354"/>
      <c r="Y490" s="354"/>
      <c r="Z490" s="354"/>
      <c r="AA490" s="354"/>
      <c r="AB490" s="354"/>
      <c r="AC490" s="354"/>
      <c r="AD490" s="357"/>
      <c r="AE490" s="357"/>
      <c r="AF490" s="357"/>
      <c r="AG490" s="357"/>
      <c r="AH490" s="357"/>
    </row>
    <row r="491" spans="1:34" ht="31.5">
      <c r="A491" s="356" t="s">
        <v>29</v>
      </c>
      <c r="B491" s="346" t="s">
        <v>1072</v>
      </c>
      <c r="C491" s="356" t="s">
        <v>225</v>
      </c>
      <c r="D491" s="356"/>
      <c r="E491" s="378" t="s">
        <v>230</v>
      </c>
      <c r="F491" s="378" t="s">
        <v>1073</v>
      </c>
      <c r="G491" s="118">
        <v>15830.83</v>
      </c>
      <c r="H491" s="118"/>
      <c r="I491" s="118"/>
      <c r="J491" s="118"/>
      <c r="K491" s="118">
        <v>15830.83</v>
      </c>
      <c r="L491" s="118">
        <v>14807.82</v>
      </c>
      <c r="M491" s="118"/>
      <c r="N491" s="118"/>
      <c r="O491" s="118">
        <v>14807.82</v>
      </c>
      <c r="P491" s="118">
        <v>13050</v>
      </c>
      <c r="Q491" s="118"/>
      <c r="R491" s="118"/>
      <c r="S491" s="118">
        <v>13050</v>
      </c>
      <c r="T491" s="118">
        <v>12766.5762</v>
      </c>
      <c r="U491" s="118"/>
      <c r="V491" s="118"/>
      <c r="W491" s="118"/>
      <c r="X491" s="118">
        <v>12766.5762</v>
      </c>
      <c r="Y491" s="118">
        <v>12735.060025000001</v>
      </c>
      <c r="Z491" s="118"/>
      <c r="AA491" s="118"/>
      <c r="AB491" s="118"/>
      <c r="AC491" s="118">
        <v>12735.060025000001</v>
      </c>
      <c r="AD491" s="357">
        <f t="shared" si="30"/>
        <v>0.99753135261120374</v>
      </c>
      <c r="AE491" s="357"/>
      <c r="AF491" s="357"/>
      <c r="AG491" s="357"/>
      <c r="AH491" s="357">
        <f>AC491/X491</f>
        <v>0.99753135261120374</v>
      </c>
    </row>
    <row r="492" spans="1:34" ht="47.25">
      <c r="A492" s="356" t="s">
        <v>29</v>
      </c>
      <c r="B492" s="346" t="s">
        <v>1074</v>
      </c>
      <c r="C492" s="356" t="s">
        <v>225</v>
      </c>
      <c r="D492" s="356"/>
      <c r="E492" s="378" t="s">
        <v>293</v>
      </c>
      <c r="F492" s="378" t="s">
        <v>1075</v>
      </c>
      <c r="G492" s="118">
        <v>9500</v>
      </c>
      <c r="H492" s="118"/>
      <c r="I492" s="118"/>
      <c r="J492" s="118"/>
      <c r="K492" s="118">
        <v>9500</v>
      </c>
      <c r="L492" s="118">
        <v>9248.2099999999991</v>
      </c>
      <c r="M492" s="118"/>
      <c r="N492" s="118"/>
      <c r="O492" s="118">
        <v>9248.2099999999991</v>
      </c>
      <c r="P492" s="118">
        <v>7462</v>
      </c>
      <c r="Q492" s="118"/>
      <c r="R492" s="118"/>
      <c r="S492" s="118">
        <v>7462</v>
      </c>
      <c r="T492" s="118">
        <v>4962</v>
      </c>
      <c r="U492" s="118"/>
      <c r="V492" s="118"/>
      <c r="W492" s="118"/>
      <c r="X492" s="118">
        <v>4962</v>
      </c>
      <c r="Y492" s="118">
        <v>4962</v>
      </c>
      <c r="Z492" s="118"/>
      <c r="AA492" s="118"/>
      <c r="AB492" s="118"/>
      <c r="AC492" s="118">
        <v>4962</v>
      </c>
      <c r="AD492" s="357">
        <f t="shared" si="30"/>
        <v>1</v>
      </c>
      <c r="AE492" s="357"/>
      <c r="AF492" s="357"/>
      <c r="AG492" s="357"/>
      <c r="AH492" s="357">
        <f>AC492/X492</f>
        <v>1</v>
      </c>
    </row>
    <row r="493" spans="1:34" s="355" customFormat="1">
      <c r="A493" s="343">
        <v>77</v>
      </c>
      <c r="B493" s="344" t="s">
        <v>213</v>
      </c>
      <c r="C493" s="343"/>
      <c r="D493" s="343"/>
      <c r="E493" s="366"/>
      <c r="F493" s="366"/>
      <c r="G493" s="354"/>
      <c r="H493" s="354"/>
      <c r="I493" s="354"/>
      <c r="J493" s="354"/>
      <c r="K493" s="354"/>
      <c r="L493" s="354"/>
      <c r="M493" s="354"/>
      <c r="N493" s="354"/>
      <c r="O493" s="354"/>
      <c r="P493" s="354"/>
      <c r="Q493" s="354"/>
      <c r="R493" s="354"/>
      <c r="S493" s="354"/>
      <c r="T493" s="354"/>
      <c r="U493" s="354"/>
      <c r="V493" s="354"/>
      <c r="W493" s="354"/>
      <c r="X493" s="354"/>
      <c r="Y493" s="354"/>
      <c r="Z493" s="354"/>
      <c r="AA493" s="354"/>
      <c r="AB493" s="354"/>
      <c r="AC493" s="354"/>
      <c r="AD493" s="357"/>
      <c r="AE493" s="357"/>
      <c r="AF493" s="357"/>
      <c r="AG493" s="357"/>
      <c r="AH493" s="357"/>
    </row>
    <row r="494" spans="1:34" ht="31.5">
      <c r="A494" s="356" t="s">
        <v>29</v>
      </c>
      <c r="B494" s="346" t="s">
        <v>1076</v>
      </c>
      <c r="C494" s="356"/>
      <c r="D494" s="356"/>
      <c r="E494" s="378"/>
      <c r="F494" s="378">
        <v>140</v>
      </c>
      <c r="G494" s="118">
        <v>68976</v>
      </c>
      <c r="H494" s="118"/>
      <c r="I494" s="118">
        <f>G494-K494</f>
        <v>55976</v>
      </c>
      <c r="J494" s="118"/>
      <c r="K494" s="118">
        <v>13000</v>
      </c>
      <c r="L494" s="118"/>
      <c r="M494" s="118"/>
      <c r="N494" s="118"/>
      <c r="O494" s="118"/>
      <c r="P494" s="118">
        <v>11000</v>
      </c>
      <c r="Q494" s="118"/>
      <c r="R494" s="118">
        <f>P494-S494</f>
        <v>4500</v>
      </c>
      <c r="S494" s="118">
        <v>6500</v>
      </c>
      <c r="T494" s="118">
        <v>6500</v>
      </c>
      <c r="U494" s="118"/>
      <c r="V494" s="118"/>
      <c r="W494" s="118"/>
      <c r="X494" s="118">
        <v>6500</v>
      </c>
      <c r="Y494" s="118">
        <v>0</v>
      </c>
      <c r="Z494" s="118"/>
      <c r="AA494" s="118"/>
      <c r="AB494" s="118"/>
      <c r="AC494" s="118">
        <v>0</v>
      </c>
      <c r="AD494" s="357">
        <f t="shared" si="30"/>
        <v>0</v>
      </c>
      <c r="AE494" s="357"/>
      <c r="AF494" s="357"/>
      <c r="AG494" s="357"/>
      <c r="AH494" s="357">
        <f>AC494/X494</f>
        <v>0</v>
      </c>
    </row>
    <row r="495" spans="1:34" s="355" customFormat="1" ht="31.5">
      <c r="A495" s="343">
        <v>78</v>
      </c>
      <c r="B495" s="344" t="s">
        <v>214</v>
      </c>
      <c r="C495" s="343"/>
      <c r="D495" s="343"/>
      <c r="E495" s="366"/>
      <c r="F495" s="366"/>
      <c r="G495" s="354"/>
      <c r="H495" s="354"/>
      <c r="I495" s="354"/>
      <c r="J495" s="354"/>
      <c r="K495" s="354"/>
      <c r="L495" s="354"/>
      <c r="M495" s="354"/>
      <c r="N495" s="354"/>
      <c r="O495" s="354"/>
      <c r="P495" s="354"/>
      <c r="Q495" s="354"/>
      <c r="R495" s="354"/>
      <c r="S495" s="354"/>
      <c r="T495" s="354"/>
      <c r="U495" s="354"/>
      <c r="V495" s="354"/>
      <c r="W495" s="354"/>
      <c r="X495" s="354"/>
      <c r="Y495" s="354"/>
      <c r="Z495" s="354"/>
      <c r="AA495" s="354"/>
      <c r="AB495" s="354"/>
      <c r="AC495" s="354"/>
      <c r="AD495" s="357"/>
      <c r="AE495" s="357"/>
      <c r="AF495" s="357"/>
      <c r="AG495" s="357"/>
      <c r="AH495" s="357"/>
    </row>
    <row r="496" spans="1:34" ht="63">
      <c r="A496" s="362" t="s">
        <v>29</v>
      </c>
      <c r="B496" s="348" t="s">
        <v>1077</v>
      </c>
      <c r="C496" s="362" t="s">
        <v>225</v>
      </c>
      <c r="D496" s="362"/>
      <c r="E496" s="380" t="s">
        <v>230</v>
      </c>
      <c r="F496" s="380" t="s">
        <v>1078</v>
      </c>
      <c r="G496" s="363">
        <v>1831</v>
      </c>
      <c r="H496" s="363"/>
      <c r="I496" s="363"/>
      <c r="J496" s="363"/>
      <c r="K496" s="363">
        <v>1831</v>
      </c>
      <c r="L496" s="363">
        <v>63</v>
      </c>
      <c r="M496" s="363"/>
      <c r="N496" s="363"/>
      <c r="O496" s="363">
        <v>63</v>
      </c>
      <c r="P496" s="363">
        <v>600</v>
      </c>
      <c r="Q496" s="363"/>
      <c r="R496" s="363"/>
      <c r="S496" s="363">
        <v>600</v>
      </c>
      <c r="T496" s="363">
        <v>600</v>
      </c>
      <c r="U496" s="363"/>
      <c r="V496" s="363"/>
      <c r="W496" s="363"/>
      <c r="X496" s="363">
        <v>600</v>
      </c>
      <c r="Y496" s="363">
        <v>57.417999999999999</v>
      </c>
      <c r="Z496" s="363"/>
      <c r="AA496" s="363"/>
      <c r="AB496" s="363"/>
      <c r="AC496" s="363">
        <v>57.417999999999999</v>
      </c>
      <c r="AD496" s="364">
        <f t="shared" si="30"/>
        <v>9.5696666666666666E-2</v>
      </c>
      <c r="AE496" s="364"/>
      <c r="AF496" s="364"/>
      <c r="AG496" s="364"/>
      <c r="AH496" s="364">
        <f>AC496/X496</f>
        <v>9.5696666666666666E-2</v>
      </c>
    </row>
    <row r="497" spans="5:34" s="349" customFormat="1" ht="36" customHeight="1">
      <c r="E497" s="381"/>
      <c r="F497" s="381"/>
      <c r="G497" s="365"/>
      <c r="H497" s="365"/>
      <c r="I497" s="365"/>
      <c r="J497" s="365"/>
      <c r="K497" s="365"/>
      <c r="L497" s="365"/>
      <c r="M497" s="365"/>
      <c r="N497" s="365"/>
      <c r="O497" s="365"/>
      <c r="P497" s="365"/>
      <c r="Q497" s="365"/>
      <c r="R497" s="365"/>
      <c r="S497" s="365"/>
      <c r="T497" s="365"/>
      <c r="U497" s="365"/>
      <c r="V497" s="365"/>
      <c r="W497" s="365"/>
      <c r="X497" s="365"/>
      <c r="Y497" s="365"/>
      <c r="Z497" s="365"/>
      <c r="AA497" s="365"/>
      <c r="AB497" s="365"/>
      <c r="AC497" s="365"/>
      <c r="AD497" s="338"/>
      <c r="AE497" s="338"/>
      <c r="AF497" s="338"/>
      <c r="AG497" s="338"/>
      <c r="AH497" s="338"/>
    </row>
  </sheetData>
  <mergeCells count="33">
    <mergeCell ref="AD7:AH8"/>
    <mergeCell ref="F8:F10"/>
    <mergeCell ref="G8:K8"/>
    <mergeCell ref="G9:G10"/>
    <mergeCell ref="H9:K9"/>
    <mergeCell ref="L9:L10"/>
    <mergeCell ref="M9:O9"/>
    <mergeCell ref="AD9:AD10"/>
    <mergeCell ref="AE9:AH9"/>
    <mergeCell ref="P9:P10"/>
    <mergeCell ref="Q9:S9"/>
    <mergeCell ref="T9:T10"/>
    <mergeCell ref="U9:X9"/>
    <mergeCell ref="Y9:Y10"/>
    <mergeCell ref="Z9:AC9"/>
    <mergeCell ref="F7:K7"/>
    <mergeCell ref="L7:O8"/>
    <mergeCell ref="P7:S8"/>
    <mergeCell ref="T7:X8"/>
    <mergeCell ref="Y7:AC8"/>
    <mergeCell ref="A7:A10"/>
    <mergeCell ref="B7:B10"/>
    <mergeCell ref="C7:C10"/>
    <mergeCell ref="D7:D10"/>
    <mergeCell ref="E7:E10"/>
    <mergeCell ref="AD1:AG1"/>
    <mergeCell ref="AD2:AG3"/>
    <mergeCell ref="V6:X6"/>
    <mergeCell ref="Q6:S6"/>
    <mergeCell ref="AF6:AH6"/>
    <mergeCell ref="Q2:S3"/>
    <mergeCell ref="Q1:S1"/>
    <mergeCell ref="A4:AH4"/>
  </mergeCells>
  <printOptions horizontalCentered="1"/>
  <pageMargins left="0.2" right="0" top="1.08" bottom="0.34" header="0.31496062992126" footer="0.31496062992126"/>
  <pageSetup paperSize="9" scale="70" orientation="landscape" r:id="rId1"/>
  <headerFooter>
    <oddFooter>&amp;C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30"/>
  <sheetViews>
    <sheetView workbookViewId="0">
      <pane xSplit="1" ySplit="9" topLeftCell="B10" activePane="bottomRight" state="frozen"/>
      <selection pane="topRight" activeCell="B1" sqref="B1"/>
      <selection pane="bottomLeft" activeCell="A10" sqref="A10"/>
      <selection pane="bottomRight" activeCell="E12" sqref="E12"/>
    </sheetView>
  </sheetViews>
  <sheetFormatPr defaultColWidth="9.140625" defaultRowHeight="15"/>
  <cols>
    <col min="1" max="1" width="4.85546875" style="97" customWidth="1"/>
    <col min="2" max="2" width="34.140625" style="97" customWidth="1"/>
    <col min="3" max="3" width="17.5703125" style="97" customWidth="1"/>
    <col min="4" max="4" width="13.85546875" style="97" customWidth="1"/>
    <col min="5" max="5" width="13" style="97" customWidth="1"/>
    <col min="6" max="6" width="14.140625" style="97" customWidth="1"/>
    <col min="7" max="7" width="10" style="97" customWidth="1"/>
    <col min="8" max="8" width="12.42578125" style="97" customWidth="1"/>
    <col min="9" max="9" width="11.42578125" style="97" customWidth="1"/>
    <col min="10" max="10" width="13.85546875" style="97" customWidth="1"/>
    <col min="11" max="11" width="13.28515625" style="97" customWidth="1"/>
    <col min="12" max="12" width="13" style="97" customWidth="1"/>
    <col min="13" max="13" width="10.85546875" style="97" customWidth="1"/>
    <col min="14" max="16384" width="9.140625" style="97"/>
  </cols>
  <sheetData>
    <row r="1" spans="1:14" ht="15.75">
      <c r="A1" s="254"/>
      <c r="H1" s="487" t="s">
        <v>85</v>
      </c>
      <c r="I1" s="487"/>
      <c r="J1" s="487"/>
    </row>
    <row r="2" spans="1:14" ht="15" customHeight="1">
      <c r="H2" s="486" t="s">
        <v>116</v>
      </c>
      <c r="I2" s="486"/>
      <c r="J2" s="486"/>
    </row>
    <row r="3" spans="1:14" ht="15.75" customHeight="1">
      <c r="H3" s="486"/>
      <c r="I3" s="486"/>
      <c r="J3" s="486"/>
    </row>
    <row r="4" spans="1:14" ht="15.75" customHeight="1">
      <c r="A4" s="488" t="s">
        <v>1232</v>
      </c>
      <c r="B4" s="488"/>
      <c r="C4" s="488"/>
      <c r="D4" s="488"/>
      <c r="E4" s="488"/>
      <c r="F4" s="488"/>
      <c r="G4" s="488"/>
      <c r="H4" s="488"/>
      <c r="I4" s="488"/>
      <c r="J4" s="488"/>
    </row>
    <row r="5" spans="1:14" ht="12.75" customHeight="1">
      <c r="A5" s="488"/>
      <c r="B5" s="488"/>
      <c r="C5" s="488"/>
      <c r="D5" s="488"/>
      <c r="E5" s="488"/>
      <c r="F5" s="488"/>
      <c r="G5" s="488"/>
      <c r="H5" s="488"/>
      <c r="I5" s="488"/>
      <c r="J5" s="255"/>
    </row>
    <row r="6" spans="1:14" ht="15.75">
      <c r="H6" s="491" t="s">
        <v>1231</v>
      </c>
      <c r="I6" s="491"/>
      <c r="J6" s="491"/>
    </row>
    <row r="7" spans="1:14" ht="15.75">
      <c r="A7" s="489" t="s">
        <v>1</v>
      </c>
      <c r="B7" s="489" t="s">
        <v>71</v>
      </c>
      <c r="C7" s="489" t="s">
        <v>86</v>
      </c>
      <c r="D7" s="490" t="s">
        <v>22</v>
      </c>
      <c r="E7" s="490"/>
      <c r="F7" s="490"/>
      <c r="G7" s="490"/>
      <c r="H7" s="490"/>
      <c r="I7" s="490"/>
      <c r="J7" s="490"/>
      <c r="K7" s="256"/>
    </row>
    <row r="8" spans="1:14" ht="78.75">
      <c r="A8" s="489"/>
      <c r="B8" s="489"/>
      <c r="C8" s="489"/>
      <c r="D8" s="252" t="s">
        <v>87</v>
      </c>
      <c r="E8" s="257" t="s">
        <v>88</v>
      </c>
      <c r="F8" s="252" t="s">
        <v>1429</v>
      </c>
      <c r="G8" s="252" t="s">
        <v>89</v>
      </c>
      <c r="H8" s="252" t="s">
        <v>36</v>
      </c>
      <c r="I8" s="252" t="s">
        <v>90</v>
      </c>
      <c r="J8" s="252" t="s">
        <v>1436</v>
      </c>
      <c r="K8" s="258"/>
    </row>
    <row r="9" spans="1:14" ht="15.75">
      <c r="A9" s="252" t="s">
        <v>3</v>
      </c>
      <c r="B9" s="252" t="s">
        <v>4</v>
      </c>
      <c r="C9" s="252" t="s">
        <v>1437</v>
      </c>
      <c r="D9" s="252">
        <v>2</v>
      </c>
      <c r="E9" s="252">
        <v>3</v>
      </c>
      <c r="F9" s="252">
        <v>4</v>
      </c>
      <c r="G9" s="252">
        <v>5</v>
      </c>
      <c r="H9" s="252">
        <v>6</v>
      </c>
      <c r="I9" s="252">
        <v>7</v>
      </c>
      <c r="J9" s="252">
        <v>8</v>
      </c>
    </row>
    <row r="10" spans="1:14" s="264" customFormat="1" ht="20.25" customHeight="1">
      <c r="A10" s="259"/>
      <c r="B10" s="259" t="s">
        <v>72</v>
      </c>
      <c r="C10" s="260" t="e">
        <f>SUM(C11:C28)</f>
        <v>#REF!</v>
      </c>
      <c r="D10" s="261">
        <f t="shared" ref="D10:I10" si="0">SUM(D11:D28)</f>
        <v>4162690.7319999998</v>
      </c>
      <c r="E10" s="261">
        <f t="shared" si="0"/>
        <v>2775849</v>
      </c>
      <c r="F10" s="261" t="e">
        <f>SUM(F11:F28)</f>
        <v>#REF!</v>
      </c>
      <c r="G10" s="261">
        <f t="shared" si="0"/>
        <v>0</v>
      </c>
      <c r="H10" s="261">
        <f t="shared" si="0"/>
        <v>2292056.3566779997</v>
      </c>
      <c r="I10" s="261">
        <f t="shared" si="0"/>
        <v>1084612.2354879999</v>
      </c>
      <c r="J10" s="261">
        <f>SUM(J11:J28)</f>
        <v>17947</v>
      </c>
      <c r="K10" s="258" t="e">
        <f>+C10-'[3]60'!$D$7</f>
        <v>#REF!</v>
      </c>
      <c r="L10" s="262"/>
      <c r="M10" s="263"/>
      <c r="N10" s="262"/>
    </row>
    <row r="11" spans="1:14" ht="15.75">
      <c r="A11" s="93">
        <v>1</v>
      </c>
      <c r="B11" s="265" t="s">
        <v>1213</v>
      </c>
      <c r="C11" s="266" t="e">
        <f>SUM(D11:J11)</f>
        <v>#REF!</v>
      </c>
      <c r="D11" s="95">
        <v>610547.30000000005</v>
      </c>
      <c r="E11" s="95">
        <v>0</v>
      </c>
      <c r="F11" s="95" t="e">
        <f>+#REF!+#REF!</f>
        <v>#REF!</v>
      </c>
      <c r="G11" s="95">
        <v>0</v>
      </c>
      <c r="H11" s="95">
        <v>283887.2</v>
      </c>
      <c r="I11" s="95">
        <v>9960.2000000000007</v>
      </c>
      <c r="J11" s="266">
        <v>487</v>
      </c>
      <c r="K11" s="258"/>
      <c r="L11" s="262"/>
    </row>
    <row r="12" spans="1:14" ht="15.75">
      <c r="A12" s="93">
        <v>2</v>
      </c>
      <c r="B12" s="265" t="s">
        <v>1214</v>
      </c>
      <c r="C12" s="266" t="e">
        <f t="shared" ref="C12:C28" si="1">SUM(D12:J12)</f>
        <v>#REF!</v>
      </c>
      <c r="D12" s="95">
        <v>823851.3</v>
      </c>
      <c r="E12" s="95">
        <v>0</v>
      </c>
      <c r="F12" s="95" t="e">
        <f>+#REF!+#REF!</f>
        <v>#REF!</v>
      </c>
      <c r="G12" s="95">
        <v>0</v>
      </c>
      <c r="H12" s="95">
        <v>190119</v>
      </c>
      <c r="I12" s="95">
        <v>21230.2</v>
      </c>
      <c r="J12" s="266">
        <v>30</v>
      </c>
      <c r="K12" s="258"/>
      <c r="L12" s="262"/>
    </row>
    <row r="13" spans="1:14" ht="15.75">
      <c r="A13" s="93">
        <v>3</v>
      </c>
      <c r="B13" s="265" t="s">
        <v>1215</v>
      </c>
      <c r="C13" s="266" t="e">
        <f t="shared" si="1"/>
        <v>#REF!</v>
      </c>
      <c r="D13" s="95">
        <v>785979</v>
      </c>
      <c r="E13" s="95">
        <v>0</v>
      </c>
      <c r="F13" s="95" t="e">
        <f>+#REF!+#REF!</f>
        <v>#REF!</v>
      </c>
      <c r="G13" s="95">
        <v>0</v>
      </c>
      <c r="H13" s="95">
        <v>273810.460678</v>
      </c>
      <c r="I13" s="95">
        <v>48328.296487999993</v>
      </c>
      <c r="J13" s="266">
        <v>2566</v>
      </c>
      <c r="K13" s="258"/>
      <c r="L13" s="262"/>
    </row>
    <row r="14" spans="1:14" ht="15.75">
      <c r="A14" s="93">
        <v>4</v>
      </c>
      <c r="B14" s="265" t="s">
        <v>1216</v>
      </c>
      <c r="C14" s="266" t="e">
        <f t="shared" si="1"/>
        <v>#REF!</v>
      </c>
      <c r="D14" s="95">
        <v>143136.83199999999</v>
      </c>
      <c r="E14" s="95">
        <v>361974</v>
      </c>
      <c r="F14" s="95" t="e">
        <f>+#REF!+#REF!</f>
        <v>#REF!</v>
      </c>
      <c r="G14" s="95">
        <v>0</v>
      </c>
      <c r="H14" s="95">
        <v>93808.296000000002</v>
      </c>
      <c r="I14" s="95">
        <v>22846.339</v>
      </c>
      <c r="J14" s="266">
        <v>180</v>
      </c>
      <c r="K14" s="258"/>
      <c r="L14" s="262"/>
    </row>
    <row r="15" spans="1:14" ht="15.75">
      <c r="A15" s="93">
        <v>5</v>
      </c>
      <c r="B15" s="265" t="s">
        <v>1217</v>
      </c>
      <c r="C15" s="266" t="e">
        <f t="shared" si="1"/>
        <v>#REF!</v>
      </c>
      <c r="D15" s="95">
        <v>187605.3</v>
      </c>
      <c r="E15" s="95">
        <v>268335</v>
      </c>
      <c r="F15" s="95" t="e">
        <f>+#REF!+#REF!</f>
        <v>#REF!</v>
      </c>
      <c r="G15" s="95">
        <v>0</v>
      </c>
      <c r="H15" s="95">
        <v>70773.2</v>
      </c>
      <c r="I15" s="95">
        <v>32634.2</v>
      </c>
      <c r="J15" s="266">
        <v>389</v>
      </c>
      <c r="K15" s="258"/>
      <c r="L15" s="262"/>
    </row>
    <row r="16" spans="1:14" ht="15.75">
      <c r="A16" s="93">
        <v>6</v>
      </c>
      <c r="B16" s="265" t="s">
        <v>1218</v>
      </c>
      <c r="C16" s="266" t="e">
        <f t="shared" si="1"/>
        <v>#REF!</v>
      </c>
      <c r="D16" s="95">
        <v>150232</v>
      </c>
      <c r="E16" s="95">
        <v>421208</v>
      </c>
      <c r="F16" s="95" t="e">
        <f>+#REF!+#REF!</f>
        <v>#REF!</v>
      </c>
      <c r="G16" s="95">
        <v>0</v>
      </c>
      <c r="H16" s="95">
        <v>69637.2</v>
      </c>
      <c r="I16" s="95">
        <v>13581</v>
      </c>
      <c r="J16" s="266">
        <v>0</v>
      </c>
      <c r="K16" s="258"/>
      <c r="L16" s="262"/>
    </row>
    <row r="17" spans="1:12" ht="15.75">
      <c r="A17" s="93">
        <v>7</v>
      </c>
      <c r="B17" s="265" t="s">
        <v>1219</v>
      </c>
      <c r="C17" s="266" t="e">
        <f t="shared" si="1"/>
        <v>#REF!</v>
      </c>
      <c r="D17" s="95">
        <v>73730</v>
      </c>
      <c r="E17" s="95">
        <v>200991</v>
      </c>
      <c r="F17" s="95" t="e">
        <f>+#REF!+#REF!</f>
        <v>#REF!</v>
      </c>
      <c r="G17" s="95">
        <v>0</v>
      </c>
      <c r="H17" s="95">
        <v>107605</v>
      </c>
      <c r="I17" s="95">
        <v>6290</v>
      </c>
      <c r="J17" s="266">
        <v>745</v>
      </c>
      <c r="K17" s="258"/>
      <c r="L17" s="262"/>
    </row>
    <row r="18" spans="1:12" ht="15.75">
      <c r="A18" s="93">
        <v>8</v>
      </c>
      <c r="B18" s="265" t="s">
        <v>1220</v>
      </c>
      <c r="C18" s="266" t="e">
        <f t="shared" si="1"/>
        <v>#REF!</v>
      </c>
      <c r="D18" s="95">
        <v>428930</v>
      </c>
      <c r="E18" s="95">
        <v>0</v>
      </c>
      <c r="F18" s="95" t="e">
        <f>+#REF!+#REF!</f>
        <v>#REF!</v>
      </c>
      <c r="G18" s="95">
        <v>0</v>
      </c>
      <c r="H18" s="95">
        <v>483122</v>
      </c>
      <c r="I18" s="95">
        <v>839616</v>
      </c>
      <c r="J18" s="266">
        <v>7339</v>
      </c>
      <c r="K18" s="258"/>
      <c r="L18" s="262"/>
    </row>
    <row r="19" spans="1:12" ht="15.75">
      <c r="A19" s="93">
        <v>9</v>
      </c>
      <c r="B19" s="265" t="s">
        <v>1221</v>
      </c>
      <c r="C19" s="266" t="e">
        <f t="shared" si="1"/>
        <v>#REF!</v>
      </c>
      <c r="D19" s="95">
        <v>85858</v>
      </c>
      <c r="E19" s="234">
        <v>254882</v>
      </c>
      <c r="F19" s="95" t="e">
        <f>+#REF!+#REF!</f>
        <v>#REF!</v>
      </c>
      <c r="G19" s="95">
        <v>0</v>
      </c>
      <c r="H19" s="95">
        <v>47389</v>
      </c>
      <c r="I19" s="95">
        <v>16561</v>
      </c>
      <c r="J19" s="266">
        <v>296</v>
      </c>
      <c r="K19" s="258"/>
      <c r="L19" s="262"/>
    </row>
    <row r="20" spans="1:12" ht="15.75">
      <c r="A20" s="93">
        <v>10</v>
      </c>
      <c r="B20" s="265" t="s">
        <v>1222</v>
      </c>
      <c r="C20" s="266" t="e">
        <f t="shared" si="1"/>
        <v>#REF!</v>
      </c>
      <c r="D20" s="95">
        <v>58361</v>
      </c>
      <c r="E20" s="234">
        <v>117551</v>
      </c>
      <c r="F20" s="95" t="e">
        <f>+#REF!+#REF!</f>
        <v>#REF!</v>
      </c>
      <c r="G20" s="95">
        <v>0</v>
      </c>
      <c r="H20" s="95">
        <v>46122</v>
      </c>
      <c r="I20" s="95">
        <v>7567</v>
      </c>
      <c r="J20" s="266">
        <v>0</v>
      </c>
      <c r="K20" s="258"/>
      <c r="L20" s="262"/>
    </row>
    <row r="21" spans="1:12" ht="15.75">
      <c r="A21" s="93">
        <v>11</v>
      </c>
      <c r="B21" s="265" t="s">
        <v>1223</v>
      </c>
      <c r="C21" s="266" t="e">
        <f t="shared" si="1"/>
        <v>#REF!</v>
      </c>
      <c r="D21" s="95">
        <f>29314+5400</f>
        <v>34714</v>
      </c>
      <c r="E21" s="95">
        <v>269168</v>
      </c>
      <c r="F21" s="95" t="e">
        <f>+#REF!+#REF!</f>
        <v>#REF!</v>
      </c>
      <c r="G21" s="95">
        <v>0</v>
      </c>
      <c r="H21" s="95">
        <v>104607</v>
      </c>
      <c r="I21" s="95">
        <v>735</v>
      </c>
      <c r="J21" s="266">
        <v>1836</v>
      </c>
      <c r="K21" s="258"/>
      <c r="L21" s="262"/>
    </row>
    <row r="22" spans="1:12" ht="15.75">
      <c r="A22" s="93">
        <v>12</v>
      </c>
      <c r="B22" s="265" t="s">
        <v>1224</v>
      </c>
      <c r="C22" s="266" t="e">
        <f t="shared" si="1"/>
        <v>#REF!</v>
      </c>
      <c r="D22" s="95">
        <v>204110</v>
      </c>
      <c r="E22" s="95">
        <v>69286</v>
      </c>
      <c r="F22" s="95" t="e">
        <f>+#REF!+#REF!</f>
        <v>#REF!</v>
      </c>
      <c r="G22" s="95">
        <v>0</v>
      </c>
      <c r="H22" s="95">
        <v>108222</v>
      </c>
      <c r="I22" s="95">
        <v>33282</v>
      </c>
      <c r="J22" s="266">
        <v>599</v>
      </c>
      <c r="K22" s="258"/>
      <c r="L22" s="262"/>
    </row>
    <row r="23" spans="1:12" ht="15.75">
      <c r="A23" s="93">
        <v>13</v>
      </c>
      <c r="B23" s="265" t="s">
        <v>1225</v>
      </c>
      <c r="C23" s="266" t="e">
        <f t="shared" si="1"/>
        <v>#REF!</v>
      </c>
      <c r="D23" s="95">
        <v>25133</v>
      </c>
      <c r="E23" s="95">
        <v>192027</v>
      </c>
      <c r="F23" s="95" t="e">
        <f>+#REF!+#REF!</f>
        <v>#REF!</v>
      </c>
      <c r="G23" s="95">
        <v>0</v>
      </c>
      <c r="H23" s="95">
        <v>49951</v>
      </c>
      <c r="I23" s="95">
        <v>2098</v>
      </c>
      <c r="J23" s="266">
        <v>3</v>
      </c>
      <c r="K23" s="258"/>
      <c r="L23" s="262"/>
    </row>
    <row r="24" spans="1:12" ht="15.75">
      <c r="A24" s="93">
        <v>14</v>
      </c>
      <c r="B24" s="265" t="s">
        <v>1226</v>
      </c>
      <c r="C24" s="266" t="e">
        <f t="shared" si="1"/>
        <v>#REF!</v>
      </c>
      <c r="D24" s="95">
        <v>216891</v>
      </c>
      <c r="E24" s="95">
        <v>11112</v>
      </c>
      <c r="F24" s="95" t="e">
        <f>+#REF!+#REF!</f>
        <v>#REF!</v>
      </c>
      <c r="G24" s="95">
        <v>0</v>
      </c>
      <c r="H24" s="95">
        <v>36967</v>
      </c>
      <c r="I24" s="95">
        <v>5504</v>
      </c>
      <c r="J24" s="266">
        <v>0</v>
      </c>
      <c r="K24" s="258"/>
      <c r="L24" s="262"/>
    </row>
    <row r="25" spans="1:12" ht="15.75">
      <c r="A25" s="93">
        <v>15</v>
      </c>
      <c r="B25" s="265" t="s">
        <v>1227</v>
      </c>
      <c r="C25" s="266" t="e">
        <f t="shared" si="1"/>
        <v>#REF!</v>
      </c>
      <c r="D25" s="95">
        <v>166937</v>
      </c>
      <c r="E25" s="95">
        <v>77223</v>
      </c>
      <c r="F25" s="95" t="e">
        <f>+#REF!+#REF!</f>
        <v>#REF!</v>
      </c>
      <c r="G25" s="95">
        <v>0</v>
      </c>
      <c r="H25" s="95">
        <v>81605</v>
      </c>
      <c r="I25" s="95">
        <v>684</v>
      </c>
      <c r="J25" s="266">
        <v>112</v>
      </c>
      <c r="K25" s="258"/>
      <c r="L25" s="262"/>
    </row>
    <row r="26" spans="1:12" ht="15.75">
      <c r="A26" s="93">
        <v>16</v>
      </c>
      <c r="B26" s="265" t="s">
        <v>1228</v>
      </c>
      <c r="C26" s="266" t="e">
        <f>SUM(D26:J26)</f>
        <v>#REF!</v>
      </c>
      <c r="D26" s="95">
        <v>15162</v>
      </c>
      <c r="E26" s="234">
        <v>202001</v>
      </c>
      <c r="F26" s="95" t="e">
        <f>+#REF!+#REF!</f>
        <v>#REF!</v>
      </c>
      <c r="G26" s="95">
        <v>0</v>
      </c>
      <c r="H26" s="95">
        <v>33276</v>
      </c>
      <c r="I26" s="95">
        <v>10784</v>
      </c>
      <c r="J26" s="266">
        <v>963</v>
      </c>
      <c r="K26" s="258"/>
      <c r="L26" s="262"/>
    </row>
    <row r="27" spans="1:12" ht="15.75">
      <c r="A27" s="93">
        <v>17</v>
      </c>
      <c r="B27" s="265" t="s">
        <v>1229</v>
      </c>
      <c r="C27" s="266" t="e">
        <f t="shared" si="1"/>
        <v>#REF!</v>
      </c>
      <c r="D27" s="95">
        <v>113761</v>
      </c>
      <c r="E27" s="95">
        <v>168984</v>
      </c>
      <c r="F27" s="95" t="e">
        <f>+#REF!+#REF!</f>
        <v>#REF!</v>
      </c>
      <c r="G27" s="95">
        <v>0</v>
      </c>
      <c r="H27" s="95">
        <v>97809</v>
      </c>
      <c r="I27" s="95">
        <v>10430</v>
      </c>
      <c r="J27" s="266">
        <v>2238</v>
      </c>
      <c r="K27" s="258"/>
      <c r="L27" s="262"/>
    </row>
    <row r="28" spans="1:12" ht="15.75">
      <c r="A28" s="267">
        <v>18</v>
      </c>
      <c r="B28" s="268" t="s">
        <v>1230</v>
      </c>
      <c r="C28" s="269" t="e">
        <f t="shared" si="1"/>
        <v>#REF!</v>
      </c>
      <c r="D28" s="270">
        <v>37752</v>
      </c>
      <c r="E28" s="270">
        <v>161107</v>
      </c>
      <c r="F28" s="270" t="e">
        <f>+#REF!+#REF!</f>
        <v>#REF!</v>
      </c>
      <c r="G28" s="270">
        <v>0</v>
      </c>
      <c r="H28" s="270">
        <v>113346</v>
      </c>
      <c r="I28" s="270">
        <v>2481</v>
      </c>
      <c r="J28" s="269">
        <v>164</v>
      </c>
      <c r="K28" s="258"/>
      <c r="L28" s="262"/>
    </row>
    <row r="30" spans="1:12">
      <c r="B30" s="254"/>
      <c r="C30" s="254"/>
      <c r="D30" s="254"/>
      <c r="E30" s="254"/>
      <c r="F30" s="254"/>
      <c r="G30" s="271"/>
      <c r="H30" s="271"/>
      <c r="I30" s="254"/>
      <c r="J30" s="254"/>
    </row>
  </sheetData>
  <mergeCells count="9">
    <mergeCell ref="H2:J3"/>
    <mergeCell ref="H1:J1"/>
    <mergeCell ref="A4:J4"/>
    <mergeCell ref="A5:I5"/>
    <mergeCell ref="A7:A8"/>
    <mergeCell ref="B7:B8"/>
    <mergeCell ref="C7:C8"/>
    <mergeCell ref="D7:J7"/>
    <mergeCell ref="H6:J6"/>
  </mergeCells>
  <pageMargins left="0.75" right="0.2" top="0.7" bottom="0.75" header="0.3" footer="0.3"/>
  <pageSetup paperSize="9" scale="90" orientation="landscape" verticalDpi="0" r:id="rId1"/>
  <headerFooter>
    <oddFooter>&amp;C&amp;P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O94"/>
  <sheetViews>
    <sheetView topLeftCell="A7" workbookViewId="0">
      <pane xSplit="2" ySplit="3" topLeftCell="C10" activePane="bottomRight" state="frozen"/>
      <selection activeCell="A7" sqref="A7"/>
      <selection pane="topRight" activeCell="C7" sqref="C7"/>
      <selection pane="bottomLeft" activeCell="A10" sqref="A10"/>
      <selection pane="bottomRight" activeCell="B11" sqref="B11"/>
    </sheetView>
  </sheetViews>
  <sheetFormatPr defaultRowHeight="15"/>
  <cols>
    <col min="1" max="1" width="6.7109375" style="392" customWidth="1"/>
    <col min="2" max="2" width="17.28515625" style="393" customWidth="1"/>
    <col min="3" max="3" width="12.5703125" style="30" customWidth="1"/>
    <col min="4" max="4" width="11.85546875" style="30" customWidth="1"/>
    <col min="5" max="5" width="11.7109375" style="30" customWidth="1"/>
    <col min="6" max="6" width="11.28515625" style="30" customWidth="1"/>
    <col min="7" max="7" width="12" style="30" customWidth="1"/>
    <col min="8" max="8" width="11.5703125" style="30" customWidth="1"/>
    <col min="9" max="9" width="12.42578125" style="30" customWidth="1"/>
    <col min="10" max="10" width="9.42578125" style="30" customWidth="1"/>
    <col min="11" max="11" width="13" style="30" bestFit="1" customWidth="1"/>
    <col min="12" max="12" width="11.7109375" style="30" bestFit="1" customWidth="1"/>
    <col min="13" max="13" width="14.5703125" style="30" bestFit="1" customWidth="1"/>
    <col min="14" max="14" width="16.28515625" style="30" bestFit="1" customWidth="1"/>
    <col min="15" max="15" width="9.42578125" style="30" bestFit="1" customWidth="1"/>
    <col min="16" max="16384" width="9.140625" style="30"/>
  </cols>
  <sheetData>
    <row r="1" spans="1:15" ht="15" customHeight="1">
      <c r="H1" s="498" t="s">
        <v>78</v>
      </c>
      <c r="I1" s="498"/>
      <c r="J1" s="498"/>
    </row>
    <row r="2" spans="1:15" ht="15" customHeight="1">
      <c r="H2" s="507" t="s">
        <v>116</v>
      </c>
      <c r="I2" s="507"/>
      <c r="J2" s="507"/>
    </row>
    <row r="3" spans="1:15" ht="15" customHeight="1">
      <c r="H3" s="507"/>
      <c r="I3" s="507"/>
      <c r="J3" s="507"/>
    </row>
    <row r="4" spans="1:15" ht="37.5" customHeight="1">
      <c r="A4" s="488" t="s">
        <v>1419</v>
      </c>
      <c r="B4" s="488"/>
      <c r="C4" s="488"/>
      <c r="D4" s="488"/>
      <c r="E4" s="488"/>
      <c r="F4" s="488"/>
      <c r="G4" s="488"/>
      <c r="H4" s="488"/>
      <c r="I4" s="488"/>
      <c r="J4" s="488"/>
    </row>
    <row r="5" spans="1:15" ht="15.75">
      <c r="A5" s="488"/>
      <c r="B5" s="488"/>
      <c r="C5" s="488"/>
      <c r="D5" s="488"/>
      <c r="E5" s="488"/>
      <c r="F5" s="488"/>
      <c r="G5" s="488"/>
      <c r="H5" s="488"/>
      <c r="I5" s="488"/>
      <c r="J5" s="488"/>
    </row>
    <row r="6" spans="1:15">
      <c r="D6" s="394"/>
      <c r="E6" s="395"/>
      <c r="G6" s="396"/>
      <c r="J6" s="397" t="s">
        <v>24</v>
      </c>
    </row>
    <row r="7" spans="1:15" ht="15.75" customHeight="1">
      <c r="A7" s="505" t="s">
        <v>1</v>
      </c>
      <c r="B7" s="505" t="s">
        <v>71</v>
      </c>
      <c r="C7" s="505" t="s">
        <v>79</v>
      </c>
      <c r="D7" s="501" t="s">
        <v>70</v>
      </c>
      <c r="E7" s="501"/>
      <c r="F7" s="502"/>
      <c r="G7" s="505" t="s">
        <v>80</v>
      </c>
      <c r="H7" s="505" t="s">
        <v>81</v>
      </c>
      <c r="I7" s="506" t="s">
        <v>22</v>
      </c>
      <c r="J7" s="506"/>
      <c r="K7" s="30" t="s">
        <v>1163</v>
      </c>
      <c r="M7" s="30" t="s">
        <v>1164</v>
      </c>
    </row>
    <row r="8" spans="1:15" ht="15" customHeight="1">
      <c r="A8" s="505"/>
      <c r="B8" s="505"/>
      <c r="C8" s="505"/>
      <c r="D8" s="503"/>
      <c r="E8" s="503"/>
      <c r="F8" s="504"/>
      <c r="G8" s="505"/>
      <c r="H8" s="505"/>
      <c r="I8" s="499" t="s">
        <v>82</v>
      </c>
      <c r="J8" s="499" t="s">
        <v>83</v>
      </c>
      <c r="K8" s="394">
        <f>2449274-65000</f>
        <v>2384274</v>
      </c>
      <c r="L8" s="395" t="e">
        <f>+K8-#REF!</f>
        <v>#REF!</v>
      </c>
      <c r="M8" s="394">
        <f>+'56_NĐ31'!D7</f>
        <v>2713620.6496049995</v>
      </c>
      <c r="N8" s="398">
        <f>+M8-G11</f>
        <v>0</v>
      </c>
    </row>
    <row r="9" spans="1:15" ht="118.5" customHeight="1">
      <c r="A9" s="505"/>
      <c r="B9" s="505"/>
      <c r="C9" s="505"/>
      <c r="D9" s="32" t="s">
        <v>135</v>
      </c>
      <c r="E9" s="399" t="s">
        <v>1450</v>
      </c>
      <c r="F9" s="399" t="s">
        <v>1158</v>
      </c>
      <c r="G9" s="505"/>
      <c r="H9" s="505"/>
      <c r="I9" s="500"/>
      <c r="J9" s="500"/>
      <c r="K9" s="394"/>
    </row>
    <row r="10" spans="1:15">
      <c r="A10" s="399" t="s">
        <v>3</v>
      </c>
      <c r="B10" s="399" t="s">
        <v>4</v>
      </c>
      <c r="C10" s="399" t="s">
        <v>23</v>
      </c>
      <c r="D10" s="399">
        <v>2</v>
      </c>
      <c r="E10" s="399">
        <v>3</v>
      </c>
      <c r="F10" s="399">
        <v>4</v>
      </c>
      <c r="G10" s="399">
        <v>5</v>
      </c>
      <c r="H10" s="400" t="s">
        <v>136</v>
      </c>
      <c r="I10" s="399">
        <v>7</v>
      </c>
      <c r="J10" s="399">
        <v>8</v>
      </c>
      <c r="K10" s="30" t="s">
        <v>1159</v>
      </c>
      <c r="L10" s="30" t="s">
        <v>1160</v>
      </c>
      <c r="M10" s="30" t="s">
        <v>1161</v>
      </c>
      <c r="N10" s="395">
        <f>+C11-'56_NĐ31'!C12</f>
        <v>0</v>
      </c>
    </row>
    <row r="11" spans="1:15" s="406" customFormat="1" ht="20.25" customHeight="1">
      <c r="A11" s="401"/>
      <c r="B11" s="402" t="s">
        <v>72</v>
      </c>
      <c r="C11" s="403">
        <f>SUM(C12:C91)</f>
        <v>2931711.7644649995</v>
      </c>
      <c r="D11" s="403">
        <f t="shared" ref="D11:J11" si="0">SUM(D12:D91)</f>
        <v>2384274</v>
      </c>
      <c r="E11" s="403">
        <f t="shared" si="0"/>
        <v>592811.6425379999</v>
      </c>
      <c r="F11" s="403">
        <f t="shared" si="0"/>
        <v>-45373.878072999993</v>
      </c>
      <c r="G11" s="403">
        <f t="shared" si="0"/>
        <v>2713620.649604999</v>
      </c>
      <c r="H11" s="403">
        <f t="shared" si="0"/>
        <v>218091.11486000006</v>
      </c>
      <c r="I11" s="403">
        <f t="shared" si="0"/>
        <v>124836.03477299999</v>
      </c>
      <c r="J11" s="403">
        <f t="shared" si="0"/>
        <v>93138.114264999982</v>
      </c>
      <c r="K11" s="404">
        <v>82739.442320999995</v>
      </c>
      <c r="L11" s="404">
        <f>+I52+I50</f>
        <v>11483.264107000006</v>
      </c>
      <c r="M11" s="404">
        <v>30613.25</v>
      </c>
      <c r="N11" s="404">
        <f>+M11+L11+K11</f>
        <v>124835.956428</v>
      </c>
      <c r="O11" s="405">
        <f>+N11-I11</f>
        <v>-7.8344999987166375E-2</v>
      </c>
    </row>
    <row r="12" spans="1:15" ht="39.75" customHeight="1">
      <c r="A12" s="33">
        <v>1</v>
      </c>
      <c r="B12" s="34" t="s">
        <v>1082</v>
      </c>
      <c r="C12" s="31">
        <f t="shared" ref="C12:C44" si="1">+D12+E12+F12</f>
        <v>15661.589295</v>
      </c>
      <c r="D12" s="27">
        <v>15218</v>
      </c>
      <c r="E12" s="27">
        <v>443.58929499999999</v>
      </c>
      <c r="F12" s="27">
        <v>0</v>
      </c>
      <c r="G12" s="27">
        <v>13773.810066</v>
      </c>
      <c r="H12" s="36">
        <f t="shared" ref="H12:H44" si="2">C12-G12</f>
        <v>1887.7792289999998</v>
      </c>
      <c r="I12" s="27">
        <v>0</v>
      </c>
      <c r="J12" s="27">
        <v>1887.779229</v>
      </c>
      <c r="K12" s="394">
        <f>77809.72661+14799.9071</f>
        <v>92609.633709999995</v>
      </c>
      <c r="L12" s="394">
        <f>16331.018809-15803</f>
        <v>528.01880899999924</v>
      </c>
      <c r="M12" s="394"/>
      <c r="N12" s="394">
        <f>+M12+L12+K12</f>
        <v>93137.652518999996</v>
      </c>
      <c r="O12" s="395">
        <f>+N12-J11</f>
        <v>-0.46174599998630583</v>
      </c>
    </row>
    <row r="13" spans="1:15" ht="42" customHeight="1">
      <c r="A13" s="33">
        <v>2</v>
      </c>
      <c r="B13" s="34" t="s">
        <v>1083</v>
      </c>
      <c r="C13" s="31">
        <f t="shared" si="1"/>
        <v>25249.592000000001</v>
      </c>
      <c r="D13" s="27">
        <v>23248</v>
      </c>
      <c r="E13" s="27">
        <v>2001.5920000000001</v>
      </c>
      <c r="F13" s="27">
        <v>0</v>
      </c>
      <c r="G13" s="27">
        <v>25187.002</v>
      </c>
      <c r="H13" s="36">
        <f t="shared" si="2"/>
        <v>62.590000000000146</v>
      </c>
      <c r="I13" s="27">
        <v>62.59</v>
      </c>
      <c r="J13" s="27">
        <v>0</v>
      </c>
    </row>
    <row r="14" spans="1:15" ht="45">
      <c r="A14" s="33">
        <v>3</v>
      </c>
      <c r="B14" s="35" t="s">
        <v>1428</v>
      </c>
      <c r="C14" s="31">
        <f t="shared" si="1"/>
        <v>201356.28813</v>
      </c>
      <c r="D14" s="27">
        <v>174889</v>
      </c>
      <c r="E14" s="27">
        <v>26509.288130000001</v>
      </c>
      <c r="F14" s="27">
        <v>-42</v>
      </c>
      <c r="G14" s="27">
        <v>181315.675189</v>
      </c>
      <c r="H14" s="36">
        <f t="shared" si="2"/>
        <v>20040.612940999999</v>
      </c>
      <c r="I14" s="27">
        <v>4626.6662299999998</v>
      </c>
      <c r="J14" s="27">
        <v>15413.892711</v>
      </c>
      <c r="K14" s="394">
        <v>201356.23413</v>
      </c>
    </row>
    <row r="15" spans="1:15" ht="51.75" customHeight="1">
      <c r="A15" s="33">
        <v>4</v>
      </c>
      <c r="B15" s="34" t="s">
        <v>1421</v>
      </c>
      <c r="C15" s="31">
        <f t="shared" si="1"/>
        <v>146673.304684</v>
      </c>
      <c r="D15" s="27">
        <v>84089</v>
      </c>
      <c r="E15" s="27">
        <f>74218.742481-9963.837797</f>
        <v>64254.904683999994</v>
      </c>
      <c r="F15" s="27">
        <v>-1670.6</v>
      </c>
      <c r="G15" s="27">
        <f>128097.724331</f>
        <v>128097.724331</v>
      </c>
      <c r="H15" s="36">
        <f t="shared" si="2"/>
        <v>18575.580352999998</v>
      </c>
      <c r="I15" s="27">
        <v>8752.3090859999993</v>
      </c>
      <c r="J15" s="27">
        <v>9823.2712670000001</v>
      </c>
      <c r="K15" s="395">
        <f>+C14-K14</f>
        <v>5.400000000372529E-2</v>
      </c>
    </row>
    <row r="16" spans="1:15" ht="43.5" customHeight="1">
      <c r="A16" s="33">
        <v>5</v>
      </c>
      <c r="B16" s="35" t="s">
        <v>169</v>
      </c>
      <c r="C16" s="31">
        <f t="shared" si="1"/>
        <v>11363.598669999999</v>
      </c>
      <c r="D16" s="27">
        <v>9871</v>
      </c>
      <c r="E16" s="27">
        <v>1492.5986700000001</v>
      </c>
      <c r="F16" s="27">
        <v>0</v>
      </c>
      <c r="G16" s="27">
        <v>10994.800300000001</v>
      </c>
      <c r="H16" s="36">
        <f t="shared" si="2"/>
        <v>368.79836999999861</v>
      </c>
      <c r="I16" s="27">
        <v>4.95</v>
      </c>
      <c r="J16" s="27">
        <v>363.84836999999999</v>
      </c>
    </row>
    <row r="17" spans="1:12" ht="33.75" customHeight="1">
      <c r="A17" s="33">
        <v>6</v>
      </c>
      <c r="B17" s="35" t="s">
        <v>1084</v>
      </c>
      <c r="C17" s="31">
        <f t="shared" si="1"/>
        <v>8921.0370000000003</v>
      </c>
      <c r="D17" s="27">
        <v>7402</v>
      </c>
      <c r="E17" s="27">
        <v>1556.037</v>
      </c>
      <c r="F17" s="27">
        <v>-37</v>
      </c>
      <c r="G17" s="27">
        <v>8635.82</v>
      </c>
      <c r="H17" s="36">
        <f t="shared" si="2"/>
        <v>285.21700000000055</v>
      </c>
      <c r="I17" s="27">
        <v>285.21699999999998</v>
      </c>
      <c r="J17" s="27">
        <v>0</v>
      </c>
    </row>
    <row r="18" spans="1:12" ht="39" customHeight="1">
      <c r="A18" s="33">
        <v>7</v>
      </c>
      <c r="B18" s="34" t="s">
        <v>196</v>
      </c>
      <c r="C18" s="31">
        <f t="shared" si="1"/>
        <v>76073.928339000006</v>
      </c>
      <c r="D18" s="27">
        <v>58183</v>
      </c>
      <c r="E18" s="27">
        <v>18827.383054999998</v>
      </c>
      <c r="F18" s="27">
        <v>-936.45471599999996</v>
      </c>
      <c r="G18" s="27">
        <v>48971.364552999999</v>
      </c>
      <c r="H18" s="36">
        <f t="shared" si="2"/>
        <v>27102.563786000006</v>
      </c>
      <c r="I18" s="27">
        <v>797.85193500000003</v>
      </c>
      <c r="J18" s="27">
        <v>26304.711851</v>
      </c>
      <c r="K18" s="30">
        <v>76073.928339000006</v>
      </c>
    </row>
    <row r="19" spans="1:12" ht="32.25" customHeight="1">
      <c r="A19" s="33">
        <v>8</v>
      </c>
      <c r="B19" s="35" t="s">
        <v>1399</v>
      </c>
      <c r="C19" s="31">
        <f t="shared" si="1"/>
        <v>549946.03736800002</v>
      </c>
      <c r="D19" s="27">
        <v>499406</v>
      </c>
      <c r="E19" s="27">
        <v>51079.959367999996</v>
      </c>
      <c r="F19" s="27">
        <v>-539.92200000000003</v>
      </c>
      <c r="G19" s="27">
        <v>504309.691552</v>
      </c>
      <c r="H19" s="36">
        <f t="shared" si="2"/>
        <v>45636.345816000015</v>
      </c>
      <c r="I19" s="27">
        <f>35826.113595+8</f>
        <v>35834.113595000003</v>
      </c>
      <c r="J19" s="27">
        <f>9810.232221-8</f>
        <v>9802.2322210000002</v>
      </c>
      <c r="K19" s="395">
        <v>543261.58051500004</v>
      </c>
      <c r="L19" s="395">
        <f>+K19-C19</f>
        <v>-6684.4568529999815</v>
      </c>
    </row>
    <row r="20" spans="1:12" ht="32.25" customHeight="1">
      <c r="A20" s="33">
        <v>9</v>
      </c>
      <c r="B20" s="35" t="s">
        <v>1085</v>
      </c>
      <c r="C20" s="31">
        <f t="shared" si="1"/>
        <v>13202.941999999999</v>
      </c>
      <c r="D20" s="27">
        <v>10834</v>
      </c>
      <c r="E20" s="27">
        <v>2368.942</v>
      </c>
      <c r="F20" s="27">
        <v>0</v>
      </c>
      <c r="G20" s="27">
        <v>13059.3385</v>
      </c>
      <c r="H20" s="36">
        <f t="shared" si="2"/>
        <v>143.60349999999926</v>
      </c>
      <c r="I20" s="27">
        <v>19.222000000000001</v>
      </c>
      <c r="J20" s="27">
        <v>124.3815</v>
      </c>
    </row>
    <row r="21" spans="1:12" ht="43.5" customHeight="1">
      <c r="A21" s="33">
        <v>10</v>
      </c>
      <c r="B21" s="34" t="s">
        <v>1236</v>
      </c>
      <c r="C21" s="31">
        <f t="shared" si="1"/>
        <v>28391.949000000001</v>
      </c>
      <c r="D21" s="27">
        <v>16318</v>
      </c>
      <c r="E21" s="27">
        <v>12073.949000000001</v>
      </c>
      <c r="F21" s="27">
        <v>0</v>
      </c>
      <c r="G21" s="27">
        <v>26015.182000000001</v>
      </c>
      <c r="H21" s="36">
        <f t="shared" si="2"/>
        <v>2376.7669999999998</v>
      </c>
      <c r="I21" s="27">
        <v>2000.6389999999999</v>
      </c>
      <c r="J21" s="27">
        <v>376.12799999999999</v>
      </c>
    </row>
    <row r="22" spans="1:12" ht="43.5" customHeight="1">
      <c r="A22" s="33">
        <v>11</v>
      </c>
      <c r="B22" s="113" t="s">
        <v>1162</v>
      </c>
      <c r="C22" s="31">
        <f t="shared" si="1"/>
        <v>489760.994504</v>
      </c>
      <c r="D22" s="27">
        <v>481320</v>
      </c>
      <c r="E22" s="27">
        <v>15140.444882999996</v>
      </c>
      <c r="F22" s="27">
        <v>-6699.4503789999999</v>
      </c>
      <c r="G22" s="27">
        <v>474564.24919</v>
      </c>
      <c r="H22" s="36">
        <f t="shared" si="2"/>
        <v>15196.745314</v>
      </c>
      <c r="I22" s="27">
        <v>1695.5323089999999</v>
      </c>
      <c r="J22" s="27">
        <v>13501.213005</v>
      </c>
      <c r="K22" s="30">
        <v>489760.994504</v>
      </c>
      <c r="L22" s="395">
        <f>+K22-C22</f>
        <v>0</v>
      </c>
    </row>
    <row r="23" spans="1:12" ht="43.5" customHeight="1">
      <c r="A23" s="33">
        <v>12</v>
      </c>
      <c r="B23" s="34" t="s">
        <v>194</v>
      </c>
      <c r="C23" s="31">
        <f t="shared" si="1"/>
        <v>35451.427196000004</v>
      </c>
      <c r="D23" s="27">
        <v>22709</v>
      </c>
      <c r="E23" s="27">
        <v>12742.427196000001</v>
      </c>
      <c r="F23" s="27">
        <v>0</v>
      </c>
      <c r="G23" s="27">
        <f>+'56_NĐ31'!D24</f>
        <v>31177.859401000002</v>
      </c>
      <c r="H23" s="36">
        <f t="shared" si="2"/>
        <v>4273.5677950000027</v>
      </c>
      <c r="I23" s="27">
        <v>120.9015</v>
      </c>
      <c r="J23" s="27">
        <v>3935.236895</v>
      </c>
    </row>
    <row r="24" spans="1:12" ht="43.5" customHeight="1">
      <c r="A24" s="33">
        <v>13</v>
      </c>
      <c r="B24" s="34" t="s">
        <v>1422</v>
      </c>
      <c r="C24" s="31">
        <f t="shared" si="1"/>
        <v>70012.466354999997</v>
      </c>
      <c r="D24" s="27">
        <v>40249</v>
      </c>
      <c r="E24" s="27">
        <v>30710.974354999998</v>
      </c>
      <c r="F24" s="27">
        <v>-947.50800000000004</v>
      </c>
      <c r="G24" s="27">
        <v>28653.601500000001</v>
      </c>
      <c r="H24" s="36">
        <f t="shared" si="2"/>
        <v>41358.864854999993</v>
      </c>
      <c r="I24" s="27">
        <v>40667.873599999999</v>
      </c>
      <c r="J24" s="27">
        <v>690.99125500000002</v>
      </c>
      <c r="K24" s="30">
        <v>70012.466354999997</v>
      </c>
      <c r="L24" s="395">
        <f>+K24-C24</f>
        <v>0</v>
      </c>
    </row>
    <row r="25" spans="1:12" ht="28.5" customHeight="1">
      <c r="A25" s="33">
        <v>14</v>
      </c>
      <c r="B25" s="35" t="s">
        <v>187</v>
      </c>
      <c r="C25" s="31">
        <f t="shared" si="1"/>
        <v>39411.186070999996</v>
      </c>
      <c r="D25" s="27">
        <v>33618</v>
      </c>
      <c r="E25" s="27">
        <v>5830.717071</v>
      </c>
      <c r="F25" s="27">
        <v>-37.530999999999999</v>
      </c>
      <c r="G25" s="27">
        <v>37118.4205</v>
      </c>
      <c r="H25" s="36">
        <f t="shared" si="2"/>
        <v>2292.7655709999963</v>
      </c>
      <c r="I25" s="27">
        <v>1679.4</v>
      </c>
      <c r="J25" s="27">
        <v>613.36557100000005</v>
      </c>
    </row>
    <row r="26" spans="1:12" ht="28.5" customHeight="1">
      <c r="A26" s="33">
        <v>15</v>
      </c>
      <c r="B26" s="35" t="s">
        <v>1087</v>
      </c>
      <c r="C26" s="31">
        <f t="shared" si="1"/>
        <v>14345.927915999999</v>
      </c>
      <c r="D26" s="27">
        <v>12196</v>
      </c>
      <c r="E26" s="27">
        <v>2457.2106659999999</v>
      </c>
      <c r="F26" s="27">
        <v>-307.28275000000002</v>
      </c>
      <c r="G26" s="27">
        <v>14158.790182999999</v>
      </c>
      <c r="H26" s="36">
        <f t="shared" si="2"/>
        <v>187.13773299999957</v>
      </c>
      <c r="I26" s="27">
        <v>11.318398</v>
      </c>
      <c r="J26" s="27">
        <v>175.819335</v>
      </c>
    </row>
    <row r="27" spans="1:12" ht="30">
      <c r="A27" s="33">
        <v>16</v>
      </c>
      <c r="B27" s="35" t="s">
        <v>1388</v>
      </c>
      <c r="C27" s="31">
        <f t="shared" si="1"/>
        <v>109023.03316799999</v>
      </c>
      <c r="D27" s="27">
        <v>82990</v>
      </c>
      <c r="E27" s="27">
        <v>27373.544168</v>
      </c>
      <c r="F27" s="27">
        <v>-1340.511</v>
      </c>
      <c r="G27" s="27">
        <v>105912.108532</v>
      </c>
      <c r="H27" s="36">
        <f t="shared" si="2"/>
        <v>3110.9246359999961</v>
      </c>
      <c r="I27" s="27">
        <v>1662.5430550000001</v>
      </c>
      <c r="J27" s="27">
        <v>1448.3815810000001</v>
      </c>
      <c r="K27" s="30">
        <v>109023.03316799999</v>
      </c>
      <c r="L27" s="395">
        <f>+K27-C27</f>
        <v>0</v>
      </c>
    </row>
    <row r="28" spans="1:12" s="254" customFormat="1" ht="44.25" customHeight="1">
      <c r="A28" s="33">
        <v>17</v>
      </c>
      <c r="B28" s="35" t="s">
        <v>190</v>
      </c>
      <c r="C28" s="31">
        <f t="shared" si="1"/>
        <v>10092.682784000001</v>
      </c>
      <c r="D28" s="27">
        <v>10297</v>
      </c>
      <c r="E28" s="27">
        <v>1495.6827840000001</v>
      </c>
      <c r="F28" s="27">
        <v>-1700</v>
      </c>
      <c r="G28" s="27">
        <v>9758.1426690000008</v>
      </c>
      <c r="H28" s="36">
        <f t="shared" si="2"/>
        <v>334.54011499999979</v>
      </c>
      <c r="I28" s="27">
        <v>53.912982999999997</v>
      </c>
      <c r="J28" s="27">
        <v>280.62713200000002</v>
      </c>
      <c r="K28" s="254">
        <v>10092.682784000001</v>
      </c>
      <c r="L28" s="395">
        <f>+K28-C28</f>
        <v>0</v>
      </c>
    </row>
    <row r="29" spans="1:12" ht="29.25" customHeight="1">
      <c r="A29" s="33">
        <v>18</v>
      </c>
      <c r="B29" s="35" t="s">
        <v>1088</v>
      </c>
      <c r="C29" s="31">
        <f t="shared" si="1"/>
        <v>12449.380999999999</v>
      </c>
      <c r="D29" s="27">
        <v>11522</v>
      </c>
      <c r="E29" s="27">
        <v>1018.381</v>
      </c>
      <c r="F29" s="27">
        <v>-91</v>
      </c>
      <c r="G29" s="27">
        <v>12101.836600000001</v>
      </c>
      <c r="H29" s="36">
        <f t="shared" si="2"/>
        <v>347.54439999999886</v>
      </c>
      <c r="I29" s="27">
        <v>0</v>
      </c>
      <c r="J29" s="27">
        <v>347.5444</v>
      </c>
    </row>
    <row r="30" spans="1:12" ht="29.25" customHeight="1">
      <c r="A30" s="33">
        <v>19</v>
      </c>
      <c r="B30" s="35" t="s">
        <v>1089</v>
      </c>
      <c r="C30" s="31">
        <f t="shared" si="1"/>
        <v>9946.2360000000008</v>
      </c>
      <c r="D30" s="27">
        <v>6712</v>
      </c>
      <c r="E30" s="27">
        <v>3234.2359999999999</v>
      </c>
      <c r="F30" s="27">
        <v>0</v>
      </c>
      <c r="G30" s="27">
        <v>9687.5565000000006</v>
      </c>
      <c r="H30" s="36">
        <f t="shared" si="2"/>
        <v>258.67950000000019</v>
      </c>
      <c r="I30" s="27">
        <v>0</v>
      </c>
      <c r="J30" s="27">
        <v>258.67950000000002</v>
      </c>
    </row>
    <row r="31" spans="1:12" ht="29.25" customHeight="1">
      <c r="A31" s="33">
        <v>20</v>
      </c>
      <c r="B31" s="35" t="s">
        <v>1090</v>
      </c>
      <c r="C31" s="31">
        <f t="shared" si="1"/>
        <v>15352.4162</v>
      </c>
      <c r="D31" s="27">
        <v>6316</v>
      </c>
      <c r="E31" s="27">
        <v>9036.4161999999997</v>
      </c>
      <c r="F31" s="27">
        <v>0</v>
      </c>
      <c r="G31" s="27">
        <v>13481.905661000001</v>
      </c>
      <c r="H31" s="36">
        <f t="shared" si="2"/>
        <v>1870.510538999999</v>
      </c>
      <c r="I31" s="27">
        <v>1182.8230530000001</v>
      </c>
      <c r="J31" s="27">
        <v>687.68748600000004</v>
      </c>
    </row>
    <row r="32" spans="1:12" ht="29.25" customHeight="1">
      <c r="A32" s="33">
        <v>21</v>
      </c>
      <c r="B32" s="35" t="s">
        <v>1091</v>
      </c>
      <c r="C32" s="31">
        <f t="shared" si="1"/>
        <v>6315</v>
      </c>
      <c r="D32" s="27">
        <v>6359</v>
      </c>
      <c r="E32" s="27">
        <v>132</v>
      </c>
      <c r="F32" s="27">
        <f>-192+16</f>
        <v>-176</v>
      </c>
      <c r="G32" s="27">
        <v>6271.1949999999997</v>
      </c>
      <c r="H32" s="36">
        <f t="shared" si="2"/>
        <v>43.805000000000291</v>
      </c>
      <c r="I32" s="27">
        <v>27.805</v>
      </c>
      <c r="J32" s="27">
        <v>16</v>
      </c>
      <c r="K32" s="30">
        <v>27.805</v>
      </c>
    </row>
    <row r="33" spans="1:12" ht="44.25" customHeight="1">
      <c r="A33" s="33">
        <v>22</v>
      </c>
      <c r="B33" s="35" t="s">
        <v>1423</v>
      </c>
      <c r="C33" s="31">
        <f t="shared" si="1"/>
        <v>32691.144200000002</v>
      </c>
      <c r="D33" s="27">
        <v>9071</v>
      </c>
      <c r="E33" s="27">
        <f>464.9+23155.2442</f>
        <v>23620.144200000002</v>
      </c>
      <c r="F33" s="27">
        <v>0</v>
      </c>
      <c r="G33" s="27">
        <f>9119.758009+23155.2442</f>
        <v>32275.002208999998</v>
      </c>
      <c r="H33" s="36">
        <f t="shared" si="2"/>
        <v>416.14199100000405</v>
      </c>
      <c r="I33" s="27">
        <v>5.9649999999999999</v>
      </c>
      <c r="J33" s="27">
        <v>410.17699099999999</v>
      </c>
    </row>
    <row r="34" spans="1:12" ht="44.25" customHeight="1">
      <c r="A34" s="33">
        <v>23</v>
      </c>
      <c r="B34" s="34" t="s">
        <v>197</v>
      </c>
      <c r="C34" s="31">
        <f t="shared" si="1"/>
        <v>15150.824400000001</v>
      </c>
      <c r="D34" s="27">
        <v>9912</v>
      </c>
      <c r="E34" s="27">
        <v>5238.8244000000004</v>
      </c>
      <c r="F34" s="27">
        <v>0</v>
      </c>
      <c r="G34" s="27">
        <v>13101.103993999999</v>
      </c>
      <c r="H34" s="36">
        <f t="shared" si="2"/>
        <v>2049.7204060000022</v>
      </c>
      <c r="I34" s="27">
        <v>983.33820600000001</v>
      </c>
      <c r="J34" s="27">
        <v>1066.3822</v>
      </c>
    </row>
    <row r="35" spans="1:12" ht="44.25" customHeight="1">
      <c r="A35" s="33">
        <v>24</v>
      </c>
      <c r="B35" s="35" t="s">
        <v>1093</v>
      </c>
      <c r="C35" s="31">
        <f t="shared" si="1"/>
        <v>4418</v>
      </c>
      <c r="D35" s="27">
        <v>4264</v>
      </c>
      <c r="E35" s="27">
        <v>154</v>
      </c>
      <c r="F35" s="27">
        <v>0</v>
      </c>
      <c r="G35" s="27">
        <v>4401.1684999999998</v>
      </c>
      <c r="H35" s="36">
        <f t="shared" si="2"/>
        <v>16.831500000000233</v>
      </c>
      <c r="I35" s="27">
        <v>16.594000000000001</v>
      </c>
      <c r="J35" s="27">
        <v>0.23749999999999999</v>
      </c>
    </row>
    <row r="36" spans="1:12" ht="45">
      <c r="A36" s="33">
        <v>25</v>
      </c>
      <c r="B36" s="35" t="s">
        <v>1424</v>
      </c>
      <c r="C36" s="31">
        <f t="shared" si="1"/>
        <v>1287.754799</v>
      </c>
      <c r="D36" s="27">
        <v>2712</v>
      </c>
      <c r="E36" s="27">
        <v>0.9</v>
      </c>
      <c r="F36" s="27">
        <v>-1425.145201</v>
      </c>
      <c r="G36" s="27">
        <v>1287.754799</v>
      </c>
      <c r="H36" s="36">
        <f t="shared" si="2"/>
        <v>0</v>
      </c>
      <c r="I36" s="27">
        <v>0</v>
      </c>
      <c r="J36" s="27">
        <v>0</v>
      </c>
    </row>
    <row r="37" spans="1:12">
      <c r="A37" s="33">
        <v>26</v>
      </c>
      <c r="B37" s="35" t="s">
        <v>139</v>
      </c>
      <c r="C37" s="31">
        <f t="shared" si="1"/>
        <v>7470.3613559999994</v>
      </c>
      <c r="D37" s="27">
        <v>5422</v>
      </c>
      <c r="E37" s="27">
        <v>2048.3613559999999</v>
      </c>
      <c r="F37" s="27">
        <v>0</v>
      </c>
      <c r="G37" s="27">
        <v>7194.2118280000004</v>
      </c>
      <c r="H37" s="36">
        <f t="shared" si="2"/>
        <v>276.14952799999901</v>
      </c>
      <c r="I37" s="27">
        <v>10.991</v>
      </c>
      <c r="J37" s="27">
        <v>265.15852799999999</v>
      </c>
    </row>
    <row r="38" spans="1:12" ht="30">
      <c r="A38" s="33">
        <v>27</v>
      </c>
      <c r="B38" s="35" t="s">
        <v>1405</v>
      </c>
      <c r="C38" s="31">
        <f t="shared" si="1"/>
        <v>2433.9057789999997</v>
      </c>
      <c r="D38" s="27">
        <v>6174</v>
      </c>
      <c r="E38" s="27">
        <v>54.384723999999999</v>
      </c>
      <c r="F38" s="27">
        <v>-3794.4789449999998</v>
      </c>
      <c r="G38" s="27">
        <v>2433.9057790000002</v>
      </c>
      <c r="H38" s="36">
        <f t="shared" si="2"/>
        <v>0</v>
      </c>
      <c r="I38" s="27">
        <v>15.6</v>
      </c>
      <c r="J38" s="27"/>
    </row>
    <row r="39" spans="1:12">
      <c r="A39" s="33">
        <v>28</v>
      </c>
      <c r="B39" s="35" t="s">
        <v>1094</v>
      </c>
      <c r="C39" s="31">
        <f t="shared" si="1"/>
        <v>3048.6149999999998</v>
      </c>
      <c r="D39" s="27">
        <v>2824</v>
      </c>
      <c r="E39" s="27">
        <v>224.61500000000001</v>
      </c>
      <c r="F39" s="27">
        <v>0</v>
      </c>
      <c r="G39" s="27">
        <v>3048.6149999999998</v>
      </c>
      <c r="H39" s="36">
        <f t="shared" si="2"/>
        <v>0</v>
      </c>
      <c r="I39" s="27">
        <v>0</v>
      </c>
      <c r="J39" s="27">
        <v>0</v>
      </c>
    </row>
    <row r="40" spans="1:12" ht="39.75" customHeight="1">
      <c r="A40" s="33">
        <v>29</v>
      </c>
      <c r="B40" s="26" t="s">
        <v>134</v>
      </c>
      <c r="C40" s="31">
        <f>+D40+E40+F40</f>
        <v>720</v>
      </c>
      <c r="D40" s="39">
        <v>670</v>
      </c>
      <c r="E40" s="27">
        <v>50</v>
      </c>
      <c r="F40" s="39"/>
      <c r="G40" s="27">
        <v>720</v>
      </c>
      <c r="H40" s="36">
        <f>C40-G40</f>
        <v>0</v>
      </c>
      <c r="I40" s="39"/>
      <c r="J40" s="31">
        <f>H40-I40</f>
        <v>0</v>
      </c>
    </row>
    <row r="41" spans="1:12" ht="51" customHeight="1">
      <c r="A41" s="33">
        <v>30</v>
      </c>
      <c r="B41" s="237" t="s">
        <v>1416</v>
      </c>
      <c r="C41" s="31">
        <f t="shared" si="1"/>
        <v>2067.5357819999999</v>
      </c>
      <c r="D41" s="27">
        <v>998</v>
      </c>
      <c r="E41" s="27">
        <f>136+933.535782</f>
        <v>1069.5357819999999</v>
      </c>
      <c r="F41" s="27">
        <v>0</v>
      </c>
      <c r="G41" s="27">
        <f>1132.407+933.535782</f>
        <v>2065.9427820000001</v>
      </c>
      <c r="H41" s="36">
        <f t="shared" si="2"/>
        <v>1.5929999999998472</v>
      </c>
      <c r="I41" s="27">
        <v>1.593</v>
      </c>
      <c r="J41" s="27">
        <v>0</v>
      </c>
    </row>
    <row r="42" spans="1:12" ht="48" customHeight="1">
      <c r="A42" s="33">
        <v>31</v>
      </c>
      <c r="B42" s="34" t="s">
        <v>1389</v>
      </c>
      <c r="C42" s="31">
        <f t="shared" si="1"/>
        <v>37153.824999999997</v>
      </c>
      <c r="D42" s="27">
        <v>35400</v>
      </c>
      <c r="E42" s="27">
        <v>1753.825</v>
      </c>
      <c r="F42" s="27">
        <v>0</v>
      </c>
      <c r="G42" s="27">
        <v>36668.370000000003</v>
      </c>
      <c r="H42" s="36">
        <f t="shared" si="2"/>
        <v>485.45499999999447</v>
      </c>
      <c r="I42" s="27">
        <v>485.45499999999998</v>
      </c>
      <c r="J42" s="27">
        <v>0</v>
      </c>
    </row>
    <row r="43" spans="1:12" ht="48" customHeight="1">
      <c r="A43" s="33">
        <v>32</v>
      </c>
      <c r="B43" s="34" t="s">
        <v>1407</v>
      </c>
      <c r="C43" s="31">
        <f t="shared" si="1"/>
        <v>20758.669000000002</v>
      </c>
      <c r="D43" s="27">
        <v>19840</v>
      </c>
      <c r="E43" s="27">
        <v>918.66899999999998</v>
      </c>
      <c r="F43" s="27">
        <v>0</v>
      </c>
      <c r="G43" s="27">
        <v>20664.582999999999</v>
      </c>
      <c r="H43" s="36">
        <f t="shared" si="2"/>
        <v>94.086000000002969</v>
      </c>
      <c r="I43" s="27">
        <v>0</v>
      </c>
      <c r="J43" s="27">
        <v>94.085999999999999</v>
      </c>
    </row>
    <row r="44" spans="1:12" ht="35.25" customHeight="1">
      <c r="A44" s="33">
        <v>33</v>
      </c>
      <c r="B44" s="34" t="s">
        <v>1425</v>
      </c>
      <c r="C44" s="31">
        <f t="shared" si="1"/>
        <v>18414.414402999999</v>
      </c>
      <c r="D44" s="27">
        <v>15913</v>
      </c>
      <c r="E44" s="27">
        <v>2501.4144030000002</v>
      </c>
      <c r="F44" s="27">
        <v>0</v>
      </c>
      <c r="G44" s="27">
        <v>15719.760738000001</v>
      </c>
      <c r="H44" s="36">
        <f t="shared" si="2"/>
        <v>2694.653664999998</v>
      </c>
      <c r="I44" s="27">
        <v>410.41648500000002</v>
      </c>
      <c r="J44" s="27">
        <v>2284.2371800000001</v>
      </c>
    </row>
    <row r="45" spans="1:12" ht="25.5" customHeight="1">
      <c r="A45" s="33">
        <v>34</v>
      </c>
      <c r="B45" s="35" t="s">
        <v>1095</v>
      </c>
      <c r="C45" s="31">
        <f t="shared" ref="C45:C83" si="3">+D45+E45+F45</f>
        <v>11921.777122</v>
      </c>
      <c r="D45" s="27">
        <v>10181</v>
      </c>
      <c r="E45" s="27">
        <v>1740.777122</v>
      </c>
      <c r="F45" s="27">
        <v>0</v>
      </c>
      <c r="G45" s="27">
        <v>11435.8995</v>
      </c>
      <c r="H45" s="36">
        <f t="shared" ref="H45:H83" si="4">C45-G45</f>
        <v>485.87762199999997</v>
      </c>
      <c r="I45" s="27">
        <v>62.823622</v>
      </c>
      <c r="J45" s="27">
        <v>423.05399999999997</v>
      </c>
    </row>
    <row r="46" spans="1:12" ht="39" customHeight="1">
      <c r="A46" s="33">
        <v>35</v>
      </c>
      <c r="B46" s="34" t="s">
        <v>1408</v>
      </c>
      <c r="C46" s="31">
        <f t="shared" si="3"/>
        <v>22010.057785999998</v>
      </c>
      <c r="D46" s="27">
        <v>16846</v>
      </c>
      <c r="E46" s="27">
        <v>8976.4497859999992</v>
      </c>
      <c r="F46" s="27">
        <f>-3812.392</f>
        <v>-3812.3919999999998</v>
      </c>
      <c r="G46" s="27">
        <v>9566.8692769999998</v>
      </c>
      <c r="H46" s="36">
        <f t="shared" si="4"/>
        <v>12443.188508999998</v>
      </c>
      <c r="I46" s="27">
        <v>11570.120309</v>
      </c>
      <c r="J46" s="27">
        <f>873.0682</f>
        <v>873.06820000000005</v>
      </c>
      <c r="K46" s="395">
        <f>+J46+I46</f>
        <v>12443.188509</v>
      </c>
      <c r="L46" s="395">
        <f>+H46-K46</f>
        <v>0</v>
      </c>
    </row>
    <row r="47" spans="1:12" ht="59.25" customHeight="1">
      <c r="A47" s="33">
        <v>36</v>
      </c>
      <c r="B47" s="234" t="s">
        <v>1409</v>
      </c>
      <c r="C47" s="31">
        <f t="shared" si="3"/>
        <v>2515.1023840000003</v>
      </c>
      <c r="D47" s="27">
        <v>6389</v>
      </c>
      <c r="E47" s="27">
        <v>10.661592000000001</v>
      </c>
      <c r="F47" s="27">
        <v>-3884.5592080000001</v>
      </c>
      <c r="G47" s="27">
        <v>2515.1023839999998</v>
      </c>
      <c r="H47" s="36">
        <f t="shared" si="4"/>
        <v>0</v>
      </c>
      <c r="I47" s="27">
        <v>0</v>
      </c>
      <c r="J47" s="27">
        <v>0</v>
      </c>
    </row>
    <row r="48" spans="1:12" ht="63">
      <c r="A48" s="33">
        <v>37</v>
      </c>
      <c r="B48" s="234" t="s">
        <v>1410</v>
      </c>
      <c r="C48" s="31">
        <f t="shared" si="3"/>
        <v>22641.356</v>
      </c>
      <c r="D48" s="27">
        <v>6344</v>
      </c>
      <c r="E48" s="27">
        <v>16379.356</v>
      </c>
      <c r="F48" s="27">
        <v>-82</v>
      </c>
      <c r="G48" s="27">
        <v>22641.356</v>
      </c>
      <c r="H48" s="36">
        <f t="shared" si="4"/>
        <v>0</v>
      </c>
      <c r="I48" s="27">
        <v>0</v>
      </c>
      <c r="J48" s="27">
        <v>0</v>
      </c>
    </row>
    <row r="49" spans="1:10" ht="39.75" customHeight="1">
      <c r="A49" s="33">
        <v>38</v>
      </c>
      <c r="B49" s="234" t="s">
        <v>1390</v>
      </c>
      <c r="C49" s="31">
        <f t="shared" si="3"/>
        <v>18524.599999999999</v>
      </c>
      <c r="D49" s="27">
        <v>16310</v>
      </c>
      <c r="E49" s="27">
        <v>2214.6</v>
      </c>
      <c r="F49" s="27">
        <v>0</v>
      </c>
      <c r="G49" s="27">
        <v>18354.839</v>
      </c>
      <c r="H49" s="36">
        <f t="shared" si="4"/>
        <v>169.7609999999986</v>
      </c>
      <c r="I49" s="27">
        <v>169.761</v>
      </c>
      <c r="J49" s="27">
        <v>0</v>
      </c>
    </row>
    <row r="50" spans="1:10" ht="53.25" customHeight="1">
      <c r="A50" s="33">
        <v>39</v>
      </c>
      <c r="B50" s="26" t="s">
        <v>133</v>
      </c>
      <c r="C50" s="31">
        <f>+D50+E50+F50</f>
        <v>76016</v>
      </c>
      <c r="D50" s="31">
        <v>34000</v>
      </c>
      <c r="E50" s="27">
        <v>42016</v>
      </c>
      <c r="F50" s="39"/>
      <c r="G50" s="27">
        <v>68298.461511999994</v>
      </c>
      <c r="H50" s="36">
        <f>C50-G50</f>
        <v>7717.5384880000056</v>
      </c>
      <c r="I50" s="36">
        <f>+H50</f>
        <v>7717.5384880000056</v>
      </c>
      <c r="J50" s="31">
        <f>H50-I50</f>
        <v>0</v>
      </c>
    </row>
    <row r="51" spans="1:10" ht="39.75" customHeight="1">
      <c r="A51" s="33">
        <v>40</v>
      </c>
      <c r="B51" s="34" t="s">
        <v>1406</v>
      </c>
      <c r="C51" s="31">
        <f t="shared" si="3"/>
        <v>19071.920919999997</v>
      </c>
      <c r="D51" s="27">
        <v>1700</v>
      </c>
      <c r="E51" s="27">
        <v>17531.920919999997</v>
      </c>
      <c r="F51" s="27">
        <v>-160</v>
      </c>
      <c r="G51" s="27">
        <v>17917.707419999999</v>
      </c>
      <c r="H51" s="36">
        <f t="shared" si="4"/>
        <v>1154.213499999998</v>
      </c>
      <c r="I51" s="27">
        <v>0</v>
      </c>
      <c r="J51" s="27">
        <v>1154.2135000000001</v>
      </c>
    </row>
    <row r="52" spans="1:10" ht="28.5" customHeight="1">
      <c r="A52" s="33">
        <v>41</v>
      </c>
      <c r="B52" s="26" t="s">
        <v>119</v>
      </c>
      <c r="C52" s="31">
        <f t="shared" ref="C52:C58" si="5">+D52+E52+F52</f>
        <v>98023.719924000005</v>
      </c>
      <c r="D52" s="31">
        <v>90540</v>
      </c>
      <c r="E52" s="31">
        <v>23286.719924000005</v>
      </c>
      <c r="F52" s="31">
        <v>-15803</v>
      </c>
      <c r="G52" s="31">
        <f>94258.129999+84.781884</f>
        <v>94342.911882999993</v>
      </c>
      <c r="H52" s="27">
        <f t="shared" ref="H52:H58" si="6">C52-G52</f>
        <v>3680.8080410000111</v>
      </c>
      <c r="I52" s="31">
        <v>3765.7256189999998</v>
      </c>
      <c r="J52" s="31"/>
    </row>
    <row r="53" spans="1:10" ht="36.75" customHeight="1">
      <c r="A53" s="33">
        <v>42</v>
      </c>
      <c r="B53" s="26" t="s">
        <v>1427</v>
      </c>
      <c r="C53" s="31">
        <f t="shared" si="5"/>
        <v>10821.363518</v>
      </c>
      <c r="D53" s="280">
        <v>8810</v>
      </c>
      <c r="E53" s="407">
        <v>2192.4063919999999</v>
      </c>
      <c r="F53" s="408">
        <v>-181.04287400000001</v>
      </c>
      <c r="G53" s="31">
        <v>10821.363518</v>
      </c>
      <c r="H53" s="36">
        <f t="shared" si="6"/>
        <v>0</v>
      </c>
      <c r="I53" s="37"/>
      <c r="J53" s="31">
        <f t="shared" ref="J53:J58" si="7">H53-I53</f>
        <v>0</v>
      </c>
    </row>
    <row r="54" spans="1:10" ht="36.75" customHeight="1">
      <c r="A54" s="33">
        <v>43</v>
      </c>
      <c r="B54" s="26" t="s">
        <v>120</v>
      </c>
      <c r="C54" s="31">
        <f t="shared" si="5"/>
        <v>48889.414691999998</v>
      </c>
      <c r="D54" s="31">
        <v>48075</v>
      </c>
      <c r="E54" s="31">
        <v>2377.4146919999998</v>
      </c>
      <c r="F54" s="31">
        <v>-1563</v>
      </c>
      <c r="G54" s="31">
        <v>48889.242491999998</v>
      </c>
      <c r="H54" s="36">
        <f t="shared" si="6"/>
        <v>0.17220000000088476</v>
      </c>
      <c r="I54" s="37"/>
      <c r="J54" s="31">
        <f t="shared" si="7"/>
        <v>0.17220000000088476</v>
      </c>
    </row>
    <row r="55" spans="1:10" ht="28.5" customHeight="1">
      <c r="A55" s="33">
        <v>44</v>
      </c>
      <c r="B55" s="26" t="s">
        <v>121</v>
      </c>
      <c r="C55" s="31">
        <f t="shared" si="5"/>
        <v>25795</v>
      </c>
      <c r="D55" s="38">
        <v>13600</v>
      </c>
      <c r="E55" s="36">
        <v>12195</v>
      </c>
      <c r="F55" s="39"/>
      <c r="G55" s="27">
        <v>25794.71</v>
      </c>
      <c r="H55" s="36">
        <f t="shared" si="6"/>
        <v>0.29000000000087311</v>
      </c>
      <c r="I55" s="39"/>
      <c r="J55" s="31">
        <f t="shared" si="7"/>
        <v>0.29000000000087311</v>
      </c>
    </row>
    <row r="56" spans="1:10" ht="40.5" customHeight="1">
      <c r="A56" s="33">
        <v>45</v>
      </c>
      <c r="B56" s="26" t="s">
        <v>130</v>
      </c>
      <c r="C56" s="31">
        <f t="shared" si="5"/>
        <v>1917</v>
      </c>
      <c r="D56" s="39">
        <v>700</v>
      </c>
      <c r="E56" s="27">
        <v>1217</v>
      </c>
      <c r="F56" s="39"/>
      <c r="G56" s="27">
        <v>1887</v>
      </c>
      <c r="H56" s="36">
        <f t="shared" si="6"/>
        <v>30</v>
      </c>
      <c r="I56" s="39"/>
      <c r="J56" s="31">
        <f t="shared" si="7"/>
        <v>30</v>
      </c>
    </row>
    <row r="57" spans="1:10" ht="42.75" customHeight="1">
      <c r="A57" s="33">
        <v>46</v>
      </c>
      <c r="B57" s="26" t="s">
        <v>125</v>
      </c>
      <c r="C57" s="31">
        <f t="shared" si="5"/>
        <v>361590.26081000001</v>
      </c>
      <c r="D57" s="27">
        <v>353648</v>
      </c>
      <c r="E57" s="27">
        <v>7942.260810000007</v>
      </c>
      <c r="F57" s="39"/>
      <c r="G57" s="27">
        <v>361590.26081000001</v>
      </c>
      <c r="H57" s="36">
        <f t="shared" si="6"/>
        <v>0</v>
      </c>
      <c r="I57" s="39"/>
      <c r="J57" s="31">
        <f t="shared" si="7"/>
        <v>0</v>
      </c>
    </row>
    <row r="58" spans="1:10" ht="72.75" customHeight="1">
      <c r="A58" s="33">
        <v>47</v>
      </c>
      <c r="B58" s="26" t="s">
        <v>129</v>
      </c>
      <c r="C58" s="31">
        <f t="shared" si="5"/>
        <v>58791</v>
      </c>
      <c r="D58" s="27">
        <v>32450</v>
      </c>
      <c r="E58" s="27">
        <v>26341</v>
      </c>
      <c r="F58" s="39"/>
      <c r="G58" s="27">
        <v>58791</v>
      </c>
      <c r="H58" s="36">
        <f t="shared" si="6"/>
        <v>0</v>
      </c>
      <c r="I58" s="39"/>
      <c r="J58" s="31">
        <f t="shared" si="7"/>
        <v>0</v>
      </c>
    </row>
    <row r="59" spans="1:10" ht="24" customHeight="1">
      <c r="A59" s="33">
        <v>48</v>
      </c>
      <c r="B59" s="35" t="s">
        <v>1392</v>
      </c>
      <c r="C59" s="31">
        <f t="shared" si="3"/>
        <v>3195.307542</v>
      </c>
      <c r="D59" s="27">
        <v>2175</v>
      </c>
      <c r="E59" s="27">
        <v>1020.307542</v>
      </c>
      <c r="F59" s="27">
        <v>0</v>
      </c>
      <c r="G59" s="27">
        <v>3195.307542</v>
      </c>
      <c r="H59" s="36">
        <f t="shared" si="4"/>
        <v>0</v>
      </c>
      <c r="I59" s="27">
        <v>0</v>
      </c>
      <c r="J59" s="27">
        <v>0</v>
      </c>
    </row>
    <row r="60" spans="1:10" ht="24" customHeight="1">
      <c r="A60" s="33">
        <v>49</v>
      </c>
      <c r="B60" s="35" t="s">
        <v>1096</v>
      </c>
      <c r="C60" s="31">
        <f t="shared" si="3"/>
        <v>750</v>
      </c>
      <c r="D60" s="27">
        <v>600</v>
      </c>
      <c r="E60" s="27">
        <v>150</v>
      </c>
      <c r="F60" s="27">
        <v>0</v>
      </c>
      <c r="G60" s="27">
        <v>750</v>
      </c>
      <c r="H60" s="36">
        <f t="shared" si="4"/>
        <v>0</v>
      </c>
      <c r="I60" s="27">
        <v>0</v>
      </c>
      <c r="J60" s="27">
        <v>0</v>
      </c>
    </row>
    <row r="61" spans="1:10" ht="24" customHeight="1">
      <c r="A61" s="33">
        <v>50</v>
      </c>
      <c r="B61" s="35" t="s">
        <v>1097</v>
      </c>
      <c r="C61" s="31">
        <f t="shared" si="3"/>
        <v>350</v>
      </c>
      <c r="D61" s="27">
        <v>350</v>
      </c>
      <c r="E61" s="27">
        <v>0</v>
      </c>
      <c r="F61" s="27">
        <v>0</v>
      </c>
      <c r="G61" s="27">
        <v>350</v>
      </c>
      <c r="H61" s="36">
        <f t="shared" si="4"/>
        <v>0</v>
      </c>
      <c r="I61" s="27">
        <v>0</v>
      </c>
      <c r="J61" s="27">
        <v>0</v>
      </c>
    </row>
    <row r="62" spans="1:10" ht="42.75" customHeight="1">
      <c r="A62" s="33">
        <v>51</v>
      </c>
      <c r="B62" s="35" t="s">
        <v>1417</v>
      </c>
      <c r="C62" s="31">
        <f t="shared" si="3"/>
        <v>555</v>
      </c>
      <c r="D62" s="27">
        <v>510</v>
      </c>
      <c r="E62" s="27">
        <v>45</v>
      </c>
      <c r="F62" s="27">
        <v>0</v>
      </c>
      <c r="G62" s="27">
        <v>555</v>
      </c>
      <c r="H62" s="36">
        <f t="shared" si="4"/>
        <v>0</v>
      </c>
      <c r="I62" s="27">
        <v>0</v>
      </c>
      <c r="J62" s="27">
        <v>0</v>
      </c>
    </row>
    <row r="63" spans="1:10" ht="38.25" customHeight="1">
      <c r="A63" s="33">
        <v>52</v>
      </c>
      <c r="B63" s="35" t="s">
        <v>1235</v>
      </c>
      <c r="C63" s="31">
        <f t="shared" si="3"/>
        <v>640</v>
      </c>
      <c r="D63" s="27">
        <v>570</v>
      </c>
      <c r="E63" s="27">
        <v>70</v>
      </c>
      <c r="F63" s="27">
        <v>0</v>
      </c>
      <c r="G63" s="27">
        <v>640</v>
      </c>
      <c r="H63" s="36">
        <f t="shared" si="4"/>
        <v>0</v>
      </c>
      <c r="I63" s="27">
        <v>0</v>
      </c>
      <c r="J63" s="27">
        <v>0</v>
      </c>
    </row>
    <row r="64" spans="1:10" ht="38.25" customHeight="1">
      <c r="A64" s="33">
        <v>53</v>
      </c>
      <c r="B64" s="35" t="s">
        <v>1098</v>
      </c>
      <c r="C64" s="31">
        <f t="shared" si="3"/>
        <v>510</v>
      </c>
      <c r="D64" s="27">
        <v>420</v>
      </c>
      <c r="E64" s="27">
        <v>90</v>
      </c>
      <c r="F64" s="27">
        <v>0</v>
      </c>
      <c r="G64" s="27">
        <v>510</v>
      </c>
      <c r="H64" s="36">
        <f t="shared" si="4"/>
        <v>0</v>
      </c>
      <c r="I64" s="27">
        <v>0</v>
      </c>
      <c r="J64" s="27">
        <v>0</v>
      </c>
    </row>
    <row r="65" spans="1:10" ht="24" customHeight="1">
      <c r="A65" s="33">
        <v>54</v>
      </c>
      <c r="B65" s="35" t="s">
        <v>1099</v>
      </c>
      <c r="C65" s="31">
        <f t="shared" si="3"/>
        <v>925.5</v>
      </c>
      <c r="D65" s="27">
        <v>525</v>
      </c>
      <c r="E65" s="27">
        <v>400.5</v>
      </c>
      <c r="F65" s="27">
        <v>0</v>
      </c>
      <c r="G65" s="27">
        <v>925.5</v>
      </c>
      <c r="H65" s="36">
        <f t="shared" si="4"/>
        <v>0</v>
      </c>
      <c r="I65" s="27">
        <v>0</v>
      </c>
      <c r="J65" s="27">
        <v>0</v>
      </c>
    </row>
    <row r="66" spans="1:10" ht="24" customHeight="1">
      <c r="A66" s="33">
        <v>55</v>
      </c>
      <c r="B66" s="35" t="s">
        <v>1100</v>
      </c>
      <c r="C66" s="31">
        <f t="shared" si="3"/>
        <v>667.71</v>
      </c>
      <c r="D66" s="27">
        <v>550</v>
      </c>
      <c r="E66" s="27">
        <v>117.71</v>
      </c>
      <c r="F66" s="27">
        <v>0</v>
      </c>
      <c r="G66" s="27">
        <v>667.71</v>
      </c>
      <c r="H66" s="36">
        <f t="shared" si="4"/>
        <v>0</v>
      </c>
      <c r="I66" s="27">
        <v>0</v>
      </c>
      <c r="J66" s="27">
        <v>0</v>
      </c>
    </row>
    <row r="67" spans="1:10" ht="39.75" customHeight="1">
      <c r="A67" s="33">
        <v>56</v>
      </c>
      <c r="B67" s="35" t="s">
        <v>1101</v>
      </c>
      <c r="C67" s="31">
        <f t="shared" si="3"/>
        <v>1906.9</v>
      </c>
      <c r="D67" s="27">
        <v>1140</v>
      </c>
      <c r="E67" s="27">
        <v>766.9</v>
      </c>
      <c r="F67" s="27">
        <v>0</v>
      </c>
      <c r="G67" s="27">
        <v>1906.9</v>
      </c>
      <c r="H67" s="36">
        <f t="shared" si="4"/>
        <v>0</v>
      </c>
      <c r="I67" s="27">
        <v>0</v>
      </c>
      <c r="J67" s="27">
        <v>0</v>
      </c>
    </row>
    <row r="68" spans="1:10" ht="48.75" customHeight="1">
      <c r="A68" s="33">
        <v>57</v>
      </c>
      <c r="B68" s="35" t="s">
        <v>1102</v>
      </c>
      <c r="C68" s="31">
        <f t="shared" si="3"/>
        <v>1391.1938</v>
      </c>
      <c r="D68" s="27">
        <v>1090</v>
      </c>
      <c r="E68" s="27">
        <v>301.19380000000001</v>
      </c>
      <c r="F68" s="27">
        <v>0</v>
      </c>
      <c r="G68" s="27">
        <v>1391.1938</v>
      </c>
      <c r="H68" s="36">
        <f t="shared" si="4"/>
        <v>0</v>
      </c>
      <c r="I68" s="27">
        <v>0</v>
      </c>
      <c r="J68" s="27">
        <v>0</v>
      </c>
    </row>
    <row r="69" spans="1:10" ht="87.75" customHeight="1">
      <c r="A69" s="33">
        <v>58</v>
      </c>
      <c r="B69" s="234" t="s">
        <v>1412</v>
      </c>
      <c r="C69" s="31">
        <f t="shared" si="3"/>
        <v>683.26467700000001</v>
      </c>
      <c r="D69" s="27">
        <v>500</v>
      </c>
      <c r="E69" s="27">
        <v>183.26467700000001</v>
      </c>
      <c r="F69" s="27">
        <v>0</v>
      </c>
      <c r="G69" s="27">
        <f>493.841+183.264677</f>
        <v>677.10567700000001</v>
      </c>
      <c r="H69" s="36">
        <f t="shared" si="4"/>
        <v>6.1589999999999918</v>
      </c>
      <c r="I69" s="27">
        <v>6.1589999999999998</v>
      </c>
      <c r="J69" s="27">
        <v>0</v>
      </c>
    </row>
    <row r="70" spans="1:10" ht="37.5" customHeight="1">
      <c r="A70" s="33">
        <v>59</v>
      </c>
      <c r="B70" s="35" t="s">
        <v>1393</v>
      </c>
      <c r="C70" s="31">
        <f t="shared" si="3"/>
        <v>5352.7904150000004</v>
      </c>
      <c r="D70" s="27">
        <v>540</v>
      </c>
      <c r="E70" s="27">
        <v>4812.7904150000004</v>
      </c>
      <c r="F70" s="27">
        <v>0</v>
      </c>
      <c r="G70" s="27">
        <v>5347.6363040000006</v>
      </c>
      <c r="H70" s="36">
        <f t="shared" si="4"/>
        <v>5.1541109999998298</v>
      </c>
      <c r="I70" s="27">
        <v>5.1539999999999999</v>
      </c>
      <c r="J70" s="27">
        <v>1.11E-4</v>
      </c>
    </row>
    <row r="71" spans="1:10" ht="37.5" customHeight="1">
      <c r="A71" s="33">
        <v>60</v>
      </c>
      <c r="B71" s="35" t="s">
        <v>1103</v>
      </c>
      <c r="C71" s="31">
        <f t="shared" si="3"/>
        <v>570</v>
      </c>
      <c r="D71" s="27">
        <v>380</v>
      </c>
      <c r="E71" s="27">
        <v>190</v>
      </c>
      <c r="F71" s="27">
        <v>0</v>
      </c>
      <c r="G71" s="27">
        <v>570</v>
      </c>
      <c r="H71" s="36">
        <f t="shared" si="4"/>
        <v>0</v>
      </c>
      <c r="I71" s="27">
        <v>0</v>
      </c>
      <c r="J71" s="27">
        <v>0</v>
      </c>
    </row>
    <row r="72" spans="1:10" ht="37.5" customHeight="1">
      <c r="A72" s="33">
        <v>61</v>
      </c>
      <c r="B72" s="35" t="s">
        <v>1413</v>
      </c>
      <c r="C72" s="31">
        <f t="shared" si="3"/>
        <v>1363.7670000000001</v>
      </c>
      <c r="D72" s="27">
        <v>1150</v>
      </c>
      <c r="E72" s="27">
        <v>213.767</v>
      </c>
      <c r="F72" s="27">
        <v>0</v>
      </c>
      <c r="G72" s="27">
        <v>1252.55159</v>
      </c>
      <c r="H72" s="36">
        <f t="shared" si="4"/>
        <v>111.21541000000002</v>
      </c>
      <c r="I72" s="27">
        <v>104.5463</v>
      </c>
      <c r="J72" s="27">
        <v>6.6691099999999999</v>
      </c>
    </row>
    <row r="73" spans="1:10" ht="37.5" customHeight="1">
      <c r="A73" s="33">
        <v>62</v>
      </c>
      <c r="B73" s="35" t="s">
        <v>1104</v>
      </c>
      <c r="C73" s="31">
        <f t="shared" si="3"/>
        <v>6072.9647660000001</v>
      </c>
      <c r="D73" s="27">
        <v>800</v>
      </c>
      <c r="E73" s="27">
        <v>5272.9647660000001</v>
      </c>
      <c r="F73" s="27">
        <v>0</v>
      </c>
      <c r="G73" s="27">
        <v>6061.3695299999999</v>
      </c>
      <c r="H73" s="36">
        <f t="shared" si="4"/>
        <v>11.595236000000114</v>
      </c>
      <c r="I73" s="27">
        <v>3.4980000000000002</v>
      </c>
      <c r="J73" s="27">
        <v>8.0972360000000005</v>
      </c>
    </row>
    <row r="74" spans="1:10" ht="37.5" customHeight="1">
      <c r="A74" s="33">
        <v>63</v>
      </c>
      <c r="B74" s="35" t="s">
        <v>1401</v>
      </c>
      <c r="C74" s="31">
        <f t="shared" si="3"/>
        <v>4588.3227480000005</v>
      </c>
      <c r="D74" s="27">
        <v>3780</v>
      </c>
      <c r="E74" s="27">
        <v>951.32274800000005</v>
      </c>
      <c r="F74" s="27">
        <v>-143</v>
      </c>
      <c r="G74" s="27">
        <v>4501.315748</v>
      </c>
      <c r="H74" s="36">
        <f t="shared" si="4"/>
        <v>87.007000000000517</v>
      </c>
      <c r="I74" s="27">
        <v>15.087</v>
      </c>
      <c r="J74" s="27">
        <v>71.92</v>
      </c>
    </row>
    <row r="75" spans="1:10" ht="37.5" customHeight="1">
      <c r="A75" s="33">
        <v>64</v>
      </c>
      <c r="B75" s="35" t="s">
        <v>1105</v>
      </c>
      <c r="C75" s="31">
        <f t="shared" si="3"/>
        <v>277</v>
      </c>
      <c r="D75" s="27">
        <v>200</v>
      </c>
      <c r="E75" s="27">
        <v>77</v>
      </c>
      <c r="F75" s="27">
        <v>0</v>
      </c>
      <c r="G75" s="27">
        <v>277</v>
      </c>
      <c r="H75" s="36">
        <f t="shared" si="4"/>
        <v>0</v>
      </c>
      <c r="I75" s="27">
        <v>0</v>
      </c>
      <c r="J75" s="27">
        <v>0</v>
      </c>
    </row>
    <row r="76" spans="1:10" ht="37.5" customHeight="1">
      <c r="A76" s="33">
        <v>65</v>
      </c>
      <c r="B76" s="35" t="s">
        <v>1106</v>
      </c>
      <c r="C76" s="31">
        <f t="shared" si="3"/>
        <v>130</v>
      </c>
      <c r="D76" s="27">
        <v>100</v>
      </c>
      <c r="E76" s="27">
        <v>30</v>
      </c>
      <c r="F76" s="27">
        <v>0</v>
      </c>
      <c r="G76" s="27">
        <v>130</v>
      </c>
      <c r="H76" s="36">
        <f t="shared" si="4"/>
        <v>0</v>
      </c>
      <c r="I76" s="27">
        <v>0</v>
      </c>
      <c r="J76" s="27">
        <v>0</v>
      </c>
    </row>
    <row r="77" spans="1:10" ht="37.5" customHeight="1">
      <c r="A77" s="33">
        <v>66</v>
      </c>
      <c r="B77" s="35" t="s">
        <v>1107</v>
      </c>
      <c r="C77" s="31">
        <f t="shared" si="3"/>
        <v>100</v>
      </c>
      <c r="D77" s="27">
        <v>100</v>
      </c>
      <c r="E77" s="27">
        <v>0</v>
      </c>
      <c r="F77" s="27">
        <v>0</v>
      </c>
      <c r="G77" s="27">
        <v>100</v>
      </c>
      <c r="H77" s="36">
        <f t="shared" si="4"/>
        <v>0</v>
      </c>
      <c r="I77" s="27">
        <v>0</v>
      </c>
      <c r="J77" s="27">
        <v>0</v>
      </c>
    </row>
    <row r="78" spans="1:10" ht="37.5" customHeight="1">
      <c r="A78" s="33">
        <v>67</v>
      </c>
      <c r="B78" s="35" t="s">
        <v>1108</v>
      </c>
      <c r="C78" s="31">
        <f t="shared" si="3"/>
        <v>250</v>
      </c>
      <c r="D78" s="27">
        <v>150</v>
      </c>
      <c r="E78" s="27">
        <v>100</v>
      </c>
      <c r="F78" s="27">
        <v>0</v>
      </c>
      <c r="G78" s="27">
        <v>250</v>
      </c>
      <c r="H78" s="36">
        <f t="shared" si="4"/>
        <v>0</v>
      </c>
      <c r="I78" s="27">
        <v>0</v>
      </c>
      <c r="J78" s="27">
        <v>0</v>
      </c>
    </row>
    <row r="79" spans="1:10" ht="37.5" customHeight="1">
      <c r="A79" s="33">
        <v>68</v>
      </c>
      <c r="B79" s="35" t="s">
        <v>1109</v>
      </c>
      <c r="C79" s="31">
        <f t="shared" si="3"/>
        <v>160</v>
      </c>
      <c r="D79" s="27">
        <v>70</v>
      </c>
      <c r="E79" s="27">
        <v>90</v>
      </c>
      <c r="F79" s="27">
        <v>0</v>
      </c>
      <c r="G79" s="27">
        <v>160</v>
      </c>
      <c r="H79" s="36">
        <f t="shared" si="4"/>
        <v>0</v>
      </c>
      <c r="I79" s="27">
        <v>0</v>
      </c>
      <c r="J79" s="27">
        <v>0</v>
      </c>
    </row>
    <row r="80" spans="1:10" ht="37.5" customHeight="1">
      <c r="A80" s="33">
        <v>69</v>
      </c>
      <c r="B80" s="35" t="s">
        <v>1110</v>
      </c>
      <c r="C80" s="31">
        <f t="shared" si="3"/>
        <v>90</v>
      </c>
      <c r="D80" s="27">
        <v>90</v>
      </c>
      <c r="E80" s="27">
        <v>0</v>
      </c>
      <c r="F80" s="27">
        <v>0</v>
      </c>
      <c r="G80" s="27">
        <v>90</v>
      </c>
      <c r="H80" s="36">
        <f t="shared" si="4"/>
        <v>0</v>
      </c>
      <c r="I80" s="27">
        <v>0</v>
      </c>
      <c r="J80" s="27">
        <v>0</v>
      </c>
    </row>
    <row r="81" spans="1:12" ht="27" customHeight="1">
      <c r="A81" s="33">
        <v>70</v>
      </c>
      <c r="B81" s="26" t="s">
        <v>131</v>
      </c>
      <c r="C81" s="31">
        <f>+D81+E81+F81</f>
        <v>69.360399999999998</v>
      </c>
      <c r="D81" s="39">
        <v>40</v>
      </c>
      <c r="E81" s="27">
        <v>29.360399999999998</v>
      </c>
      <c r="F81" s="39"/>
      <c r="G81" s="27">
        <v>49.960500000000003</v>
      </c>
      <c r="H81" s="36">
        <f>C81-G81</f>
        <v>19.399899999999995</v>
      </c>
      <c r="I81" s="39"/>
      <c r="J81" s="31">
        <f>H81-I81</f>
        <v>19.399899999999995</v>
      </c>
    </row>
    <row r="82" spans="1:12" ht="45">
      <c r="A82" s="33">
        <v>71</v>
      </c>
      <c r="B82" s="26" t="s">
        <v>132</v>
      </c>
      <c r="C82" s="31">
        <f>+D82+E82+F82</f>
        <v>100</v>
      </c>
      <c r="D82" s="39">
        <v>100</v>
      </c>
      <c r="E82" s="27"/>
      <c r="F82" s="39"/>
      <c r="G82" s="27">
        <v>100</v>
      </c>
      <c r="H82" s="36">
        <f>C82-G82</f>
        <v>0</v>
      </c>
      <c r="I82" s="39"/>
      <c r="J82" s="31">
        <f>H82-I82</f>
        <v>0</v>
      </c>
    </row>
    <row r="83" spans="1:12" ht="30">
      <c r="A83" s="33">
        <v>72</v>
      </c>
      <c r="B83" s="35" t="s">
        <v>1111</v>
      </c>
      <c r="C83" s="31">
        <f t="shared" si="3"/>
        <v>80</v>
      </c>
      <c r="D83" s="27">
        <v>80</v>
      </c>
      <c r="E83" s="27">
        <v>0</v>
      </c>
      <c r="F83" s="27">
        <v>0</v>
      </c>
      <c r="G83" s="27">
        <v>80</v>
      </c>
      <c r="H83" s="36">
        <f t="shared" si="4"/>
        <v>0</v>
      </c>
      <c r="I83" s="27">
        <v>0</v>
      </c>
      <c r="J83" s="27">
        <v>0</v>
      </c>
    </row>
    <row r="84" spans="1:12" ht="45">
      <c r="A84" s="33">
        <v>73</v>
      </c>
      <c r="B84" s="26" t="s">
        <v>122</v>
      </c>
      <c r="C84" s="31">
        <f t="shared" ref="C84:C88" si="8">+D84+E84+F84</f>
        <v>35</v>
      </c>
      <c r="D84" s="39">
        <v>35</v>
      </c>
      <c r="E84" s="27"/>
      <c r="F84" s="39"/>
      <c r="G84" s="27">
        <v>35</v>
      </c>
      <c r="H84" s="36">
        <f t="shared" ref="H84:H88" si="9">C84-G84</f>
        <v>0</v>
      </c>
      <c r="I84" s="39"/>
      <c r="J84" s="31">
        <f t="shared" ref="J84:J91" si="10">H84-I84</f>
        <v>0</v>
      </c>
    </row>
    <row r="85" spans="1:12" ht="45">
      <c r="A85" s="33">
        <v>74</v>
      </c>
      <c r="B85" s="26" t="s">
        <v>127</v>
      </c>
      <c r="C85" s="31">
        <f>+D85+E85+F85</f>
        <v>30</v>
      </c>
      <c r="D85" s="39">
        <v>30</v>
      </c>
      <c r="E85" s="27"/>
      <c r="F85" s="39"/>
      <c r="G85" s="27">
        <v>30</v>
      </c>
      <c r="H85" s="36">
        <f>C85-G85</f>
        <v>0</v>
      </c>
      <c r="I85" s="39"/>
      <c r="J85" s="31">
        <f>H85-I85</f>
        <v>0</v>
      </c>
    </row>
    <row r="86" spans="1:12" ht="30">
      <c r="A86" s="33">
        <v>75</v>
      </c>
      <c r="B86" s="42" t="s">
        <v>1414</v>
      </c>
      <c r="C86" s="31">
        <f>+D86+E86+F86</f>
        <v>1915.925</v>
      </c>
      <c r="D86" s="409">
        <v>1660</v>
      </c>
      <c r="E86" s="409">
        <v>255.92500000000001</v>
      </c>
      <c r="F86" s="409">
        <v>0</v>
      </c>
      <c r="G86" s="409">
        <v>1915.925</v>
      </c>
      <c r="H86" s="410">
        <f>C86-G86</f>
        <v>0</v>
      </c>
      <c r="I86" s="409">
        <v>0</v>
      </c>
      <c r="J86" s="409">
        <v>0</v>
      </c>
    </row>
    <row r="87" spans="1:12" ht="60">
      <c r="A87" s="33">
        <v>76</v>
      </c>
      <c r="B87" s="26" t="s">
        <v>123</v>
      </c>
      <c r="C87" s="31">
        <f t="shared" si="8"/>
        <v>120</v>
      </c>
      <c r="D87" s="39"/>
      <c r="E87" s="27">
        <v>120</v>
      </c>
      <c r="F87" s="39"/>
      <c r="G87" s="27">
        <v>120</v>
      </c>
      <c r="H87" s="36">
        <f t="shared" si="9"/>
        <v>0</v>
      </c>
      <c r="I87" s="39"/>
      <c r="J87" s="31">
        <f t="shared" si="10"/>
        <v>0</v>
      </c>
    </row>
    <row r="88" spans="1:12" ht="72.75" customHeight="1">
      <c r="A88" s="33">
        <v>77</v>
      </c>
      <c r="B88" s="26" t="s">
        <v>124</v>
      </c>
      <c r="C88" s="31">
        <f t="shared" si="8"/>
        <v>18403.305209999999</v>
      </c>
      <c r="D88" s="39"/>
      <c r="E88" s="27">
        <v>18403.305209999999</v>
      </c>
      <c r="F88" s="39"/>
      <c r="G88" s="27">
        <v>18403.305209999999</v>
      </c>
      <c r="H88" s="36">
        <f t="shared" si="9"/>
        <v>0</v>
      </c>
      <c r="I88" s="39"/>
      <c r="J88" s="31">
        <f t="shared" si="10"/>
        <v>0</v>
      </c>
    </row>
    <row r="89" spans="1:12" ht="53.25" customHeight="1">
      <c r="A89" s="33">
        <v>78</v>
      </c>
      <c r="B89" s="26" t="s">
        <v>128</v>
      </c>
      <c r="C89" s="31">
        <f>+D89+E89+F89</f>
        <v>1474.630758</v>
      </c>
      <c r="D89" s="39"/>
      <c r="E89" s="27">
        <v>1474.630758</v>
      </c>
      <c r="F89" s="39"/>
      <c r="G89" s="27">
        <v>1474.630758</v>
      </c>
      <c r="H89" s="36">
        <f>C89-G89</f>
        <v>0</v>
      </c>
      <c r="I89" s="39"/>
      <c r="J89" s="31">
        <f>H89-I89</f>
        <v>0</v>
      </c>
    </row>
    <row r="90" spans="1:12" ht="54.75" customHeight="1">
      <c r="A90" s="33">
        <v>79</v>
      </c>
      <c r="B90" s="234" t="s">
        <v>1418</v>
      </c>
      <c r="C90" s="31">
        <v>54763.013720999996</v>
      </c>
      <c r="D90" s="31">
        <v>0</v>
      </c>
      <c r="E90" s="31">
        <v>54763.013720999996</v>
      </c>
      <c r="F90" s="31">
        <v>0</v>
      </c>
      <c r="G90" s="31">
        <v>54383.853421</v>
      </c>
      <c r="H90" s="31">
        <v>379.16029999999995</v>
      </c>
      <c r="I90" s="31">
        <v>0</v>
      </c>
      <c r="J90" s="31">
        <v>379.16029999999995</v>
      </c>
      <c r="K90" s="395"/>
      <c r="L90" s="395">
        <f>+G90-'56_NĐ31'!D91</f>
        <v>0</v>
      </c>
    </row>
    <row r="91" spans="1:12" ht="73.5" customHeight="1">
      <c r="A91" s="243">
        <v>80</v>
      </c>
      <c r="B91" s="244" t="s">
        <v>1112</v>
      </c>
      <c r="C91" s="411">
        <f t="shared" ref="C91" si="11">+D91+E91+F91</f>
        <v>11046.167873</v>
      </c>
      <c r="D91" s="412"/>
      <c r="E91" s="413">
        <v>11046.167873</v>
      </c>
      <c r="F91" s="412"/>
      <c r="G91" s="413">
        <v>11046.167873</v>
      </c>
      <c r="H91" s="414">
        <f t="shared" ref="H91" si="12">C91-G91</f>
        <v>0</v>
      </c>
      <c r="I91" s="412"/>
      <c r="J91" s="411">
        <f t="shared" si="10"/>
        <v>0</v>
      </c>
    </row>
    <row r="93" spans="1:12" ht="20.25" customHeight="1">
      <c r="B93" s="496" t="s">
        <v>1449</v>
      </c>
      <c r="C93" s="497"/>
      <c r="D93" s="497"/>
      <c r="E93" s="497"/>
      <c r="F93" s="497"/>
      <c r="G93" s="497"/>
      <c r="H93" s="497"/>
      <c r="I93" s="497"/>
    </row>
    <row r="94" spans="1:12">
      <c r="C94" s="395"/>
    </row>
  </sheetData>
  <mergeCells count="14">
    <mergeCell ref="B93:I93"/>
    <mergeCell ref="H1:J1"/>
    <mergeCell ref="I8:I9"/>
    <mergeCell ref="D7:F8"/>
    <mergeCell ref="J8:J9"/>
    <mergeCell ref="A4:J4"/>
    <mergeCell ref="A5:J5"/>
    <mergeCell ref="A7:A9"/>
    <mergeCell ref="B7:B9"/>
    <mergeCell ref="C7:C9"/>
    <mergeCell ref="G7:G9"/>
    <mergeCell ref="H7:H9"/>
    <mergeCell ref="I7:J7"/>
    <mergeCell ref="H2:J3"/>
  </mergeCells>
  <pageMargins left="1.22" right="0.2" top="0.63" bottom="0.31" header="0.6" footer="0.3"/>
  <pageSetup paperSize="9" scale="75" orientation="portrait" verticalDpi="0" r:id="rId1"/>
  <headerFooter>
    <oddFooter>&amp;C&amp;P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94"/>
  <sheetViews>
    <sheetView topLeftCell="A5" workbookViewId="0">
      <pane xSplit="2" ySplit="6" topLeftCell="C92" activePane="bottomRight" state="frozen"/>
      <selection activeCell="A5" sqref="A5"/>
      <selection pane="topRight" activeCell="C5" sqref="C5"/>
      <selection pane="bottomLeft" activeCell="A11" sqref="A11"/>
      <selection pane="bottomRight" activeCell="G95" sqref="G95"/>
    </sheetView>
  </sheetViews>
  <sheetFormatPr defaultRowHeight="15.75"/>
  <cols>
    <col min="1" max="1" width="6.140625" style="219" customWidth="1"/>
    <col min="2" max="2" width="23.7109375" style="220" customWidth="1"/>
    <col min="3" max="3" width="16.85546875" style="221" customWidth="1"/>
    <col min="4" max="4" width="14.42578125" style="221" customWidth="1"/>
    <col min="5" max="5" width="14.28515625" style="221" customWidth="1"/>
    <col min="6" max="6" width="8.85546875" style="221" customWidth="1"/>
    <col min="7" max="7" width="9.5703125" style="221" customWidth="1"/>
    <col min="8" max="8" width="9.7109375" style="221" customWidth="1"/>
    <col min="9" max="9" width="9.5703125" style="221" customWidth="1"/>
    <col min="10" max="10" width="9.85546875" style="221" customWidth="1"/>
    <col min="11" max="11" width="10.7109375" style="221" customWidth="1"/>
    <col min="12" max="12" width="8.7109375" style="221" customWidth="1"/>
    <col min="13" max="13" width="10.5703125" style="221" customWidth="1"/>
    <col min="14" max="14" width="12.28515625" style="221" customWidth="1"/>
    <col min="15" max="15" width="11.7109375" style="221" customWidth="1"/>
    <col min="16" max="16" width="11.85546875" style="221" customWidth="1"/>
    <col min="17" max="17" width="9.85546875" style="221" customWidth="1"/>
    <col min="18" max="18" width="7.28515625" style="219" customWidth="1"/>
    <col min="19" max="19" width="9.28515625" style="221" bestFit="1" customWidth="1"/>
    <col min="20" max="16384" width="9.140625" style="221"/>
  </cols>
  <sheetData>
    <row r="1" spans="1:19" ht="15" customHeight="1">
      <c r="N1" s="487" t="s">
        <v>76</v>
      </c>
      <c r="O1" s="487"/>
      <c r="P1" s="487"/>
      <c r="Q1" s="487"/>
      <c r="R1" s="281"/>
    </row>
    <row r="2" spans="1:19" ht="15.75" customHeight="1">
      <c r="N2" s="461" t="s">
        <v>116</v>
      </c>
      <c r="O2" s="461"/>
      <c r="P2" s="461"/>
      <c r="Q2" s="461"/>
    </row>
    <row r="3" spans="1:19">
      <c r="N3" s="461"/>
      <c r="O3" s="461"/>
      <c r="P3" s="461"/>
      <c r="Q3" s="461"/>
    </row>
    <row r="4" spans="1:19">
      <c r="A4" s="487" t="s">
        <v>1398</v>
      </c>
      <c r="B4" s="487"/>
      <c r="C4" s="487"/>
      <c r="D4" s="487"/>
      <c r="E4" s="487"/>
      <c r="F4" s="487"/>
      <c r="G4" s="487"/>
      <c r="H4" s="487"/>
      <c r="I4" s="487"/>
      <c r="J4" s="487"/>
      <c r="K4" s="487"/>
      <c r="L4" s="487"/>
      <c r="M4" s="487"/>
      <c r="N4" s="487"/>
      <c r="O4" s="487"/>
      <c r="P4" s="487"/>
      <c r="Q4" s="487"/>
      <c r="R4" s="487"/>
    </row>
    <row r="5" spans="1:19">
      <c r="A5" s="281"/>
      <c r="B5" s="281"/>
      <c r="C5" s="281"/>
      <c r="D5" s="281"/>
      <c r="E5" s="281"/>
      <c r="F5" s="281"/>
      <c r="G5" s="281"/>
      <c r="H5" s="281"/>
      <c r="I5" s="281"/>
      <c r="J5" s="281"/>
      <c r="K5" s="281"/>
      <c r="L5" s="281"/>
      <c r="M5" s="281"/>
      <c r="N5" s="391"/>
      <c r="O5" s="391"/>
      <c r="P5" s="391"/>
      <c r="Q5" s="281"/>
      <c r="R5" s="281"/>
    </row>
    <row r="6" spans="1:19" hidden="1">
      <c r="A6" s="388"/>
      <c r="B6" s="222"/>
      <c r="C6" s="223">
        <f>+C12-'57_NĐ31'!C11</f>
        <v>0</v>
      </c>
      <c r="D6" s="224">
        <f t="shared" ref="D6:M6" si="0">D7-D12</f>
        <v>0</v>
      </c>
      <c r="E6" s="224">
        <f t="shared" si="0"/>
        <v>0</v>
      </c>
      <c r="F6" s="224">
        <f t="shared" si="0"/>
        <v>0</v>
      </c>
      <c r="G6" s="224">
        <f t="shared" si="0"/>
        <v>0</v>
      </c>
      <c r="H6" s="224">
        <f t="shared" si="0"/>
        <v>0</v>
      </c>
      <c r="I6" s="225">
        <f t="shared" si="0"/>
        <v>0</v>
      </c>
      <c r="J6" s="224">
        <f t="shared" si="0"/>
        <v>0</v>
      </c>
      <c r="K6" s="225">
        <f t="shared" si="0"/>
        <v>0</v>
      </c>
      <c r="L6" s="226">
        <f t="shared" si="0"/>
        <v>0</v>
      </c>
      <c r="M6" s="225">
        <f t="shared" si="0"/>
        <v>0</v>
      </c>
      <c r="N6" s="226"/>
      <c r="O6" s="227"/>
      <c r="P6" s="228"/>
      <c r="Q6" s="224"/>
      <c r="R6" s="388"/>
    </row>
    <row r="7" spans="1:19" hidden="1">
      <c r="D7" s="229">
        <f>'[4]62'!$F$30</f>
        <v>2713620.6496049995</v>
      </c>
      <c r="E7" s="229">
        <f>'[4]62'!$F$33</f>
        <v>629961.20938999997</v>
      </c>
      <c r="F7" s="229">
        <f>'[4]62'!$F$34</f>
        <v>24818.831183999999</v>
      </c>
      <c r="G7" s="229">
        <f>'[4]62'!$F$31</f>
        <v>50486.335692000001</v>
      </c>
      <c r="H7" s="229">
        <f>'[4]62'!$F$32</f>
        <v>20896</v>
      </c>
      <c r="I7" s="229">
        <f>'[4]62'!$F$35</f>
        <v>867656.958079</v>
      </c>
      <c r="J7" s="229">
        <f>'[4]62'!$F$36</f>
        <v>67618.623550999997</v>
      </c>
      <c r="K7" s="229">
        <f>'[4]62'!$F$37</f>
        <v>17014.239000000001</v>
      </c>
      <c r="L7" s="229">
        <f>'[4]62'!$F$38</f>
        <v>24976.649300000001</v>
      </c>
      <c r="M7" s="229">
        <f>'[4]62'!$F$39</f>
        <v>50083.430649000002</v>
      </c>
      <c r="N7" s="229"/>
      <c r="O7" s="229"/>
      <c r="P7" s="229"/>
      <c r="Q7" s="510" t="s">
        <v>24</v>
      </c>
      <c r="R7" s="510"/>
    </row>
    <row r="8" spans="1:19">
      <c r="C8" s="230"/>
      <c r="D8" s="229"/>
      <c r="E8" s="229"/>
      <c r="F8" s="229"/>
      <c r="G8" s="229"/>
      <c r="H8" s="229"/>
      <c r="I8" s="229"/>
      <c r="J8" s="229"/>
      <c r="K8" s="229"/>
      <c r="L8" s="229"/>
      <c r="M8" s="229"/>
      <c r="N8" s="229"/>
      <c r="O8" s="229"/>
      <c r="P8" s="230"/>
      <c r="Q8" s="390" t="s">
        <v>1166</v>
      </c>
      <c r="R8" s="390"/>
    </row>
    <row r="9" spans="1:19">
      <c r="A9" s="509" t="s">
        <v>1</v>
      </c>
      <c r="B9" s="494" t="s">
        <v>71</v>
      </c>
      <c r="C9" s="489" t="s">
        <v>1448</v>
      </c>
      <c r="D9" s="489" t="s">
        <v>26</v>
      </c>
      <c r="E9" s="508" t="s">
        <v>62</v>
      </c>
      <c r="F9" s="508" t="s">
        <v>63</v>
      </c>
      <c r="G9" s="508" t="s">
        <v>17</v>
      </c>
      <c r="H9" s="508" t="s">
        <v>18</v>
      </c>
      <c r="I9" s="508" t="s">
        <v>64</v>
      </c>
      <c r="J9" s="508" t="s">
        <v>65</v>
      </c>
      <c r="K9" s="508" t="s">
        <v>66</v>
      </c>
      <c r="L9" s="508" t="s">
        <v>67</v>
      </c>
      <c r="M9" s="508" t="s">
        <v>68</v>
      </c>
      <c r="N9" s="508" t="s">
        <v>19</v>
      </c>
      <c r="O9" s="508" t="s">
        <v>1165</v>
      </c>
      <c r="P9" s="508" t="s">
        <v>69</v>
      </c>
      <c r="Q9" s="508" t="s">
        <v>126</v>
      </c>
      <c r="R9" s="489" t="s">
        <v>52</v>
      </c>
    </row>
    <row r="10" spans="1:19" ht="103.5" customHeight="1">
      <c r="A10" s="509"/>
      <c r="B10" s="495"/>
      <c r="C10" s="489"/>
      <c r="D10" s="489"/>
      <c r="E10" s="508"/>
      <c r="F10" s="508"/>
      <c r="G10" s="508"/>
      <c r="H10" s="508"/>
      <c r="I10" s="508"/>
      <c r="J10" s="508"/>
      <c r="K10" s="508"/>
      <c r="L10" s="508"/>
      <c r="M10" s="508"/>
      <c r="N10" s="508"/>
      <c r="O10" s="508"/>
      <c r="P10" s="508"/>
      <c r="Q10" s="508"/>
      <c r="R10" s="489"/>
    </row>
    <row r="11" spans="1:19" ht="31.5">
      <c r="A11" s="231" t="s">
        <v>3</v>
      </c>
      <c r="B11" s="389" t="s">
        <v>4</v>
      </c>
      <c r="C11" s="389">
        <v>1</v>
      </c>
      <c r="D11" s="389" t="s">
        <v>1441</v>
      </c>
      <c r="E11" s="389">
        <v>3</v>
      </c>
      <c r="F11" s="389">
        <v>4</v>
      </c>
      <c r="G11" s="389">
        <v>5</v>
      </c>
      <c r="H11" s="389">
        <v>6</v>
      </c>
      <c r="I11" s="389">
        <v>7</v>
      </c>
      <c r="J11" s="389">
        <v>8</v>
      </c>
      <c r="K11" s="389">
        <v>9</v>
      </c>
      <c r="L11" s="389">
        <v>10</v>
      </c>
      <c r="M11" s="389">
        <v>11</v>
      </c>
      <c r="N11" s="389">
        <v>12</v>
      </c>
      <c r="O11" s="389">
        <v>15</v>
      </c>
      <c r="P11" s="389">
        <v>16</v>
      </c>
      <c r="Q11" s="389">
        <v>17</v>
      </c>
      <c r="R11" s="389" t="s">
        <v>77</v>
      </c>
    </row>
    <row r="12" spans="1:19" ht="24" customHeight="1">
      <c r="A12" s="232"/>
      <c r="B12" s="92" t="s">
        <v>0</v>
      </c>
      <c r="C12" s="232">
        <f>SUM(C13:C92)</f>
        <v>2931711.7644649995</v>
      </c>
      <c r="D12" s="232">
        <f t="shared" ref="D12:Q12" si="1">SUM(D13:D92)</f>
        <v>2713620.649604999</v>
      </c>
      <c r="E12" s="232">
        <f t="shared" si="1"/>
        <v>629961.20938999986</v>
      </c>
      <c r="F12" s="232">
        <f t="shared" si="1"/>
        <v>24818.831184000002</v>
      </c>
      <c r="G12" s="232">
        <f t="shared" si="1"/>
        <v>50486.335691999993</v>
      </c>
      <c r="H12" s="232">
        <f t="shared" si="1"/>
        <v>20896</v>
      </c>
      <c r="I12" s="232">
        <f t="shared" si="1"/>
        <v>867656.958079</v>
      </c>
      <c r="J12" s="232">
        <f t="shared" si="1"/>
        <v>67618.623550999997</v>
      </c>
      <c r="K12" s="232">
        <f t="shared" si="1"/>
        <v>17014.239000000001</v>
      </c>
      <c r="L12" s="232">
        <f t="shared" si="1"/>
        <v>24976.649300000001</v>
      </c>
      <c r="M12" s="232">
        <f t="shared" si="1"/>
        <v>50083.430648999994</v>
      </c>
      <c r="N12" s="232">
        <f t="shared" si="1"/>
        <v>347325.22934000002</v>
      </c>
      <c r="O12" s="232">
        <f t="shared" si="1"/>
        <v>455265.61623200006</v>
      </c>
      <c r="P12" s="232">
        <f t="shared" si="1"/>
        <v>128924.89391099999</v>
      </c>
      <c r="Q12" s="232">
        <f t="shared" si="1"/>
        <v>28592.633276999994</v>
      </c>
      <c r="R12" s="232">
        <f>+D12/C12*100</f>
        <v>92.560963273966351</v>
      </c>
      <c r="S12" s="229">
        <f>+C12-'57_NĐ31'!C11</f>
        <v>0</v>
      </c>
    </row>
    <row r="13" spans="1:19" ht="24" customHeight="1">
      <c r="A13" s="272">
        <v>1</v>
      </c>
      <c r="B13" s="234" t="s">
        <v>1082</v>
      </c>
      <c r="C13" s="235">
        <v>15661.589295</v>
      </c>
      <c r="D13" s="233">
        <f>SUM(E13:Q13)</f>
        <v>13773.810066</v>
      </c>
      <c r="E13" s="235">
        <v>7</v>
      </c>
      <c r="F13" s="235">
        <v>0</v>
      </c>
      <c r="G13" s="235">
        <v>28</v>
      </c>
      <c r="H13" s="235">
        <v>0</v>
      </c>
      <c r="I13" s="235">
        <v>0</v>
      </c>
      <c r="J13" s="235">
        <v>0</v>
      </c>
      <c r="K13" s="235">
        <v>0</v>
      </c>
      <c r="L13" s="235">
        <v>0</v>
      </c>
      <c r="M13" s="235">
        <v>0</v>
      </c>
      <c r="N13" s="235">
        <v>0</v>
      </c>
      <c r="O13" s="235">
        <v>13738.810066</v>
      </c>
      <c r="P13" s="235">
        <v>0</v>
      </c>
      <c r="Q13" s="235">
        <v>0</v>
      </c>
      <c r="R13" s="233">
        <f t="shared" ref="R13:R87" si="2">+D13/C13*100</f>
        <v>87.946438937696584</v>
      </c>
      <c r="S13" s="229">
        <f>+C13-'57_NĐ31'!C12</f>
        <v>0</v>
      </c>
    </row>
    <row r="14" spans="1:19" ht="24" customHeight="1">
      <c r="A14" s="272">
        <v>2</v>
      </c>
      <c r="B14" s="234" t="s">
        <v>1083</v>
      </c>
      <c r="C14" s="235">
        <v>25249.592000000001</v>
      </c>
      <c r="D14" s="233">
        <f t="shared" ref="D14:D87" si="3">SUM(E14:Q14)</f>
        <v>25187.002</v>
      </c>
      <c r="E14" s="235">
        <v>0</v>
      </c>
      <c r="F14" s="235">
        <v>0</v>
      </c>
      <c r="G14" s="235">
        <v>34</v>
      </c>
      <c r="H14" s="235">
        <v>0</v>
      </c>
      <c r="I14" s="235">
        <v>0</v>
      </c>
      <c r="J14" s="235">
        <v>0</v>
      </c>
      <c r="K14" s="235">
        <v>0</v>
      </c>
      <c r="L14" s="235">
        <v>0</v>
      </c>
      <c r="M14" s="235">
        <v>2000</v>
      </c>
      <c r="N14" s="235">
        <v>704.75599999999997</v>
      </c>
      <c r="O14" s="235">
        <v>22448.245999999999</v>
      </c>
      <c r="P14" s="235">
        <v>0</v>
      </c>
      <c r="Q14" s="235">
        <v>0</v>
      </c>
      <c r="R14" s="233">
        <f t="shared" si="2"/>
        <v>99.752114806449143</v>
      </c>
      <c r="S14" s="229">
        <f>+C14-'57_NĐ31'!C13</f>
        <v>0</v>
      </c>
    </row>
    <row r="15" spans="1:19" ht="37.5" customHeight="1">
      <c r="A15" s="272">
        <v>3</v>
      </c>
      <c r="B15" s="234" t="s">
        <v>1428</v>
      </c>
      <c r="C15" s="235">
        <f>+'57_NĐ31'!C14</f>
        <v>201356.28813</v>
      </c>
      <c r="D15" s="233">
        <f t="shared" si="3"/>
        <v>181315.675189</v>
      </c>
      <c r="E15" s="235">
        <v>7</v>
      </c>
      <c r="F15" s="235">
        <v>948.67460000000005</v>
      </c>
      <c r="G15" s="235">
        <v>43</v>
      </c>
      <c r="H15" s="235">
        <v>0</v>
      </c>
      <c r="I15" s="235">
        <v>0</v>
      </c>
      <c r="J15" s="235">
        <v>0</v>
      </c>
      <c r="K15" s="235">
        <v>0</v>
      </c>
      <c r="L15" s="235">
        <v>0</v>
      </c>
      <c r="M15" s="235">
        <v>496</v>
      </c>
      <c r="N15" s="235">
        <f>70548.747498+12818.310181</f>
        <v>83367.05767899999</v>
      </c>
      <c r="O15" s="235">
        <f>109272.253091-12818.310181</f>
        <v>96453.942910000012</v>
      </c>
      <c r="P15" s="235">
        <v>0</v>
      </c>
      <c r="Q15" s="235">
        <v>0</v>
      </c>
      <c r="R15" s="233">
        <f t="shared" si="2"/>
        <v>90.04718793382736</v>
      </c>
      <c r="S15" s="236">
        <f>+C15-'57_NĐ31'!C14</f>
        <v>0</v>
      </c>
    </row>
    <row r="16" spans="1:19" ht="38.25" customHeight="1">
      <c r="A16" s="272">
        <v>4</v>
      </c>
      <c r="B16" s="234" t="s">
        <v>1402</v>
      </c>
      <c r="C16" s="235">
        <f>+'57_NĐ31'!C15</f>
        <v>146673.304684</v>
      </c>
      <c r="D16" s="233">
        <f t="shared" si="3"/>
        <v>128097.72433099999</v>
      </c>
      <c r="E16" s="235">
        <v>23043.300581</v>
      </c>
      <c r="F16" s="235">
        <v>0</v>
      </c>
      <c r="G16" s="235">
        <v>31</v>
      </c>
      <c r="H16" s="235">
        <v>0</v>
      </c>
      <c r="I16" s="235">
        <v>0</v>
      </c>
      <c r="J16" s="235">
        <v>0</v>
      </c>
      <c r="K16" s="235">
        <v>0</v>
      </c>
      <c r="L16" s="235">
        <v>0</v>
      </c>
      <c r="M16" s="235">
        <v>0</v>
      </c>
      <c r="N16" s="235">
        <v>0</v>
      </c>
      <c r="O16" s="235">
        <f>10006.803987-556.616418</f>
        <v>9450.1875689999997</v>
      </c>
      <c r="P16" s="235">
        <f>93817.619763</f>
        <v>93817.619762999995</v>
      </c>
      <c r="Q16" s="235">
        <v>1755.6164180000001</v>
      </c>
      <c r="R16" s="233">
        <f t="shared" si="2"/>
        <v>87.335404767063693</v>
      </c>
      <c r="S16" s="229">
        <f>+C16-'57_NĐ31'!C15</f>
        <v>0</v>
      </c>
    </row>
    <row r="17" spans="1:19" ht="31.5">
      <c r="A17" s="272">
        <v>5</v>
      </c>
      <c r="B17" s="293" t="s">
        <v>1403</v>
      </c>
      <c r="C17" s="235">
        <v>11363.598669999999</v>
      </c>
      <c r="D17" s="233">
        <f t="shared" si="3"/>
        <v>10994.800299999999</v>
      </c>
      <c r="E17" s="235">
        <v>210.6</v>
      </c>
      <c r="F17" s="235">
        <v>30</v>
      </c>
      <c r="G17" s="235">
        <v>0</v>
      </c>
      <c r="H17" s="235">
        <v>0</v>
      </c>
      <c r="I17" s="235">
        <v>0</v>
      </c>
      <c r="J17" s="235">
        <v>0</v>
      </c>
      <c r="K17" s="235">
        <v>0</v>
      </c>
      <c r="L17" s="235">
        <v>0</v>
      </c>
      <c r="M17" s="235">
        <v>642.15599999999995</v>
      </c>
      <c r="N17" s="235">
        <v>3727.0962880000002</v>
      </c>
      <c r="O17" s="235">
        <v>6384.9480119999998</v>
      </c>
      <c r="P17" s="235">
        <v>0</v>
      </c>
      <c r="Q17" s="235">
        <v>0</v>
      </c>
      <c r="R17" s="233">
        <f t="shared" si="2"/>
        <v>96.754563578757569</v>
      </c>
      <c r="S17" s="229">
        <f>+C17-'57_NĐ31'!C16</f>
        <v>0</v>
      </c>
    </row>
    <row r="18" spans="1:19" ht="25.5" customHeight="1">
      <c r="A18" s="272">
        <v>6</v>
      </c>
      <c r="B18" s="293" t="s">
        <v>1084</v>
      </c>
      <c r="C18" s="235">
        <v>8921.0370000000003</v>
      </c>
      <c r="D18" s="233">
        <f t="shared" si="3"/>
        <v>8635.82</v>
      </c>
      <c r="E18" s="235">
        <v>47.8</v>
      </c>
      <c r="F18" s="235">
        <v>0</v>
      </c>
      <c r="G18" s="235">
        <v>31</v>
      </c>
      <c r="H18" s="235">
        <v>0</v>
      </c>
      <c r="I18" s="235">
        <v>0</v>
      </c>
      <c r="J18" s="235">
        <v>0</v>
      </c>
      <c r="K18" s="235">
        <v>0</v>
      </c>
      <c r="L18" s="235">
        <v>0</v>
      </c>
      <c r="M18" s="235">
        <v>0</v>
      </c>
      <c r="N18" s="235">
        <v>2169.7829999999999</v>
      </c>
      <c r="O18" s="235">
        <v>6387.2370000000001</v>
      </c>
      <c r="P18" s="235">
        <v>0</v>
      </c>
      <c r="Q18" s="235">
        <v>0</v>
      </c>
      <c r="R18" s="233">
        <f t="shared" si="2"/>
        <v>96.802871684087847</v>
      </c>
      <c r="S18" s="229">
        <f>+C18-'57_NĐ31'!C17</f>
        <v>0</v>
      </c>
    </row>
    <row r="19" spans="1:19" ht="31.5">
      <c r="A19" s="272">
        <v>7</v>
      </c>
      <c r="B19" s="234" t="s">
        <v>196</v>
      </c>
      <c r="C19" s="235">
        <v>76073.928339000006</v>
      </c>
      <c r="D19" s="233">
        <f t="shared" si="3"/>
        <v>48971.364552999999</v>
      </c>
      <c r="E19" s="235">
        <v>29.65</v>
      </c>
      <c r="F19" s="235">
        <v>0</v>
      </c>
      <c r="G19" s="235">
        <v>35</v>
      </c>
      <c r="H19" s="235">
        <v>0</v>
      </c>
      <c r="I19" s="235">
        <v>0</v>
      </c>
      <c r="J19" s="235">
        <v>0</v>
      </c>
      <c r="K19" s="235">
        <v>0</v>
      </c>
      <c r="L19" s="235">
        <v>0</v>
      </c>
      <c r="M19" s="235">
        <v>18724.436300000001</v>
      </c>
      <c r="N19" s="235">
        <v>21108.809669999999</v>
      </c>
      <c r="O19" s="235">
        <v>9073.4685829999999</v>
      </c>
      <c r="P19" s="235">
        <v>0</v>
      </c>
      <c r="Q19" s="235">
        <v>0</v>
      </c>
      <c r="R19" s="233">
        <f t="shared" si="2"/>
        <v>64.373387338135373</v>
      </c>
      <c r="S19" s="229">
        <f>+C19-'57_NĐ31'!C18</f>
        <v>0</v>
      </c>
    </row>
    <row r="20" spans="1:19">
      <c r="A20" s="272">
        <v>8</v>
      </c>
      <c r="B20" s="234" t="s">
        <v>1399</v>
      </c>
      <c r="C20" s="235">
        <f>+'57_NĐ31'!C19</f>
        <v>549946.03736800002</v>
      </c>
      <c r="D20" s="233">
        <f t="shared" si="3"/>
        <v>504309.691552</v>
      </c>
      <c r="E20" s="235">
        <v>493</v>
      </c>
      <c r="F20" s="235">
        <v>0</v>
      </c>
      <c r="G20" s="235">
        <v>37</v>
      </c>
      <c r="H20" s="235">
        <v>0</v>
      </c>
      <c r="I20" s="235">
        <v>487663.39205899998</v>
      </c>
      <c r="J20" s="235">
        <v>0</v>
      </c>
      <c r="K20" s="235">
        <v>0</v>
      </c>
      <c r="L20" s="235">
        <v>0</v>
      </c>
      <c r="M20" s="235">
        <v>5854.0541709999998</v>
      </c>
      <c r="N20" s="235">
        <v>0</v>
      </c>
      <c r="O20" s="235">
        <v>10262.245322000001</v>
      </c>
      <c r="P20" s="235">
        <v>0</v>
      </c>
      <c r="Q20" s="235">
        <v>0</v>
      </c>
      <c r="R20" s="233">
        <f t="shared" si="2"/>
        <v>91.701668397428207</v>
      </c>
      <c r="S20" s="229">
        <f>+C20-'57_NĐ31'!C19</f>
        <v>0</v>
      </c>
    </row>
    <row r="21" spans="1:19">
      <c r="A21" s="272">
        <v>9</v>
      </c>
      <c r="B21" s="234" t="s">
        <v>1085</v>
      </c>
      <c r="C21" s="235">
        <v>13202.941999999999</v>
      </c>
      <c r="D21" s="233">
        <f t="shared" si="3"/>
        <v>13059.338500000002</v>
      </c>
      <c r="E21" s="235">
        <v>1551.9860000000001</v>
      </c>
      <c r="F21" s="235">
        <v>193.69550000000001</v>
      </c>
      <c r="G21" s="235">
        <v>0</v>
      </c>
      <c r="H21" s="235">
        <v>0</v>
      </c>
      <c r="I21" s="235">
        <v>0</v>
      </c>
      <c r="J21" s="235">
        <v>420</v>
      </c>
      <c r="K21" s="235">
        <v>0</v>
      </c>
      <c r="L21" s="235">
        <v>0</v>
      </c>
      <c r="M21" s="235">
        <v>0</v>
      </c>
      <c r="N21" s="235">
        <v>2043.923</v>
      </c>
      <c r="O21" s="235">
        <v>8849.7340000000004</v>
      </c>
      <c r="P21" s="235">
        <v>0</v>
      </c>
      <c r="Q21" s="235">
        <v>0</v>
      </c>
      <c r="R21" s="233">
        <f t="shared" si="2"/>
        <v>98.912337113955388</v>
      </c>
      <c r="S21" s="229">
        <f>+C21-'57_NĐ31'!C20</f>
        <v>0</v>
      </c>
    </row>
    <row r="22" spans="1:19">
      <c r="A22" s="272">
        <v>10</v>
      </c>
      <c r="B22" s="234" t="s">
        <v>1086</v>
      </c>
      <c r="C22" s="235">
        <v>28391.949000000001</v>
      </c>
      <c r="D22" s="233">
        <f t="shared" si="3"/>
        <v>26015.182000000001</v>
      </c>
      <c r="E22" s="235">
        <v>0</v>
      </c>
      <c r="F22" s="235">
        <v>0</v>
      </c>
      <c r="G22" s="235">
        <v>37</v>
      </c>
      <c r="H22" s="235">
        <v>0</v>
      </c>
      <c r="I22" s="235">
        <v>0</v>
      </c>
      <c r="J22" s="235">
        <v>115</v>
      </c>
      <c r="K22" s="235">
        <v>0</v>
      </c>
      <c r="L22" s="235">
        <v>0</v>
      </c>
      <c r="M22" s="235">
        <v>0</v>
      </c>
      <c r="N22" s="235">
        <v>14591.862999999999</v>
      </c>
      <c r="O22" s="235">
        <v>11271.319</v>
      </c>
      <c r="P22" s="235">
        <v>0</v>
      </c>
      <c r="Q22" s="235">
        <v>0</v>
      </c>
      <c r="R22" s="233">
        <f t="shared" si="2"/>
        <v>91.628728975245764</v>
      </c>
      <c r="S22" s="229">
        <f>+C22-'57_NĐ31'!C21</f>
        <v>0</v>
      </c>
    </row>
    <row r="23" spans="1:19">
      <c r="A23" s="272">
        <v>11</v>
      </c>
      <c r="B23" s="234" t="s">
        <v>1162</v>
      </c>
      <c r="C23" s="235">
        <v>489760.994504</v>
      </c>
      <c r="D23" s="233">
        <f t="shared" si="3"/>
        <v>474564.24918999994</v>
      </c>
      <c r="E23" s="235">
        <f>467130.287556+418.646072</f>
        <v>467548.93362799997</v>
      </c>
      <c r="F23" s="235">
        <v>0</v>
      </c>
      <c r="G23" s="235">
        <v>31</v>
      </c>
      <c r="H23" s="235">
        <v>0</v>
      </c>
      <c r="I23" s="235">
        <v>0</v>
      </c>
      <c r="J23" s="235">
        <v>0</v>
      </c>
      <c r="K23" s="235">
        <v>0</v>
      </c>
      <c r="L23" s="235">
        <v>0</v>
      </c>
      <c r="M23" s="235">
        <v>0</v>
      </c>
      <c r="N23" s="235">
        <v>0</v>
      </c>
      <c r="O23" s="235">
        <f>7402.961634-418.646072</f>
        <v>6984.3155619999998</v>
      </c>
      <c r="P23" s="235">
        <v>0</v>
      </c>
      <c r="Q23" s="235">
        <v>0</v>
      </c>
      <c r="R23" s="233">
        <f t="shared" si="2"/>
        <v>96.897109920035504</v>
      </c>
      <c r="S23" s="229">
        <f>+C23-'57_NĐ31'!C22</f>
        <v>0</v>
      </c>
    </row>
    <row r="24" spans="1:19">
      <c r="A24" s="272">
        <v>12</v>
      </c>
      <c r="B24" s="234" t="s">
        <v>194</v>
      </c>
      <c r="C24" s="235">
        <v>35451.427195999997</v>
      </c>
      <c r="D24" s="233">
        <f t="shared" si="3"/>
        <v>31177.859401000002</v>
      </c>
      <c r="E24" s="235">
        <f>5784.790345-217.4294</f>
        <v>5567.3609450000004</v>
      </c>
      <c r="F24" s="235">
        <v>0</v>
      </c>
      <c r="G24" s="235">
        <v>31.616800000000001</v>
      </c>
      <c r="H24" s="235">
        <v>0</v>
      </c>
      <c r="I24" s="235">
        <v>0</v>
      </c>
      <c r="J24" s="235">
        <v>0</v>
      </c>
      <c r="K24" s="235">
        <v>0</v>
      </c>
      <c r="L24" s="235">
        <v>0</v>
      </c>
      <c r="M24" s="235">
        <v>0</v>
      </c>
      <c r="N24" s="235">
        <v>893.03499999999997</v>
      </c>
      <c r="O24" s="235">
        <v>24685.846656000002</v>
      </c>
      <c r="P24" s="235">
        <v>0</v>
      </c>
      <c r="Q24" s="235">
        <v>0</v>
      </c>
      <c r="R24" s="233">
        <f t="shared" si="2"/>
        <v>87.945287022232534</v>
      </c>
      <c r="S24" s="229">
        <f>+C24-'57_NĐ31'!C23</f>
        <v>0</v>
      </c>
    </row>
    <row r="25" spans="1:19" ht="31.5">
      <c r="A25" s="272">
        <v>13</v>
      </c>
      <c r="B25" s="234" t="s">
        <v>191</v>
      </c>
      <c r="C25" s="235">
        <v>70012.466354999997</v>
      </c>
      <c r="D25" s="233">
        <f t="shared" si="3"/>
        <v>28653.601500000004</v>
      </c>
      <c r="E25" s="235">
        <v>44.398000000000003</v>
      </c>
      <c r="F25" s="235">
        <v>22877.507600000001</v>
      </c>
      <c r="G25" s="235">
        <v>24.6006</v>
      </c>
      <c r="H25" s="235">
        <v>0</v>
      </c>
      <c r="I25" s="235">
        <v>0</v>
      </c>
      <c r="J25" s="235">
        <v>67</v>
      </c>
      <c r="K25" s="235">
        <v>0</v>
      </c>
      <c r="L25" s="235">
        <v>0</v>
      </c>
      <c r="M25" s="235">
        <v>0</v>
      </c>
      <c r="N25" s="235">
        <v>560.7953</v>
      </c>
      <c r="O25" s="235">
        <v>5079.3</v>
      </c>
      <c r="P25" s="235">
        <v>0</v>
      </c>
      <c r="Q25" s="235">
        <v>0</v>
      </c>
      <c r="R25" s="233">
        <f t="shared" si="2"/>
        <v>40.926427808886473</v>
      </c>
      <c r="S25" s="229">
        <f>+C25-'57_NĐ31'!C24</f>
        <v>0</v>
      </c>
    </row>
    <row r="26" spans="1:19">
      <c r="A26" s="272">
        <v>14</v>
      </c>
      <c r="B26" s="234" t="s">
        <v>187</v>
      </c>
      <c r="C26" s="235">
        <v>39411.186070999996</v>
      </c>
      <c r="D26" s="233">
        <f t="shared" si="3"/>
        <v>37118.4205</v>
      </c>
      <c r="E26" s="235">
        <v>64.8</v>
      </c>
      <c r="F26" s="235">
        <v>0</v>
      </c>
      <c r="G26" s="235">
        <v>36</v>
      </c>
      <c r="H26" s="235">
        <v>0</v>
      </c>
      <c r="I26" s="235">
        <v>0</v>
      </c>
      <c r="J26" s="235">
        <v>675</v>
      </c>
      <c r="K26" s="235">
        <v>0</v>
      </c>
      <c r="L26" s="235">
        <v>0</v>
      </c>
      <c r="M26" s="235">
        <v>150</v>
      </c>
      <c r="N26" s="235">
        <v>11144.693499999999</v>
      </c>
      <c r="O26" s="235">
        <v>25047.927</v>
      </c>
      <c r="P26" s="235">
        <v>0</v>
      </c>
      <c r="Q26" s="235">
        <v>0</v>
      </c>
      <c r="R26" s="233">
        <f t="shared" si="2"/>
        <v>94.182449706361197</v>
      </c>
      <c r="S26" s="229">
        <f>+C26-'57_NĐ31'!C25</f>
        <v>0</v>
      </c>
    </row>
    <row r="27" spans="1:19">
      <c r="A27" s="272">
        <v>15</v>
      </c>
      <c r="B27" s="234" t="s">
        <v>1087</v>
      </c>
      <c r="C27" s="235">
        <v>14345.927916000001</v>
      </c>
      <c r="D27" s="233">
        <f t="shared" si="3"/>
        <v>14158.790183000001</v>
      </c>
      <c r="E27" s="235">
        <v>992.13599999999997</v>
      </c>
      <c r="F27" s="235">
        <v>0</v>
      </c>
      <c r="G27" s="235">
        <v>23</v>
      </c>
      <c r="H27" s="235">
        <v>0</v>
      </c>
      <c r="I27" s="235">
        <v>0</v>
      </c>
      <c r="J27" s="235">
        <v>241.02397500000001</v>
      </c>
      <c r="K27" s="235">
        <v>0</v>
      </c>
      <c r="L27" s="235">
        <v>0</v>
      </c>
      <c r="M27" s="235">
        <v>0</v>
      </c>
      <c r="N27" s="235">
        <v>0</v>
      </c>
      <c r="O27" s="235">
        <v>12902.630208</v>
      </c>
      <c r="P27" s="235">
        <v>0</v>
      </c>
      <c r="Q27" s="235">
        <v>0</v>
      </c>
      <c r="R27" s="233">
        <f t="shared" si="2"/>
        <v>98.695534132781432</v>
      </c>
      <c r="S27" s="229">
        <f>+C27-'57_NĐ31'!C26</f>
        <v>0</v>
      </c>
    </row>
    <row r="28" spans="1:19" ht="31.5">
      <c r="A28" s="272">
        <v>16</v>
      </c>
      <c r="B28" s="234" t="s">
        <v>1420</v>
      </c>
      <c r="C28" s="235">
        <v>109023.03316799999</v>
      </c>
      <c r="D28" s="233">
        <f t="shared" si="3"/>
        <v>105912.108532</v>
      </c>
      <c r="E28" s="235">
        <v>13425.3087</v>
      </c>
      <c r="F28" s="235">
        <v>28.632000000000001</v>
      </c>
      <c r="G28" s="235">
        <v>34</v>
      </c>
      <c r="H28" s="235">
        <v>0</v>
      </c>
      <c r="I28" s="235">
        <v>0</v>
      </c>
      <c r="J28" s="235">
        <f>75106.432832-25612.3313</f>
        <v>49494.101532000001</v>
      </c>
      <c r="K28" s="235">
        <v>0</v>
      </c>
      <c r="L28" s="235">
        <f>5464.718+19511.9313</f>
        <v>24976.649300000001</v>
      </c>
      <c r="M28" s="235">
        <v>2943.096</v>
      </c>
      <c r="N28" s="235">
        <v>6100.4</v>
      </c>
      <c r="O28" s="235">
        <v>8856.2999999999993</v>
      </c>
      <c r="P28" s="235">
        <v>53.621000000000002</v>
      </c>
      <c r="Q28" s="235">
        <v>0</v>
      </c>
      <c r="R28" s="233">
        <f t="shared" si="2"/>
        <v>97.146543674669019</v>
      </c>
      <c r="S28" s="229">
        <f>+C28-'57_NĐ31'!C27</f>
        <v>0</v>
      </c>
    </row>
    <row r="29" spans="1:19" ht="23.25" customHeight="1">
      <c r="A29" s="272">
        <v>17</v>
      </c>
      <c r="B29" s="234" t="s">
        <v>190</v>
      </c>
      <c r="C29" s="235">
        <v>10092.682784000001</v>
      </c>
      <c r="D29" s="233">
        <f t="shared" si="3"/>
        <v>9758.1426690000008</v>
      </c>
      <c r="E29" s="235">
        <v>261.73647999999997</v>
      </c>
      <c r="F29" s="235">
        <v>0</v>
      </c>
      <c r="G29" s="235">
        <v>28</v>
      </c>
      <c r="H29" s="235">
        <v>0</v>
      </c>
      <c r="I29" s="235">
        <v>0</v>
      </c>
      <c r="J29" s="235">
        <v>33.957999999999998</v>
      </c>
      <c r="K29" s="235">
        <v>0</v>
      </c>
      <c r="L29" s="235">
        <v>0</v>
      </c>
      <c r="M29" s="235">
        <v>0</v>
      </c>
      <c r="N29" s="235">
        <v>1042.1170119999999</v>
      </c>
      <c r="O29" s="235">
        <v>8392.331177</v>
      </c>
      <c r="P29" s="235">
        <v>0</v>
      </c>
      <c r="Q29" s="235">
        <v>0</v>
      </c>
      <c r="R29" s="233">
        <f t="shared" si="2"/>
        <v>96.685320224961899</v>
      </c>
      <c r="S29" s="229">
        <f>+C29-'57_NĐ31'!C28</f>
        <v>0</v>
      </c>
    </row>
    <row r="30" spans="1:19">
      <c r="A30" s="272">
        <v>18</v>
      </c>
      <c r="B30" s="234" t="s">
        <v>1088</v>
      </c>
      <c r="C30" s="235">
        <v>12449.380999999999</v>
      </c>
      <c r="D30" s="233">
        <f t="shared" si="3"/>
        <v>12101.836599999999</v>
      </c>
      <c r="E30" s="235">
        <v>2253.835</v>
      </c>
      <c r="F30" s="235">
        <v>0</v>
      </c>
      <c r="G30" s="235">
        <v>27</v>
      </c>
      <c r="H30" s="235">
        <v>0</v>
      </c>
      <c r="I30" s="235">
        <v>0</v>
      </c>
      <c r="J30" s="235">
        <v>0</v>
      </c>
      <c r="K30" s="235">
        <v>0</v>
      </c>
      <c r="L30" s="235">
        <v>0</v>
      </c>
      <c r="M30" s="235">
        <v>0</v>
      </c>
      <c r="N30" s="235">
        <v>4674.2979999999998</v>
      </c>
      <c r="O30" s="235">
        <v>5133.2035999999998</v>
      </c>
      <c r="P30" s="235">
        <v>13.5</v>
      </c>
      <c r="Q30" s="235">
        <v>0</v>
      </c>
      <c r="R30" s="233">
        <f t="shared" si="2"/>
        <v>97.208339916659298</v>
      </c>
      <c r="S30" s="229">
        <f>+C30-'57_NĐ31'!C29</f>
        <v>0</v>
      </c>
    </row>
    <row r="31" spans="1:19">
      <c r="A31" s="272">
        <v>19</v>
      </c>
      <c r="B31" s="234" t="s">
        <v>1089</v>
      </c>
      <c r="C31" s="235">
        <v>9946.2360000000008</v>
      </c>
      <c r="D31" s="233">
        <f t="shared" si="3"/>
        <v>9687.5565000000006</v>
      </c>
      <c r="E31" s="235">
        <v>13.5</v>
      </c>
      <c r="F31" s="235">
        <v>0</v>
      </c>
      <c r="G31" s="235">
        <v>24</v>
      </c>
      <c r="H31" s="235">
        <v>0</v>
      </c>
      <c r="I31" s="235">
        <v>0</v>
      </c>
      <c r="J31" s="235">
        <v>0</v>
      </c>
      <c r="K31" s="235">
        <v>0</v>
      </c>
      <c r="L31" s="235">
        <v>0</v>
      </c>
      <c r="M31" s="235">
        <v>0</v>
      </c>
      <c r="N31" s="235">
        <v>0</v>
      </c>
      <c r="O31" s="235">
        <v>9650.0565000000006</v>
      </c>
      <c r="P31" s="235">
        <v>0</v>
      </c>
      <c r="Q31" s="235">
        <v>0</v>
      </c>
      <c r="R31" s="233">
        <f t="shared" si="2"/>
        <v>97.399222178118436</v>
      </c>
      <c r="S31" s="229">
        <f>+C31-'57_NĐ31'!C30</f>
        <v>0</v>
      </c>
    </row>
    <row r="32" spans="1:19">
      <c r="A32" s="272">
        <v>20</v>
      </c>
      <c r="B32" s="234" t="s">
        <v>1090</v>
      </c>
      <c r="C32" s="235">
        <v>15352.4162</v>
      </c>
      <c r="D32" s="233">
        <f t="shared" si="3"/>
        <v>13481.905660999999</v>
      </c>
      <c r="E32" s="235">
        <v>155.21655999999999</v>
      </c>
      <c r="F32" s="235">
        <v>0</v>
      </c>
      <c r="G32" s="235">
        <v>23</v>
      </c>
      <c r="H32" s="235">
        <v>0</v>
      </c>
      <c r="I32" s="235">
        <v>0</v>
      </c>
      <c r="J32" s="235">
        <v>2012.3978440000001</v>
      </c>
      <c r="K32" s="235">
        <v>0</v>
      </c>
      <c r="L32" s="235">
        <v>0</v>
      </c>
      <c r="M32" s="235">
        <v>0</v>
      </c>
      <c r="N32" s="235">
        <v>242.4</v>
      </c>
      <c r="O32" s="235">
        <v>11048.891256999999</v>
      </c>
      <c r="P32" s="235">
        <v>0</v>
      </c>
      <c r="Q32" s="235">
        <v>0</v>
      </c>
      <c r="R32" s="233">
        <f t="shared" si="2"/>
        <v>87.816181409933364</v>
      </c>
      <c r="S32" s="229">
        <f>+C32-'57_NĐ31'!C31</f>
        <v>0</v>
      </c>
    </row>
    <row r="33" spans="1:19">
      <c r="A33" s="272">
        <v>21</v>
      </c>
      <c r="B33" s="234" t="s">
        <v>1091</v>
      </c>
      <c r="C33" s="235">
        <f>+'57_NĐ31'!C32</f>
        <v>6315</v>
      </c>
      <c r="D33" s="233">
        <f t="shared" si="3"/>
        <v>6271.1949999999997</v>
      </c>
      <c r="E33" s="235">
        <v>1630</v>
      </c>
      <c r="F33" s="235">
        <v>340</v>
      </c>
      <c r="G33" s="235">
        <v>0</v>
      </c>
      <c r="H33" s="235">
        <v>0</v>
      </c>
      <c r="I33" s="235">
        <v>0</v>
      </c>
      <c r="J33" s="235">
        <v>0</v>
      </c>
      <c r="K33" s="235">
        <v>0</v>
      </c>
      <c r="L33" s="235">
        <v>0</v>
      </c>
      <c r="M33" s="235">
        <v>0</v>
      </c>
      <c r="N33" s="235">
        <v>35</v>
      </c>
      <c r="O33" s="235">
        <v>4266.1949999999997</v>
      </c>
      <c r="P33" s="235">
        <v>0</v>
      </c>
      <c r="Q33" s="235">
        <v>0</v>
      </c>
      <c r="R33" s="233">
        <f t="shared" si="2"/>
        <v>99.306334125098957</v>
      </c>
      <c r="S33" s="229">
        <f>+C33-'57_NĐ31'!C32</f>
        <v>0</v>
      </c>
    </row>
    <row r="34" spans="1:19" ht="31.5">
      <c r="A34" s="272">
        <v>22</v>
      </c>
      <c r="B34" s="234" t="s">
        <v>1092</v>
      </c>
      <c r="C34" s="235">
        <f>9535.9+23155.2442</f>
        <v>32691.144200000002</v>
      </c>
      <c r="D34" s="233">
        <f t="shared" si="3"/>
        <v>32275.002209000002</v>
      </c>
      <c r="E34" s="235">
        <v>134</v>
      </c>
      <c r="F34" s="235">
        <v>212.36699999999999</v>
      </c>
      <c r="G34" s="235">
        <v>0</v>
      </c>
      <c r="H34" s="235">
        <v>0</v>
      </c>
      <c r="I34" s="235">
        <v>0</v>
      </c>
      <c r="J34" s="235">
        <v>0</v>
      </c>
      <c r="K34" s="235">
        <v>0</v>
      </c>
      <c r="L34" s="235">
        <v>0</v>
      </c>
      <c r="M34" s="235">
        <v>0</v>
      </c>
      <c r="N34" s="235"/>
      <c r="O34" s="235">
        <v>8773.3910090000008</v>
      </c>
      <c r="P34" s="235">
        <f>13191.406403+9963.837797</f>
        <v>23155.244200000001</v>
      </c>
      <c r="Q34" s="235">
        <v>0</v>
      </c>
      <c r="R34" s="233">
        <f t="shared" si="2"/>
        <v>98.727049783103041</v>
      </c>
      <c r="S34" s="229">
        <f>+C34-'57_NĐ31'!C33</f>
        <v>0</v>
      </c>
    </row>
    <row r="35" spans="1:19" ht="31.5">
      <c r="A35" s="272">
        <v>23</v>
      </c>
      <c r="B35" s="234" t="s">
        <v>197</v>
      </c>
      <c r="C35" s="235">
        <v>15150.8244</v>
      </c>
      <c r="D35" s="233">
        <f t="shared" si="3"/>
        <v>13101.103994000001</v>
      </c>
      <c r="E35" s="235">
        <v>135.5</v>
      </c>
      <c r="F35" s="235">
        <v>0</v>
      </c>
      <c r="G35" s="235">
        <v>24</v>
      </c>
      <c r="H35" s="235">
        <v>0</v>
      </c>
      <c r="I35" s="235">
        <v>0</v>
      </c>
      <c r="J35" s="235">
        <v>8137.5421999999999</v>
      </c>
      <c r="K35" s="235">
        <v>0</v>
      </c>
      <c r="L35" s="235">
        <v>0</v>
      </c>
      <c r="M35" s="235">
        <v>100</v>
      </c>
      <c r="N35" s="235">
        <v>0</v>
      </c>
      <c r="O35" s="235">
        <v>4704.0617940000002</v>
      </c>
      <c r="P35" s="235">
        <v>0</v>
      </c>
      <c r="Q35" s="235">
        <v>0</v>
      </c>
      <c r="R35" s="233">
        <f t="shared" si="2"/>
        <v>86.471228549121065</v>
      </c>
      <c r="S35" s="229">
        <f>+C35-'57_NĐ31'!C34</f>
        <v>0</v>
      </c>
    </row>
    <row r="36" spans="1:19" ht="24" customHeight="1">
      <c r="A36" s="272">
        <v>24</v>
      </c>
      <c r="B36" s="234" t="s">
        <v>1093</v>
      </c>
      <c r="C36" s="235">
        <v>4418</v>
      </c>
      <c r="D36" s="233">
        <f t="shared" si="3"/>
        <v>4401.1684999999998</v>
      </c>
      <c r="E36" s="235">
        <v>153.779</v>
      </c>
      <c r="F36" s="235">
        <v>0</v>
      </c>
      <c r="G36" s="235">
        <v>0</v>
      </c>
      <c r="H36" s="235">
        <v>0</v>
      </c>
      <c r="I36" s="235">
        <v>0</v>
      </c>
      <c r="J36" s="235">
        <v>0</v>
      </c>
      <c r="K36" s="235">
        <v>0</v>
      </c>
      <c r="L36" s="235">
        <v>0</v>
      </c>
      <c r="M36" s="235">
        <v>0</v>
      </c>
      <c r="N36" s="235">
        <v>0</v>
      </c>
      <c r="O36" s="235">
        <v>4247.3895000000002</v>
      </c>
      <c r="P36" s="235">
        <v>0</v>
      </c>
      <c r="Q36" s="235">
        <v>0</v>
      </c>
      <c r="R36" s="233">
        <f t="shared" si="2"/>
        <v>99.619024445450421</v>
      </c>
      <c r="S36" s="229">
        <f>+C36-'57_NĐ31'!C35</f>
        <v>0</v>
      </c>
    </row>
    <row r="37" spans="1:19" ht="31.5">
      <c r="A37" s="272">
        <v>25</v>
      </c>
      <c r="B37" s="234" t="s">
        <v>1404</v>
      </c>
      <c r="C37" s="235">
        <v>1287.754799</v>
      </c>
      <c r="D37" s="233">
        <f t="shared" si="3"/>
        <v>1287.754799</v>
      </c>
      <c r="E37" s="235">
        <v>0</v>
      </c>
      <c r="F37" s="235">
        <v>0</v>
      </c>
      <c r="G37" s="235">
        <v>0</v>
      </c>
      <c r="H37" s="235">
        <v>0</v>
      </c>
      <c r="I37" s="235">
        <v>0</v>
      </c>
      <c r="J37" s="235">
        <v>0</v>
      </c>
      <c r="K37" s="235">
        <v>0</v>
      </c>
      <c r="L37" s="235">
        <v>0</v>
      </c>
      <c r="M37" s="235">
        <v>0</v>
      </c>
      <c r="N37" s="235">
        <v>402.10288000000003</v>
      </c>
      <c r="O37" s="235">
        <v>885.65191900000002</v>
      </c>
      <c r="P37" s="235">
        <v>0</v>
      </c>
      <c r="Q37" s="235">
        <v>0</v>
      </c>
      <c r="R37" s="233">
        <f t="shared" si="2"/>
        <v>100</v>
      </c>
      <c r="S37" s="229">
        <f>+C37-'57_NĐ31'!C36</f>
        <v>0</v>
      </c>
    </row>
    <row r="38" spans="1:19">
      <c r="A38" s="272">
        <v>26</v>
      </c>
      <c r="B38" s="234" t="s">
        <v>139</v>
      </c>
      <c r="C38" s="235">
        <v>7470.3613560000003</v>
      </c>
      <c r="D38" s="233">
        <f t="shared" si="3"/>
        <v>7194.2118279999995</v>
      </c>
      <c r="E38" s="235">
        <v>139.234397</v>
      </c>
      <c r="F38" s="235">
        <v>103.1726</v>
      </c>
      <c r="G38" s="235">
        <v>0</v>
      </c>
      <c r="H38" s="235">
        <v>0</v>
      </c>
      <c r="I38" s="235">
        <v>0</v>
      </c>
      <c r="J38" s="235">
        <v>494</v>
      </c>
      <c r="K38" s="235">
        <v>0</v>
      </c>
      <c r="L38" s="235">
        <v>0</v>
      </c>
      <c r="M38" s="235">
        <v>0</v>
      </c>
      <c r="N38" s="235">
        <v>1403.4643060000001</v>
      </c>
      <c r="O38" s="235">
        <v>5054.3405249999996</v>
      </c>
      <c r="P38" s="235">
        <v>0</v>
      </c>
      <c r="Q38" s="235">
        <v>0</v>
      </c>
      <c r="R38" s="233">
        <f t="shared" si="2"/>
        <v>96.303397990537562</v>
      </c>
      <c r="S38" s="229">
        <f>+C38-'57_NĐ31'!C37</f>
        <v>0</v>
      </c>
    </row>
    <row r="39" spans="1:19" ht="31.5">
      <c r="A39" s="272">
        <v>27</v>
      </c>
      <c r="B39" s="234" t="s">
        <v>1405</v>
      </c>
      <c r="C39" s="235">
        <v>2433.9057790000002</v>
      </c>
      <c r="D39" s="233">
        <f t="shared" si="3"/>
        <v>2433.9057789999997</v>
      </c>
      <c r="E39" s="235">
        <v>0</v>
      </c>
      <c r="F39" s="235">
        <v>0</v>
      </c>
      <c r="G39" s="235">
        <v>0</v>
      </c>
      <c r="H39" s="235">
        <v>0</v>
      </c>
      <c r="I39" s="235">
        <v>0</v>
      </c>
      <c r="J39" s="235">
        <v>0</v>
      </c>
      <c r="K39" s="235">
        <v>0</v>
      </c>
      <c r="L39" s="235">
        <v>0</v>
      </c>
      <c r="M39" s="235">
        <v>14</v>
      </c>
      <c r="N39" s="235">
        <v>676.23877900000002</v>
      </c>
      <c r="O39" s="235">
        <v>1743.6669999999999</v>
      </c>
      <c r="P39" s="235">
        <v>0</v>
      </c>
      <c r="Q39" s="235">
        <v>0</v>
      </c>
      <c r="R39" s="233">
        <f t="shared" si="2"/>
        <v>99.999999999999972</v>
      </c>
      <c r="S39" s="229">
        <f>+C39-'57_NĐ31'!C38</f>
        <v>0</v>
      </c>
    </row>
    <row r="40" spans="1:19">
      <c r="A40" s="272">
        <v>28</v>
      </c>
      <c r="B40" s="234" t="s">
        <v>1094</v>
      </c>
      <c r="C40" s="235">
        <v>3048.6149999999998</v>
      </c>
      <c r="D40" s="233">
        <f t="shared" si="3"/>
        <v>3048.6149999999998</v>
      </c>
      <c r="E40" s="235">
        <v>105</v>
      </c>
      <c r="F40" s="235">
        <v>0</v>
      </c>
      <c r="G40" s="235">
        <v>0</v>
      </c>
      <c r="H40" s="235">
        <v>0</v>
      </c>
      <c r="I40" s="235">
        <v>0</v>
      </c>
      <c r="J40" s="235">
        <v>0</v>
      </c>
      <c r="K40" s="235">
        <v>0</v>
      </c>
      <c r="L40" s="235">
        <v>0</v>
      </c>
      <c r="M40" s="235">
        <v>0</v>
      </c>
      <c r="N40" s="235">
        <v>0</v>
      </c>
      <c r="O40" s="235">
        <v>2943.6149999999998</v>
      </c>
      <c r="P40" s="235">
        <v>0</v>
      </c>
      <c r="Q40" s="235">
        <v>0</v>
      </c>
      <c r="R40" s="233">
        <f t="shared" si="2"/>
        <v>100</v>
      </c>
      <c r="S40" s="229">
        <f>+C40-'57_NĐ31'!C39</f>
        <v>0</v>
      </c>
    </row>
    <row r="41" spans="1:19" ht="31.5">
      <c r="A41" s="272">
        <v>29</v>
      </c>
      <c r="B41" s="237" t="s">
        <v>1416</v>
      </c>
      <c r="C41" s="235">
        <f>1134+933.535782</f>
        <v>2067.5357819999999</v>
      </c>
      <c r="D41" s="233">
        <f t="shared" si="3"/>
        <v>2065.9427820000001</v>
      </c>
      <c r="E41" s="235">
        <v>0</v>
      </c>
      <c r="F41" s="235">
        <v>0</v>
      </c>
      <c r="G41" s="235">
        <v>0</v>
      </c>
      <c r="H41" s="235">
        <v>0</v>
      </c>
      <c r="I41" s="235">
        <v>0</v>
      </c>
      <c r="J41" s="235">
        <v>0</v>
      </c>
      <c r="K41" s="235">
        <v>0</v>
      </c>
      <c r="L41" s="235">
        <v>0</v>
      </c>
      <c r="M41" s="235">
        <v>0</v>
      </c>
      <c r="N41" s="235">
        <v>0</v>
      </c>
      <c r="O41" s="235">
        <f>1132.407+933.535782</f>
        <v>2065.9427820000001</v>
      </c>
      <c r="P41" s="235">
        <v>0</v>
      </c>
      <c r="Q41" s="235">
        <v>0</v>
      </c>
      <c r="R41" s="233">
        <f t="shared" si="2"/>
        <v>99.92295175668211</v>
      </c>
      <c r="S41" s="229">
        <f>+C41-'57_NĐ31'!C41</f>
        <v>0</v>
      </c>
    </row>
    <row r="42" spans="1:19" ht="36.75" customHeight="1">
      <c r="A42" s="272">
        <v>30</v>
      </c>
      <c r="B42" s="234" t="s">
        <v>134</v>
      </c>
      <c r="C42" s="235">
        <v>720</v>
      </c>
      <c r="D42" s="233">
        <f>SUM(E42:Q42)</f>
        <v>720</v>
      </c>
      <c r="E42" s="235"/>
      <c r="F42" s="235"/>
      <c r="G42" s="235"/>
      <c r="H42" s="235"/>
      <c r="I42" s="235"/>
      <c r="J42" s="235"/>
      <c r="K42" s="235"/>
      <c r="L42" s="235"/>
      <c r="M42" s="235"/>
      <c r="N42" s="235"/>
      <c r="O42" s="235">
        <v>720</v>
      </c>
      <c r="P42" s="235"/>
      <c r="Q42" s="235"/>
      <c r="R42" s="233">
        <f>+D42/C42*100</f>
        <v>100</v>
      </c>
      <c r="S42" s="229">
        <f>+C42-'57_NĐ31'!C40</f>
        <v>0</v>
      </c>
    </row>
    <row r="43" spans="1:19" ht="31.5">
      <c r="A43" s="272">
        <v>31</v>
      </c>
      <c r="B43" s="234" t="s">
        <v>1389</v>
      </c>
      <c r="C43" s="235">
        <v>37153.824999999997</v>
      </c>
      <c r="D43" s="233">
        <f t="shared" si="3"/>
        <v>36668.370000000003</v>
      </c>
      <c r="E43" s="235">
        <v>36634.370000000003</v>
      </c>
      <c r="F43" s="235">
        <v>0</v>
      </c>
      <c r="G43" s="235">
        <v>34</v>
      </c>
      <c r="H43" s="235">
        <v>0</v>
      </c>
      <c r="I43" s="235">
        <v>0</v>
      </c>
      <c r="J43" s="235">
        <v>0</v>
      </c>
      <c r="K43" s="235">
        <v>0</v>
      </c>
      <c r="L43" s="235">
        <v>0</v>
      </c>
      <c r="M43" s="235">
        <v>0</v>
      </c>
      <c r="N43" s="235">
        <v>0</v>
      </c>
      <c r="O43" s="235">
        <v>0</v>
      </c>
      <c r="P43" s="235">
        <v>0</v>
      </c>
      <c r="Q43" s="235">
        <v>0</v>
      </c>
      <c r="R43" s="233">
        <f t="shared" si="2"/>
        <v>98.693391595616347</v>
      </c>
      <c r="S43" s="229">
        <f>+C43-'57_NĐ31'!C42</f>
        <v>0</v>
      </c>
    </row>
    <row r="44" spans="1:19" ht="33.75" customHeight="1">
      <c r="A44" s="272">
        <v>32</v>
      </c>
      <c r="B44" s="234" t="s">
        <v>1407</v>
      </c>
      <c r="C44" s="235">
        <v>20758.669000000002</v>
      </c>
      <c r="D44" s="233">
        <f t="shared" si="3"/>
        <v>20664.582999999999</v>
      </c>
      <c r="E44" s="235">
        <v>20664.582999999999</v>
      </c>
      <c r="F44" s="235">
        <v>0</v>
      </c>
      <c r="G44" s="235">
        <v>0</v>
      </c>
      <c r="H44" s="235">
        <v>0</v>
      </c>
      <c r="I44" s="235">
        <v>0</v>
      </c>
      <c r="J44" s="235">
        <v>0</v>
      </c>
      <c r="K44" s="235">
        <v>0</v>
      </c>
      <c r="L44" s="235">
        <v>0</v>
      </c>
      <c r="M44" s="235">
        <v>0</v>
      </c>
      <c r="N44" s="235">
        <v>0</v>
      </c>
      <c r="O44" s="235">
        <v>0</v>
      </c>
      <c r="P44" s="235">
        <v>0</v>
      </c>
      <c r="Q44" s="235">
        <v>0</v>
      </c>
      <c r="R44" s="233">
        <f t="shared" si="2"/>
        <v>99.546762848812691</v>
      </c>
      <c r="S44" s="229">
        <f>+C44-'57_NĐ31'!C43</f>
        <v>0</v>
      </c>
    </row>
    <row r="45" spans="1:19" ht="31.5">
      <c r="A45" s="272">
        <v>33</v>
      </c>
      <c r="B45" s="234" t="s">
        <v>1426</v>
      </c>
      <c r="C45" s="235">
        <v>18414.414402999999</v>
      </c>
      <c r="D45" s="233">
        <f t="shared" si="3"/>
        <v>15719.760738000001</v>
      </c>
      <c r="E45" s="235">
        <v>15678.760738000001</v>
      </c>
      <c r="F45" s="235">
        <v>0</v>
      </c>
      <c r="G45" s="235">
        <v>41</v>
      </c>
      <c r="H45" s="235">
        <v>0</v>
      </c>
      <c r="I45" s="235">
        <v>0</v>
      </c>
      <c r="J45" s="235">
        <v>0</v>
      </c>
      <c r="K45" s="235">
        <v>0</v>
      </c>
      <c r="L45" s="235">
        <v>0</v>
      </c>
      <c r="M45" s="235">
        <v>0</v>
      </c>
      <c r="N45" s="235">
        <v>0</v>
      </c>
      <c r="O45" s="235">
        <v>0</v>
      </c>
      <c r="P45" s="235">
        <v>0</v>
      </c>
      <c r="Q45" s="235">
        <v>0</v>
      </c>
      <c r="R45" s="233">
        <f t="shared" si="2"/>
        <v>85.366606800371585</v>
      </c>
      <c r="S45" s="229">
        <f>+C45-'57_NĐ31'!C44</f>
        <v>0</v>
      </c>
    </row>
    <row r="46" spans="1:19" ht="23.25" customHeight="1">
      <c r="A46" s="272">
        <v>34</v>
      </c>
      <c r="B46" s="234" t="s">
        <v>1095</v>
      </c>
      <c r="C46" s="235">
        <v>11921.777122</v>
      </c>
      <c r="D46" s="233">
        <f t="shared" si="3"/>
        <v>11435.8995</v>
      </c>
      <c r="E46" s="235">
        <v>11435.8995</v>
      </c>
      <c r="F46" s="235">
        <v>0</v>
      </c>
      <c r="G46" s="235">
        <v>0</v>
      </c>
      <c r="H46" s="235">
        <v>0</v>
      </c>
      <c r="I46" s="235">
        <v>0</v>
      </c>
      <c r="J46" s="235">
        <v>0</v>
      </c>
      <c r="K46" s="235">
        <v>0</v>
      </c>
      <c r="L46" s="235">
        <v>0</v>
      </c>
      <c r="M46" s="235">
        <v>0</v>
      </c>
      <c r="N46" s="235">
        <v>0</v>
      </c>
      <c r="O46" s="235">
        <v>0</v>
      </c>
      <c r="P46" s="235">
        <v>0</v>
      </c>
      <c r="Q46" s="235">
        <v>0</v>
      </c>
      <c r="R46" s="233">
        <f t="shared" si="2"/>
        <v>95.924453065781776</v>
      </c>
      <c r="S46" s="229">
        <f>+C46-'57_NĐ31'!C45</f>
        <v>0</v>
      </c>
    </row>
    <row r="47" spans="1:19" ht="27" customHeight="1">
      <c r="A47" s="272">
        <v>35</v>
      </c>
      <c r="B47" s="234" t="s">
        <v>1408</v>
      </c>
      <c r="C47" s="235">
        <v>22010.057786000001</v>
      </c>
      <c r="D47" s="233">
        <f t="shared" si="3"/>
        <v>9566.8692769999998</v>
      </c>
      <c r="E47" s="235">
        <v>9538.993477</v>
      </c>
      <c r="F47" s="235">
        <v>0</v>
      </c>
      <c r="G47" s="235">
        <v>27.875800000000002</v>
      </c>
      <c r="H47" s="235">
        <v>0</v>
      </c>
      <c r="I47" s="235">
        <v>0</v>
      </c>
      <c r="J47" s="235">
        <v>0</v>
      </c>
      <c r="K47" s="235">
        <v>0</v>
      </c>
      <c r="L47" s="235">
        <v>0</v>
      </c>
      <c r="M47" s="235">
        <v>0</v>
      </c>
      <c r="N47" s="235">
        <v>0</v>
      </c>
      <c r="O47" s="235">
        <v>0</v>
      </c>
      <c r="P47" s="235">
        <v>0</v>
      </c>
      <c r="Q47" s="235">
        <v>0</v>
      </c>
      <c r="R47" s="233">
        <f t="shared" si="2"/>
        <v>43.465898045416424</v>
      </c>
      <c r="S47" s="229">
        <f>+C47-'57_NĐ31'!C46</f>
        <v>0</v>
      </c>
    </row>
    <row r="48" spans="1:19" ht="47.25">
      <c r="A48" s="272">
        <v>36</v>
      </c>
      <c r="B48" s="234" t="s">
        <v>1409</v>
      </c>
      <c r="C48" s="235">
        <v>2515.1023839999998</v>
      </c>
      <c r="D48" s="233">
        <f t="shared" si="3"/>
        <v>2515.1023839999998</v>
      </c>
      <c r="E48" s="235">
        <v>2515.1023839999998</v>
      </c>
      <c r="F48" s="235">
        <v>0</v>
      </c>
      <c r="G48" s="235">
        <v>0</v>
      </c>
      <c r="H48" s="235">
        <v>0</v>
      </c>
      <c r="I48" s="235">
        <v>0</v>
      </c>
      <c r="J48" s="235">
        <v>0</v>
      </c>
      <c r="K48" s="235">
        <v>0</v>
      </c>
      <c r="L48" s="235">
        <v>0</v>
      </c>
      <c r="M48" s="235">
        <v>0</v>
      </c>
      <c r="N48" s="235">
        <v>0</v>
      </c>
      <c r="O48" s="235">
        <v>0</v>
      </c>
      <c r="P48" s="235">
        <v>0</v>
      </c>
      <c r="Q48" s="235">
        <v>0</v>
      </c>
      <c r="R48" s="233">
        <f t="shared" si="2"/>
        <v>100</v>
      </c>
      <c r="S48" s="229">
        <f>+C48-'57_NĐ31'!C47</f>
        <v>0</v>
      </c>
    </row>
    <row r="49" spans="1:19" ht="47.25">
      <c r="A49" s="272">
        <v>37</v>
      </c>
      <c r="B49" s="234" t="s">
        <v>1410</v>
      </c>
      <c r="C49" s="235">
        <v>22641.356</v>
      </c>
      <c r="D49" s="233">
        <f t="shared" si="3"/>
        <v>22641.356</v>
      </c>
      <c r="E49" s="235">
        <v>0</v>
      </c>
      <c r="F49" s="235">
        <v>0</v>
      </c>
      <c r="G49" s="235">
        <v>0</v>
      </c>
      <c r="H49" s="235">
        <v>0</v>
      </c>
      <c r="I49" s="235">
        <v>0</v>
      </c>
      <c r="J49" s="235">
        <v>20</v>
      </c>
      <c r="K49" s="235">
        <v>0</v>
      </c>
      <c r="L49" s="235">
        <v>0</v>
      </c>
      <c r="M49" s="235">
        <v>0</v>
      </c>
      <c r="N49" s="235">
        <v>18077.356</v>
      </c>
      <c r="O49" s="235">
        <v>4544</v>
      </c>
      <c r="P49" s="235">
        <v>0</v>
      </c>
      <c r="Q49" s="235">
        <v>0</v>
      </c>
      <c r="R49" s="233">
        <f t="shared" si="2"/>
        <v>100</v>
      </c>
      <c r="S49" s="229">
        <f>+C49-'57_NĐ31'!C48</f>
        <v>0</v>
      </c>
    </row>
    <row r="50" spans="1:19" ht="31.5">
      <c r="A50" s="272">
        <v>38</v>
      </c>
      <c r="B50" s="234" t="s">
        <v>1390</v>
      </c>
      <c r="C50" s="235">
        <v>18524.599999999999</v>
      </c>
      <c r="D50" s="233">
        <f t="shared" si="3"/>
        <v>18354.839</v>
      </c>
      <c r="E50" s="235">
        <v>0</v>
      </c>
      <c r="F50" s="235">
        <v>0</v>
      </c>
      <c r="G50" s="235">
        <v>24</v>
      </c>
      <c r="H50" s="235">
        <v>0</v>
      </c>
      <c r="I50" s="235">
        <v>0</v>
      </c>
      <c r="J50" s="235">
        <v>1316.6</v>
      </c>
      <c r="K50" s="235">
        <f>18354.839-24-1316.6</f>
        <v>17014.239000000001</v>
      </c>
      <c r="L50" s="235">
        <v>0</v>
      </c>
      <c r="M50" s="235">
        <v>0</v>
      </c>
      <c r="N50" s="235">
        <v>0</v>
      </c>
      <c r="O50" s="235">
        <v>0</v>
      </c>
      <c r="P50" s="235">
        <v>0</v>
      </c>
      <c r="Q50" s="235">
        <v>0</v>
      </c>
      <c r="R50" s="233">
        <f t="shared" si="2"/>
        <v>99.083591548535466</v>
      </c>
      <c r="S50" s="229">
        <f>+C50-'57_NĐ31'!C49</f>
        <v>0</v>
      </c>
    </row>
    <row r="51" spans="1:19" ht="41.25" customHeight="1">
      <c r="A51" s="272">
        <v>39</v>
      </c>
      <c r="B51" s="234" t="s">
        <v>133</v>
      </c>
      <c r="C51" s="235">
        <v>76016</v>
      </c>
      <c r="D51" s="233">
        <f>SUM(E51:Q51)</f>
        <v>68298.461511999994</v>
      </c>
      <c r="E51" s="235"/>
      <c r="F51" s="235"/>
      <c r="G51" s="235"/>
      <c r="H51" s="235"/>
      <c r="I51" s="235"/>
      <c r="J51" s="235"/>
      <c r="K51" s="235"/>
      <c r="L51" s="235"/>
      <c r="M51" s="235"/>
      <c r="N51" s="235">
        <v>68298.461511999994</v>
      </c>
      <c r="O51" s="235"/>
      <c r="P51" s="235"/>
      <c r="Q51" s="235"/>
      <c r="R51" s="233">
        <f>+D51/C51*100</f>
        <v>89.847481467059566</v>
      </c>
      <c r="S51" s="229">
        <f>+C51-'57_NĐ31'!C50</f>
        <v>0</v>
      </c>
    </row>
    <row r="52" spans="1:19" ht="31.5">
      <c r="A52" s="272">
        <v>40</v>
      </c>
      <c r="B52" s="234" t="s">
        <v>1411</v>
      </c>
      <c r="C52" s="235">
        <f>+'57_NĐ31'!C51</f>
        <v>19071.920919999997</v>
      </c>
      <c r="D52" s="233">
        <f t="shared" si="3"/>
        <v>17917.707419999999</v>
      </c>
      <c r="E52" s="235">
        <v>0</v>
      </c>
      <c r="F52" s="235">
        <v>0</v>
      </c>
      <c r="G52" s="235">
        <v>0</v>
      </c>
      <c r="H52" s="235">
        <v>0</v>
      </c>
      <c r="I52" s="235">
        <v>0</v>
      </c>
      <c r="J52" s="235">
        <v>0</v>
      </c>
      <c r="K52" s="235">
        <v>0</v>
      </c>
      <c r="L52" s="235">
        <v>0</v>
      </c>
      <c r="M52" s="235">
        <v>17917.707419999999</v>
      </c>
      <c r="N52" s="235">
        <v>0</v>
      </c>
      <c r="O52" s="235">
        <v>0</v>
      </c>
      <c r="P52" s="235">
        <v>0</v>
      </c>
      <c r="Q52" s="235">
        <v>0</v>
      </c>
      <c r="R52" s="233">
        <f t="shared" si="2"/>
        <v>93.948100430777174</v>
      </c>
      <c r="S52" s="229">
        <f>+C52-'57_NĐ31'!C51</f>
        <v>0</v>
      </c>
    </row>
    <row r="53" spans="1:19" ht="24" customHeight="1">
      <c r="A53" s="272">
        <v>41</v>
      </c>
      <c r="B53" s="234" t="s">
        <v>119</v>
      </c>
      <c r="C53" s="233">
        <f>+'57_NĐ31'!C52</f>
        <v>98023.719924000005</v>
      </c>
      <c r="D53" s="233">
        <f t="shared" ref="D53:D59" si="4">SUM(E53:Q53)</f>
        <v>94342.911882999993</v>
      </c>
      <c r="E53" s="233"/>
      <c r="F53" s="238">
        <v>84.781884000000005</v>
      </c>
      <c r="G53" s="233"/>
      <c r="H53" s="233"/>
      <c r="I53" s="233"/>
      <c r="J53" s="233"/>
      <c r="K53" s="233"/>
      <c r="L53" s="233"/>
      <c r="M53" s="233"/>
      <c r="N53" s="233"/>
      <c r="O53" s="233">
        <v>94258.129998999997</v>
      </c>
      <c r="P53" s="233"/>
      <c r="Q53" s="233"/>
      <c r="R53" s="239">
        <f t="shared" ref="R53:R59" si="5">+D53/C53*100</f>
        <v>96.244982292190272</v>
      </c>
      <c r="S53" s="229">
        <f>+C53-'57_NĐ31'!C52</f>
        <v>0</v>
      </c>
    </row>
    <row r="54" spans="1:19" ht="36.75" customHeight="1">
      <c r="A54" s="272">
        <v>42</v>
      </c>
      <c r="B54" s="234" t="s">
        <v>1415</v>
      </c>
      <c r="C54" s="233">
        <v>10821.363518</v>
      </c>
      <c r="D54" s="233">
        <f t="shared" si="4"/>
        <v>10821.363518</v>
      </c>
      <c r="E54" s="233"/>
      <c r="F54" s="233"/>
      <c r="G54" s="233">
        <v>9780</v>
      </c>
      <c r="H54" s="233"/>
      <c r="I54" s="233"/>
      <c r="J54" s="233"/>
      <c r="K54" s="233"/>
      <c r="L54" s="233"/>
      <c r="M54" s="233"/>
      <c r="N54" s="233"/>
      <c r="O54" s="233">
        <v>1041.3635180000001</v>
      </c>
      <c r="P54" s="233"/>
      <c r="Q54" s="233"/>
      <c r="R54" s="233">
        <f t="shared" si="5"/>
        <v>100</v>
      </c>
      <c r="S54" s="229">
        <f>+C54-'57_NĐ31'!C53</f>
        <v>0</v>
      </c>
    </row>
    <row r="55" spans="1:19" ht="24" customHeight="1">
      <c r="A55" s="272">
        <v>43</v>
      </c>
      <c r="B55" s="234" t="s">
        <v>120</v>
      </c>
      <c r="C55" s="233">
        <f>+'57_NĐ31'!C54</f>
        <v>48889.414691999998</v>
      </c>
      <c r="D55" s="233">
        <f t="shared" si="4"/>
        <v>48889.242491999998</v>
      </c>
      <c r="E55" s="233">
        <v>8892</v>
      </c>
      <c r="F55" s="233"/>
      <c r="G55" s="233">
        <v>39997.242491999998</v>
      </c>
      <c r="H55" s="233"/>
      <c r="I55" s="233"/>
      <c r="J55" s="233"/>
      <c r="K55" s="233"/>
      <c r="L55" s="233"/>
      <c r="M55" s="233"/>
      <c r="N55" s="233"/>
      <c r="O55" s="233"/>
      <c r="P55" s="233"/>
      <c r="Q55" s="233"/>
      <c r="R55" s="233">
        <f t="shared" si="5"/>
        <v>99.999647776515459</v>
      </c>
      <c r="S55" s="229">
        <f>+C55-'57_NĐ31'!C54</f>
        <v>0</v>
      </c>
    </row>
    <row r="56" spans="1:19" ht="24" customHeight="1">
      <c r="A56" s="272">
        <v>44</v>
      </c>
      <c r="B56" s="234" t="s">
        <v>121</v>
      </c>
      <c r="C56" s="233">
        <f>+'57_NĐ31'!C55</f>
        <v>25795</v>
      </c>
      <c r="D56" s="233">
        <f t="shared" si="4"/>
        <v>25794.71</v>
      </c>
      <c r="E56" s="233">
        <v>4848.71</v>
      </c>
      <c r="F56" s="233"/>
      <c r="G56" s="233"/>
      <c r="H56" s="233">
        <f>20826+70</f>
        <v>20896</v>
      </c>
      <c r="I56" s="233"/>
      <c r="J56" s="233">
        <v>50</v>
      </c>
      <c r="K56" s="233"/>
      <c r="L56" s="233"/>
      <c r="M56" s="233"/>
      <c r="N56" s="233"/>
      <c r="O56" s="233"/>
      <c r="P56" s="233"/>
      <c r="Q56" s="233"/>
      <c r="R56" s="233">
        <f t="shared" si="5"/>
        <v>99.998875751114554</v>
      </c>
      <c r="S56" s="229">
        <f>+C56-'57_NĐ31'!C55</f>
        <v>0</v>
      </c>
    </row>
    <row r="57" spans="1:19" ht="31.5">
      <c r="A57" s="272">
        <v>45</v>
      </c>
      <c r="B57" s="234" t="s">
        <v>130</v>
      </c>
      <c r="C57" s="235">
        <v>1917</v>
      </c>
      <c r="D57" s="233">
        <f t="shared" si="4"/>
        <v>1887</v>
      </c>
      <c r="E57" s="235"/>
      <c r="F57" s="235"/>
      <c r="G57" s="235"/>
      <c r="H57" s="235"/>
      <c r="I57" s="235"/>
      <c r="J57" s="235">
        <v>1217</v>
      </c>
      <c r="K57" s="235"/>
      <c r="L57" s="235"/>
      <c r="M57" s="235"/>
      <c r="N57" s="235">
        <v>670</v>
      </c>
      <c r="O57" s="235"/>
      <c r="P57" s="235"/>
      <c r="Q57" s="235"/>
      <c r="R57" s="233">
        <f t="shared" si="5"/>
        <v>98.435054773082939</v>
      </c>
      <c r="S57" s="229">
        <f>+C57-'57_NĐ31'!C56</f>
        <v>0</v>
      </c>
    </row>
    <row r="58" spans="1:19" ht="31.5">
      <c r="A58" s="272">
        <v>46</v>
      </c>
      <c r="B58" s="234" t="s">
        <v>125</v>
      </c>
      <c r="C58" s="233">
        <f>361590.26081</f>
        <v>361590.26081000001</v>
      </c>
      <c r="D58" s="233">
        <f t="shared" si="4"/>
        <v>361590.26081000001</v>
      </c>
      <c r="E58" s="235"/>
      <c r="F58" s="235"/>
      <c r="G58" s="235"/>
      <c r="H58" s="235"/>
      <c r="I58" s="233">
        <f>361590.26081</f>
        <v>361590.26081000001</v>
      </c>
      <c r="J58" s="235"/>
      <c r="K58" s="235"/>
      <c r="L58" s="235"/>
      <c r="M58" s="235"/>
      <c r="N58" s="235"/>
      <c r="O58" s="235"/>
      <c r="P58" s="235"/>
      <c r="Q58" s="235"/>
      <c r="R58" s="233">
        <f t="shared" si="5"/>
        <v>100</v>
      </c>
      <c r="S58" s="229">
        <f>+C58-'57_NĐ31'!C57</f>
        <v>0</v>
      </c>
    </row>
    <row r="59" spans="1:19" ht="47.25">
      <c r="A59" s="272">
        <v>47</v>
      </c>
      <c r="B59" s="234" t="s">
        <v>129</v>
      </c>
      <c r="C59" s="235">
        <v>58791</v>
      </c>
      <c r="D59" s="233">
        <f t="shared" si="4"/>
        <v>58791</v>
      </c>
      <c r="E59" s="235"/>
      <c r="F59" s="235"/>
      <c r="G59" s="235"/>
      <c r="H59" s="235"/>
      <c r="I59" s="235"/>
      <c r="J59" s="235"/>
      <c r="K59" s="235"/>
      <c r="L59" s="235"/>
      <c r="M59" s="235"/>
      <c r="N59" s="235">
        <f>+C59-Q59</f>
        <v>58691</v>
      </c>
      <c r="O59" s="235"/>
      <c r="P59" s="235"/>
      <c r="Q59" s="235">
        <v>100</v>
      </c>
      <c r="R59" s="233">
        <f t="shared" si="5"/>
        <v>100</v>
      </c>
      <c r="S59" s="229">
        <f>+C59-'57_NĐ31'!C58</f>
        <v>0</v>
      </c>
    </row>
    <row r="60" spans="1:19" ht="21.75" customHeight="1">
      <c r="A60" s="272">
        <v>48</v>
      </c>
      <c r="B60" s="234" t="s">
        <v>1392</v>
      </c>
      <c r="C60" s="235">
        <v>3195.307542</v>
      </c>
      <c r="D60" s="233">
        <f t="shared" si="3"/>
        <v>3195.307542</v>
      </c>
      <c r="E60" s="235">
        <v>0</v>
      </c>
      <c r="F60" s="235">
        <v>0</v>
      </c>
      <c r="G60" s="235">
        <v>0</v>
      </c>
      <c r="H60" s="235">
        <v>0</v>
      </c>
      <c r="I60" s="235">
        <v>0</v>
      </c>
      <c r="J60" s="235">
        <v>0</v>
      </c>
      <c r="K60" s="235">
        <v>0</v>
      </c>
      <c r="L60" s="235">
        <v>0</v>
      </c>
      <c r="M60" s="235">
        <v>0</v>
      </c>
      <c r="N60" s="235">
        <v>0</v>
      </c>
      <c r="O60" s="235">
        <v>0</v>
      </c>
      <c r="P60" s="235">
        <v>743.37254199999995</v>
      </c>
      <c r="Q60" s="235">
        <v>2451.9349999999999</v>
      </c>
      <c r="R60" s="233">
        <f t="shared" si="2"/>
        <v>100</v>
      </c>
      <c r="S60" s="229">
        <f>+C60-'57_NĐ31'!C59</f>
        <v>0</v>
      </c>
    </row>
    <row r="61" spans="1:19" ht="21" customHeight="1">
      <c r="A61" s="272">
        <v>49</v>
      </c>
      <c r="B61" s="234" t="s">
        <v>1096</v>
      </c>
      <c r="C61" s="235">
        <v>750</v>
      </c>
      <c r="D61" s="233">
        <f t="shared" si="3"/>
        <v>750</v>
      </c>
      <c r="E61" s="235">
        <v>0</v>
      </c>
      <c r="F61" s="235">
        <v>0</v>
      </c>
      <c r="G61" s="235">
        <v>0</v>
      </c>
      <c r="H61" s="235">
        <v>0</v>
      </c>
      <c r="I61" s="235">
        <v>0</v>
      </c>
      <c r="J61" s="235">
        <v>0</v>
      </c>
      <c r="K61" s="235">
        <v>0</v>
      </c>
      <c r="L61" s="235">
        <v>0</v>
      </c>
      <c r="M61" s="235">
        <v>0</v>
      </c>
      <c r="N61" s="235">
        <v>0</v>
      </c>
      <c r="O61" s="235">
        <v>0</v>
      </c>
      <c r="P61" s="235">
        <v>0</v>
      </c>
      <c r="Q61" s="235">
        <v>750</v>
      </c>
      <c r="R61" s="233">
        <f t="shared" si="2"/>
        <v>100</v>
      </c>
      <c r="S61" s="229">
        <f>+C61-'57_NĐ31'!C60</f>
        <v>0</v>
      </c>
    </row>
    <row r="62" spans="1:19" ht="23.25" customHeight="1">
      <c r="A62" s="272">
        <v>50</v>
      </c>
      <c r="B62" s="234" t="s">
        <v>1097</v>
      </c>
      <c r="C62" s="235">
        <v>350</v>
      </c>
      <c r="D62" s="233">
        <f t="shared" si="3"/>
        <v>350</v>
      </c>
      <c r="E62" s="235">
        <v>0</v>
      </c>
      <c r="F62" s="235">
        <v>0</v>
      </c>
      <c r="G62" s="235">
        <v>0</v>
      </c>
      <c r="H62" s="235">
        <v>0</v>
      </c>
      <c r="I62" s="235">
        <v>0</v>
      </c>
      <c r="J62" s="235">
        <v>0</v>
      </c>
      <c r="K62" s="235">
        <v>0</v>
      </c>
      <c r="L62" s="235">
        <v>0</v>
      </c>
      <c r="M62" s="235">
        <v>0</v>
      </c>
      <c r="N62" s="235">
        <v>0</v>
      </c>
      <c r="O62" s="235">
        <v>350</v>
      </c>
      <c r="P62" s="235">
        <v>0</v>
      </c>
      <c r="Q62" s="235">
        <v>0</v>
      </c>
      <c r="R62" s="233">
        <f t="shared" si="2"/>
        <v>100</v>
      </c>
      <c r="S62" s="229">
        <f>+C62-'57_NĐ31'!C61</f>
        <v>0</v>
      </c>
    </row>
    <row r="63" spans="1:19" ht="31.5">
      <c r="A63" s="272">
        <v>51</v>
      </c>
      <c r="B63" s="234" t="s">
        <v>1417</v>
      </c>
      <c r="C63" s="235">
        <v>555</v>
      </c>
      <c r="D63" s="233">
        <f t="shared" si="3"/>
        <v>555</v>
      </c>
      <c r="E63" s="235">
        <v>0</v>
      </c>
      <c r="F63" s="235">
        <v>0</v>
      </c>
      <c r="G63" s="235">
        <v>0</v>
      </c>
      <c r="H63" s="235">
        <v>0</v>
      </c>
      <c r="I63" s="235">
        <v>0</v>
      </c>
      <c r="J63" s="235">
        <v>0</v>
      </c>
      <c r="K63" s="235">
        <v>0</v>
      </c>
      <c r="L63" s="235">
        <v>0</v>
      </c>
      <c r="M63" s="235">
        <v>0</v>
      </c>
      <c r="N63" s="235">
        <v>0</v>
      </c>
      <c r="O63" s="235">
        <v>0</v>
      </c>
      <c r="P63" s="235">
        <v>0</v>
      </c>
      <c r="Q63" s="235">
        <v>555</v>
      </c>
      <c r="R63" s="233">
        <f t="shared" si="2"/>
        <v>100</v>
      </c>
      <c r="S63" s="229">
        <f>+C63-'57_NĐ31'!C62</f>
        <v>0</v>
      </c>
    </row>
    <row r="64" spans="1:19" ht="31.5">
      <c r="A64" s="272">
        <v>52</v>
      </c>
      <c r="B64" s="234" t="s">
        <v>1391</v>
      </c>
      <c r="C64" s="235">
        <v>640</v>
      </c>
      <c r="D64" s="233">
        <f t="shared" si="3"/>
        <v>640</v>
      </c>
      <c r="E64" s="235">
        <v>0</v>
      </c>
      <c r="F64" s="235">
        <v>0</v>
      </c>
      <c r="G64" s="235">
        <v>0</v>
      </c>
      <c r="H64" s="235">
        <v>0</v>
      </c>
      <c r="I64" s="235">
        <v>0</v>
      </c>
      <c r="J64" s="235">
        <v>0</v>
      </c>
      <c r="K64" s="235">
        <v>0</v>
      </c>
      <c r="L64" s="235">
        <v>0</v>
      </c>
      <c r="M64" s="235">
        <v>0</v>
      </c>
      <c r="N64" s="235">
        <v>0</v>
      </c>
      <c r="O64" s="235">
        <v>0</v>
      </c>
      <c r="P64" s="235">
        <v>0</v>
      </c>
      <c r="Q64" s="235">
        <v>640</v>
      </c>
      <c r="R64" s="233">
        <f t="shared" si="2"/>
        <v>100</v>
      </c>
      <c r="S64" s="229">
        <f>+C64-'57_NĐ31'!C63</f>
        <v>0</v>
      </c>
    </row>
    <row r="65" spans="1:19" ht="31.5">
      <c r="A65" s="272">
        <v>53</v>
      </c>
      <c r="B65" s="234" t="s">
        <v>1098</v>
      </c>
      <c r="C65" s="235">
        <v>510</v>
      </c>
      <c r="D65" s="233">
        <f t="shared" si="3"/>
        <v>510</v>
      </c>
      <c r="E65" s="235">
        <v>0</v>
      </c>
      <c r="F65" s="235">
        <v>0</v>
      </c>
      <c r="G65" s="235">
        <v>0</v>
      </c>
      <c r="H65" s="235">
        <v>0</v>
      </c>
      <c r="I65" s="235">
        <v>0</v>
      </c>
      <c r="J65" s="235">
        <v>0</v>
      </c>
      <c r="K65" s="235">
        <v>0</v>
      </c>
      <c r="L65" s="235">
        <v>0</v>
      </c>
      <c r="M65" s="235">
        <v>0</v>
      </c>
      <c r="N65" s="235">
        <v>0</v>
      </c>
      <c r="O65" s="235">
        <v>0</v>
      </c>
      <c r="P65" s="235">
        <v>75</v>
      </c>
      <c r="Q65" s="235">
        <v>435</v>
      </c>
      <c r="R65" s="233">
        <f t="shared" si="2"/>
        <v>100</v>
      </c>
      <c r="S65" s="229">
        <f>+C65-'57_NĐ31'!C64</f>
        <v>0</v>
      </c>
    </row>
    <row r="66" spans="1:19" ht="24.75" customHeight="1">
      <c r="A66" s="272">
        <v>54</v>
      </c>
      <c r="B66" s="234" t="s">
        <v>1099</v>
      </c>
      <c r="C66" s="235">
        <v>925.5</v>
      </c>
      <c r="D66" s="233">
        <f t="shared" si="3"/>
        <v>925.5</v>
      </c>
      <c r="E66" s="235">
        <v>0</v>
      </c>
      <c r="F66" s="235">
        <v>0</v>
      </c>
      <c r="G66" s="235">
        <v>0</v>
      </c>
      <c r="H66" s="235">
        <v>0</v>
      </c>
      <c r="I66" s="235">
        <v>0</v>
      </c>
      <c r="J66" s="235">
        <v>0</v>
      </c>
      <c r="K66" s="235">
        <v>0</v>
      </c>
      <c r="L66" s="235">
        <v>0</v>
      </c>
      <c r="M66" s="235">
        <v>0</v>
      </c>
      <c r="N66" s="235">
        <v>0</v>
      </c>
      <c r="O66" s="235">
        <v>0</v>
      </c>
      <c r="P66" s="235">
        <v>0</v>
      </c>
      <c r="Q66" s="235">
        <v>925.5</v>
      </c>
      <c r="R66" s="233">
        <f t="shared" si="2"/>
        <v>100</v>
      </c>
      <c r="S66" s="229">
        <f>+C66-'57_NĐ31'!C65</f>
        <v>0</v>
      </c>
    </row>
    <row r="67" spans="1:19" ht="25.5" customHeight="1">
      <c r="A67" s="272">
        <v>55</v>
      </c>
      <c r="B67" s="234" t="s">
        <v>1100</v>
      </c>
      <c r="C67" s="235">
        <v>667.71</v>
      </c>
      <c r="D67" s="233">
        <f t="shared" si="3"/>
        <v>667.71</v>
      </c>
      <c r="E67" s="235">
        <v>0</v>
      </c>
      <c r="F67" s="235">
        <v>0</v>
      </c>
      <c r="G67" s="235">
        <v>0</v>
      </c>
      <c r="H67" s="235">
        <v>0</v>
      </c>
      <c r="I67" s="235">
        <v>0</v>
      </c>
      <c r="J67" s="235">
        <v>0</v>
      </c>
      <c r="K67" s="235">
        <v>0</v>
      </c>
      <c r="L67" s="235">
        <v>0</v>
      </c>
      <c r="M67" s="235">
        <v>0</v>
      </c>
      <c r="N67" s="235">
        <v>0</v>
      </c>
      <c r="O67" s="235">
        <v>667.71</v>
      </c>
      <c r="P67" s="235">
        <v>0</v>
      </c>
      <c r="Q67" s="235">
        <v>0</v>
      </c>
      <c r="R67" s="233">
        <f t="shared" si="2"/>
        <v>100</v>
      </c>
      <c r="S67" s="229">
        <f>+C67-'57_NĐ31'!C66</f>
        <v>0</v>
      </c>
    </row>
    <row r="68" spans="1:19" ht="31.5">
      <c r="A68" s="272">
        <v>56</v>
      </c>
      <c r="B68" s="234" t="s">
        <v>1101</v>
      </c>
      <c r="C68" s="235">
        <v>1906.9</v>
      </c>
      <c r="D68" s="233">
        <f t="shared" si="3"/>
        <v>1906.9</v>
      </c>
      <c r="E68" s="235">
        <v>0</v>
      </c>
      <c r="F68" s="235">
        <v>0</v>
      </c>
      <c r="G68" s="235">
        <v>0</v>
      </c>
      <c r="H68" s="235">
        <v>0</v>
      </c>
      <c r="I68" s="235">
        <v>0</v>
      </c>
      <c r="J68" s="235">
        <v>0</v>
      </c>
      <c r="K68" s="235">
        <v>0</v>
      </c>
      <c r="L68" s="235">
        <v>0</v>
      </c>
      <c r="M68" s="235">
        <v>0</v>
      </c>
      <c r="N68" s="235">
        <v>0</v>
      </c>
      <c r="O68" s="235">
        <v>1906.9</v>
      </c>
      <c r="P68" s="235">
        <v>0</v>
      </c>
      <c r="Q68" s="235">
        <v>0</v>
      </c>
      <c r="R68" s="233">
        <f t="shared" si="2"/>
        <v>100</v>
      </c>
      <c r="S68" s="229">
        <f>+C68-'57_NĐ31'!C67</f>
        <v>0</v>
      </c>
    </row>
    <row r="69" spans="1:19" ht="31.5">
      <c r="A69" s="272">
        <v>57</v>
      </c>
      <c r="B69" s="234" t="s">
        <v>1400</v>
      </c>
      <c r="C69" s="235">
        <f>+'57_NĐ31'!C68</f>
        <v>1391.1938</v>
      </c>
      <c r="D69" s="233">
        <f t="shared" si="3"/>
        <v>1391.1938</v>
      </c>
      <c r="E69" s="235">
        <v>0</v>
      </c>
      <c r="F69" s="235">
        <v>0</v>
      </c>
      <c r="G69" s="235">
        <v>0</v>
      </c>
      <c r="H69" s="235">
        <v>0</v>
      </c>
      <c r="I69" s="235">
        <v>0</v>
      </c>
      <c r="J69" s="235">
        <v>0</v>
      </c>
      <c r="K69" s="235">
        <v>0</v>
      </c>
      <c r="L69" s="235">
        <v>0</v>
      </c>
      <c r="M69" s="235">
        <v>0</v>
      </c>
      <c r="N69" s="235">
        <v>0</v>
      </c>
      <c r="O69" s="235">
        <v>1090</v>
      </c>
      <c r="P69" s="233">
        <v>301.19380000000001</v>
      </c>
      <c r="Q69" s="235">
        <v>0</v>
      </c>
      <c r="R69" s="233">
        <f t="shared" si="2"/>
        <v>100</v>
      </c>
      <c r="S69" s="229">
        <f>+C69-'57_NĐ31'!C68</f>
        <v>0</v>
      </c>
    </row>
    <row r="70" spans="1:19" ht="67.5" customHeight="1">
      <c r="A70" s="272">
        <v>58</v>
      </c>
      <c r="B70" s="234" t="s">
        <v>1412</v>
      </c>
      <c r="C70" s="235">
        <v>683.26467700000001</v>
      </c>
      <c r="D70" s="233">
        <f t="shared" si="3"/>
        <v>677.10567700000001</v>
      </c>
      <c r="E70" s="235">
        <v>0</v>
      </c>
      <c r="F70" s="235">
        <v>0</v>
      </c>
      <c r="G70" s="235">
        <v>0</v>
      </c>
      <c r="H70" s="235">
        <v>0</v>
      </c>
      <c r="I70" s="235">
        <v>0</v>
      </c>
      <c r="J70" s="235">
        <v>0</v>
      </c>
      <c r="K70" s="235">
        <v>0</v>
      </c>
      <c r="L70" s="235">
        <v>0</v>
      </c>
      <c r="M70" s="235">
        <v>0</v>
      </c>
      <c r="N70" s="235">
        <v>0</v>
      </c>
      <c r="O70" s="235">
        <v>0</v>
      </c>
      <c r="P70" s="233">
        <v>183.26467700000001</v>
      </c>
      <c r="Q70" s="235">
        <v>493.84100000000001</v>
      </c>
      <c r="R70" s="233">
        <f t="shared" si="2"/>
        <v>99.098592359985275</v>
      </c>
      <c r="S70" s="229">
        <f>+C70-'57_NĐ31'!C69</f>
        <v>0</v>
      </c>
    </row>
    <row r="71" spans="1:19" ht="24.75" customHeight="1">
      <c r="A71" s="272">
        <v>59</v>
      </c>
      <c r="B71" s="234" t="s">
        <v>1393</v>
      </c>
      <c r="C71" s="235">
        <f>+'57_NĐ31'!C70</f>
        <v>5352.7904150000004</v>
      </c>
      <c r="D71" s="233">
        <f t="shared" si="3"/>
        <v>5347.6363040000006</v>
      </c>
      <c r="E71" s="235">
        <v>0</v>
      </c>
      <c r="F71" s="235">
        <v>0</v>
      </c>
      <c r="G71" s="235">
        <v>0</v>
      </c>
      <c r="H71" s="235">
        <v>0</v>
      </c>
      <c r="I71" s="235">
        <v>0</v>
      </c>
      <c r="J71" s="235">
        <v>0</v>
      </c>
      <c r="K71" s="235">
        <v>0</v>
      </c>
      <c r="L71" s="235">
        <v>0</v>
      </c>
      <c r="M71" s="235">
        <v>0</v>
      </c>
      <c r="N71" s="235">
        <v>0</v>
      </c>
      <c r="O71" s="235">
        <v>0</v>
      </c>
      <c r="P71" s="233">
        <v>4692.7904150000004</v>
      </c>
      <c r="Q71" s="235">
        <v>654.84588900000006</v>
      </c>
      <c r="R71" s="233">
        <f t="shared" si="2"/>
        <v>99.903711698004159</v>
      </c>
      <c r="S71" s="229">
        <f>+C71-'57_NĐ31'!C70</f>
        <v>0</v>
      </c>
    </row>
    <row r="72" spans="1:19" ht="24.75" customHeight="1">
      <c r="A72" s="272">
        <v>60</v>
      </c>
      <c r="B72" s="234" t="s">
        <v>1103</v>
      </c>
      <c r="C72" s="235">
        <v>570</v>
      </c>
      <c r="D72" s="233">
        <f t="shared" si="3"/>
        <v>570</v>
      </c>
      <c r="E72" s="235">
        <v>0</v>
      </c>
      <c r="F72" s="235">
        <v>0</v>
      </c>
      <c r="G72" s="235">
        <v>0</v>
      </c>
      <c r="H72" s="235">
        <v>0</v>
      </c>
      <c r="I72" s="235">
        <v>0</v>
      </c>
      <c r="J72" s="235">
        <v>0</v>
      </c>
      <c r="K72" s="235">
        <v>0</v>
      </c>
      <c r="L72" s="235">
        <v>0</v>
      </c>
      <c r="M72" s="235">
        <v>0</v>
      </c>
      <c r="N72" s="235">
        <v>0</v>
      </c>
      <c r="O72" s="235">
        <v>0</v>
      </c>
      <c r="P72" s="235">
        <v>0</v>
      </c>
      <c r="Q72" s="235">
        <v>570</v>
      </c>
      <c r="R72" s="233">
        <f t="shared" si="2"/>
        <v>100</v>
      </c>
      <c r="S72" s="229">
        <f>+C72-'57_NĐ31'!C71</f>
        <v>0</v>
      </c>
    </row>
    <row r="73" spans="1:19" ht="38.25" customHeight="1">
      <c r="A73" s="272">
        <v>61</v>
      </c>
      <c r="B73" s="234" t="s">
        <v>1413</v>
      </c>
      <c r="C73" s="235">
        <v>1363.7670000000001</v>
      </c>
      <c r="D73" s="233">
        <f t="shared" si="3"/>
        <v>1252.55159</v>
      </c>
      <c r="E73" s="235">
        <v>0</v>
      </c>
      <c r="F73" s="235">
        <v>0</v>
      </c>
      <c r="G73" s="235">
        <v>0</v>
      </c>
      <c r="H73" s="235">
        <v>0</v>
      </c>
      <c r="I73" s="235">
        <v>0</v>
      </c>
      <c r="J73" s="235">
        <v>0</v>
      </c>
      <c r="K73" s="235">
        <v>0</v>
      </c>
      <c r="L73" s="235">
        <v>0</v>
      </c>
      <c r="M73" s="235">
        <v>0</v>
      </c>
      <c r="N73" s="235">
        <v>0</v>
      </c>
      <c r="O73" s="235">
        <v>1150</v>
      </c>
      <c r="P73" s="235">
        <v>0</v>
      </c>
      <c r="Q73" s="235">
        <v>102.55159</v>
      </c>
      <c r="R73" s="233">
        <f t="shared" si="2"/>
        <v>91.844984517149925</v>
      </c>
      <c r="S73" s="229">
        <f>+C73-'57_NĐ31'!C72</f>
        <v>0</v>
      </c>
    </row>
    <row r="74" spans="1:19" ht="24.75" customHeight="1">
      <c r="A74" s="272">
        <v>62</v>
      </c>
      <c r="B74" s="234" t="s">
        <v>1104</v>
      </c>
      <c r="C74" s="235">
        <f>+'57_NĐ31'!C73</f>
        <v>6072.9647660000001</v>
      </c>
      <c r="D74" s="233">
        <f t="shared" si="3"/>
        <v>6061.3695299999999</v>
      </c>
      <c r="E74" s="235">
        <v>0</v>
      </c>
      <c r="F74" s="235">
        <v>0</v>
      </c>
      <c r="G74" s="235">
        <v>0</v>
      </c>
      <c r="H74" s="235">
        <v>0</v>
      </c>
      <c r="I74" s="235">
        <v>0</v>
      </c>
      <c r="J74" s="235">
        <v>0</v>
      </c>
      <c r="K74" s="235">
        <v>0</v>
      </c>
      <c r="L74" s="235">
        <v>0</v>
      </c>
      <c r="M74" s="235">
        <v>0</v>
      </c>
      <c r="N74" s="235">
        <v>0</v>
      </c>
      <c r="O74" s="235">
        <v>1038.4047639999999</v>
      </c>
      <c r="P74" s="235">
        <v>5022.9647660000001</v>
      </c>
      <c r="Q74" s="235">
        <v>0</v>
      </c>
      <c r="R74" s="233">
        <f t="shared" si="2"/>
        <v>99.809067952033629</v>
      </c>
      <c r="S74" s="229">
        <f>+C74-'57_NĐ31'!C73</f>
        <v>0</v>
      </c>
    </row>
    <row r="75" spans="1:19" ht="23.25" customHeight="1">
      <c r="A75" s="272">
        <v>63</v>
      </c>
      <c r="B75" s="234" t="s">
        <v>1401</v>
      </c>
      <c r="C75" s="235">
        <f>+'57_NĐ31'!C74</f>
        <v>4588.3227480000005</v>
      </c>
      <c r="D75" s="233">
        <f t="shared" si="3"/>
        <v>4501.315748</v>
      </c>
      <c r="E75" s="235">
        <v>1566.69</v>
      </c>
      <c r="F75" s="235">
        <v>0</v>
      </c>
      <c r="G75" s="235">
        <v>0</v>
      </c>
      <c r="H75" s="235">
        <v>0</v>
      </c>
      <c r="I75" s="235">
        <v>0</v>
      </c>
      <c r="J75" s="235">
        <v>0</v>
      </c>
      <c r="K75" s="235">
        <v>0</v>
      </c>
      <c r="L75" s="235">
        <v>0</v>
      </c>
      <c r="M75" s="235">
        <v>0</v>
      </c>
      <c r="N75" s="235">
        <v>583.5</v>
      </c>
      <c r="O75" s="235">
        <v>1648.913</v>
      </c>
      <c r="P75" s="233">
        <v>616.32274800000005</v>
      </c>
      <c r="Q75" s="235">
        <v>85.89</v>
      </c>
      <c r="R75" s="233">
        <f t="shared" si="2"/>
        <v>98.103729733530059</v>
      </c>
      <c r="S75" s="229">
        <f>+C75-'57_NĐ31'!C74</f>
        <v>0</v>
      </c>
    </row>
    <row r="76" spans="1:19" ht="21.75" customHeight="1">
      <c r="A76" s="272">
        <v>64</v>
      </c>
      <c r="B76" s="234" t="s">
        <v>1105</v>
      </c>
      <c r="C76" s="235">
        <v>277</v>
      </c>
      <c r="D76" s="233">
        <f t="shared" si="3"/>
        <v>277</v>
      </c>
      <c r="E76" s="235">
        <v>0</v>
      </c>
      <c r="F76" s="235">
        <v>0</v>
      </c>
      <c r="G76" s="235">
        <v>0</v>
      </c>
      <c r="H76" s="235">
        <v>0</v>
      </c>
      <c r="I76" s="235">
        <v>0</v>
      </c>
      <c r="J76" s="235">
        <v>0</v>
      </c>
      <c r="K76" s="235">
        <v>0</v>
      </c>
      <c r="L76" s="235">
        <v>0</v>
      </c>
      <c r="M76" s="235">
        <v>0</v>
      </c>
      <c r="N76" s="235">
        <v>0</v>
      </c>
      <c r="O76" s="235">
        <v>0</v>
      </c>
      <c r="P76" s="235">
        <v>0</v>
      </c>
      <c r="Q76" s="235">
        <v>277</v>
      </c>
      <c r="R76" s="233">
        <f t="shared" si="2"/>
        <v>100</v>
      </c>
      <c r="S76" s="229">
        <f>+C76-'57_NĐ31'!C75</f>
        <v>0</v>
      </c>
    </row>
    <row r="77" spans="1:19" ht="21" customHeight="1">
      <c r="A77" s="272">
        <v>65</v>
      </c>
      <c r="B77" s="234" t="s">
        <v>1106</v>
      </c>
      <c r="C77" s="235">
        <v>130</v>
      </c>
      <c r="D77" s="233">
        <f t="shared" si="3"/>
        <v>130</v>
      </c>
      <c r="E77" s="235">
        <v>0</v>
      </c>
      <c r="F77" s="235">
        <v>0</v>
      </c>
      <c r="G77" s="235">
        <v>0</v>
      </c>
      <c r="H77" s="235">
        <v>0</v>
      </c>
      <c r="I77" s="235">
        <v>0</v>
      </c>
      <c r="J77" s="235">
        <v>0</v>
      </c>
      <c r="K77" s="235">
        <v>0</v>
      </c>
      <c r="L77" s="235">
        <v>0</v>
      </c>
      <c r="M77" s="235">
        <v>0</v>
      </c>
      <c r="N77" s="235">
        <v>0</v>
      </c>
      <c r="O77" s="235">
        <v>0</v>
      </c>
      <c r="P77" s="235">
        <v>0</v>
      </c>
      <c r="Q77" s="235">
        <v>130</v>
      </c>
      <c r="R77" s="233">
        <f t="shared" si="2"/>
        <v>100</v>
      </c>
      <c r="S77" s="229">
        <f>+C77-'57_NĐ31'!C76</f>
        <v>0</v>
      </c>
    </row>
    <row r="78" spans="1:19" ht="23.25" customHeight="1">
      <c r="A78" s="272">
        <v>66</v>
      </c>
      <c r="B78" s="234" t="s">
        <v>1107</v>
      </c>
      <c r="C78" s="235">
        <v>100</v>
      </c>
      <c r="D78" s="233">
        <f t="shared" si="3"/>
        <v>100</v>
      </c>
      <c r="E78" s="235">
        <v>0</v>
      </c>
      <c r="F78" s="235">
        <v>0</v>
      </c>
      <c r="G78" s="235">
        <v>0</v>
      </c>
      <c r="H78" s="235">
        <v>0</v>
      </c>
      <c r="I78" s="235">
        <v>0</v>
      </c>
      <c r="J78" s="235">
        <v>0</v>
      </c>
      <c r="K78" s="235">
        <v>0</v>
      </c>
      <c r="L78" s="235">
        <v>0</v>
      </c>
      <c r="M78" s="235">
        <v>0</v>
      </c>
      <c r="N78" s="235">
        <v>0</v>
      </c>
      <c r="O78" s="235">
        <v>0</v>
      </c>
      <c r="P78" s="235">
        <v>0</v>
      </c>
      <c r="Q78" s="235">
        <v>100</v>
      </c>
      <c r="R78" s="233">
        <f t="shared" si="2"/>
        <v>100</v>
      </c>
      <c r="S78" s="229">
        <f>+C78-'57_NĐ31'!C77</f>
        <v>0</v>
      </c>
    </row>
    <row r="79" spans="1:19" ht="37.5" customHeight="1">
      <c r="A79" s="272">
        <v>67</v>
      </c>
      <c r="B79" s="234" t="s">
        <v>1108</v>
      </c>
      <c r="C79" s="235">
        <v>250</v>
      </c>
      <c r="D79" s="233">
        <f t="shared" si="3"/>
        <v>250</v>
      </c>
      <c r="E79" s="235">
        <v>0</v>
      </c>
      <c r="F79" s="235">
        <v>0</v>
      </c>
      <c r="G79" s="235">
        <v>0</v>
      </c>
      <c r="H79" s="235">
        <v>0</v>
      </c>
      <c r="I79" s="235">
        <v>0</v>
      </c>
      <c r="J79" s="235">
        <v>0</v>
      </c>
      <c r="K79" s="235">
        <v>0</v>
      </c>
      <c r="L79" s="235">
        <v>0</v>
      </c>
      <c r="M79" s="235">
        <v>0</v>
      </c>
      <c r="N79" s="235">
        <v>0</v>
      </c>
      <c r="O79" s="235">
        <v>0</v>
      </c>
      <c r="P79" s="235">
        <v>250</v>
      </c>
      <c r="Q79" s="235">
        <v>0</v>
      </c>
      <c r="R79" s="233">
        <f t="shared" si="2"/>
        <v>100</v>
      </c>
      <c r="S79" s="229">
        <f>+C79-'57_NĐ31'!C78</f>
        <v>0</v>
      </c>
    </row>
    <row r="80" spans="1:19" ht="47.25">
      <c r="A80" s="272">
        <v>68</v>
      </c>
      <c r="B80" s="234" t="s">
        <v>122</v>
      </c>
      <c r="C80" s="233">
        <v>35</v>
      </c>
      <c r="D80" s="233">
        <f>SUM(E80:Q80)</f>
        <v>35</v>
      </c>
      <c r="E80" s="235"/>
      <c r="F80" s="235"/>
      <c r="G80" s="235"/>
      <c r="H80" s="235"/>
      <c r="I80" s="235"/>
      <c r="J80" s="235"/>
      <c r="K80" s="235"/>
      <c r="L80" s="235"/>
      <c r="M80" s="235"/>
      <c r="N80" s="235"/>
      <c r="O80" s="233">
        <v>35</v>
      </c>
      <c r="P80" s="235"/>
      <c r="Q80" s="235"/>
      <c r="R80" s="233">
        <f>+D80/C80*100</f>
        <v>100</v>
      </c>
      <c r="S80" s="229">
        <f>+C80-'57_NĐ31'!C84</f>
        <v>0</v>
      </c>
    </row>
    <row r="81" spans="1:19" ht="42.75" customHeight="1">
      <c r="A81" s="272">
        <v>69</v>
      </c>
      <c r="B81" s="234" t="s">
        <v>127</v>
      </c>
      <c r="C81" s="235">
        <v>30</v>
      </c>
      <c r="D81" s="233">
        <f>SUM(E81:Q81)</f>
        <v>30</v>
      </c>
      <c r="E81" s="235"/>
      <c r="F81" s="235"/>
      <c r="G81" s="235"/>
      <c r="H81" s="235"/>
      <c r="I81" s="235"/>
      <c r="J81" s="235"/>
      <c r="K81" s="235"/>
      <c r="L81" s="235"/>
      <c r="M81" s="235"/>
      <c r="N81" s="235"/>
      <c r="O81" s="235">
        <v>30</v>
      </c>
      <c r="P81" s="235"/>
      <c r="Q81" s="235"/>
      <c r="R81" s="233">
        <f>+D81/C81*100</f>
        <v>100</v>
      </c>
      <c r="S81" s="229">
        <f>+C81-'57_NĐ31'!C85</f>
        <v>0</v>
      </c>
    </row>
    <row r="82" spans="1:19" ht="27" customHeight="1">
      <c r="A82" s="272">
        <v>70</v>
      </c>
      <c r="B82" s="234" t="s">
        <v>1109</v>
      </c>
      <c r="C82" s="235">
        <v>160</v>
      </c>
      <c r="D82" s="233">
        <f t="shared" si="3"/>
        <v>160</v>
      </c>
      <c r="E82" s="235">
        <v>160</v>
      </c>
      <c r="F82" s="235">
        <v>0</v>
      </c>
      <c r="G82" s="235">
        <v>0</v>
      </c>
      <c r="H82" s="235">
        <v>0</v>
      </c>
      <c r="I82" s="235">
        <v>0</v>
      </c>
      <c r="J82" s="235">
        <v>0</v>
      </c>
      <c r="K82" s="235">
        <v>0</v>
      </c>
      <c r="L82" s="235">
        <v>0</v>
      </c>
      <c r="M82" s="235">
        <v>0</v>
      </c>
      <c r="N82" s="235">
        <v>0</v>
      </c>
      <c r="O82" s="235">
        <v>0</v>
      </c>
      <c r="P82" s="235">
        <v>0</v>
      </c>
      <c r="Q82" s="235">
        <v>0</v>
      </c>
      <c r="R82" s="233">
        <f t="shared" si="2"/>
        <v>100</v>
      </c>
      <c r="S82" s="229">
        <f>+C82-'57_NĐ31'!C79</f>
        <v>0</v>
      </c>
    </row>
    <row r="83" spans="1:19" ht="27" customHeight="1">
      <c r="A83" s="272">
        <v>71</v>
      </c>
      <c r="B83" s="234" t="s">
        <v>1110</v>
      </c>
      <c r="C83" s="235">
        <v>90</v>
      </c>
      <c r="D83" s="233">
        <f t="shared" si="3"/>
        <v>90</v>
      </c>
      <c r="E83" s="235">
        <v>0</v>
      </c>
      <c r="F83" s="235">
        <v>0</v>
      </c>
      <c r="G83" s="235">
        <v>0</v>
      </c>
      <c r="H83" s="235">
        <v>0</v>
      </c>
      <c r="I83" s="235">
        <v>0</v>
      </c>
      <c r="J83" s="235">
        <v>0</v>
      </c>
      <c r="K83" s="235">
        <v>0</v>
      </c>
      <c r="L83" s="235">
        <v>0</v>
      </c>
      <c r="M83" s="235">
        <v>0</v>
      </c>
      <c r="N83" s="235">
        <v>0</v>
      </c>
      <c r="O83" s="235">
        <v>0</v>
      </c>
      <c r="P83" s="235">
        <v>0</v>
      </c>
      <c r="Q83" s="235">
        <v>90</v>
      </c>
      <c r="R83" s="233">
        <f t="shared" si="2"/>
        <v>100</v>
      </c>
      <c r="S83" s="229">
        <f>+C83-'57_NĐ31'!C80</f>
        <v>0</v>
      </c>
    </row>
    <row r="84" spans="1:19" ht="27.75" customHeight="1">
      <c r="A84" s="272">
        <v>72</v>
      </c>
      <c r="B84" s="234" t="s">
        <v>131</v>
      </c>
      <c r="C84" s="235">
        <v>69.360399999999998</v>
      </c>
      <c r="D84" s="233">
        <f>SUM(E84:Q84)</f>
        <v>49.960500000000003</v>
      </c>
      <c r="E84" s="235"/>
      <c r="F84" s="235"/>
      <c r="G84" s="235"/>
      <c r="H84" s="235"/>
      <c r="I84" s="235"/>
      <c r="J84" s="235"/>
      <c r="K84" s="235"/>
      <c r="L84" s="235"/>
      <c r="M84" s="235"/>
      <c r="N84" s="235"/>
      <c r="O84" s="235"/>
      <c r="P84" s="235"/>
      <c r="Q84" s="235">
        <v>49.960500000000003</v>
      </c>
      <c r="R84" s="233">
        <f>+D84/C84*100</f>
        <v>72.030293942941512</v>
      </c>
      <c r="S84" s="229">
        <f>+C84-'57_NĐ31'!C81</f>
        <v>0</v>
      </c>
    </row>
    <row r="85" spans="1:19" ht="26.25" customHeight="1">
      <c r="A85" s="272">
        <v>73</v>
      </c>
      <c r="B85" s="234" t="s">
        <v>1111</v>
      </c>
      <c r="C85" s="235">
        <v>80</v>
      </c>
      <c r="D85" s="233">
        <f t="shared" si="3"/>
        <v>80</v>
      </c>
      <c r="E85" s="235">
        <v>0</v>
      </c>
      <c r="F85" s="235">
        <v>0</v>
      </c>
      <c r="G85" s="235">
        <v>0</v>
      </c>
      <c r="H85" s="235">
        <v>0</v>
      </c>
      <c r="I85" s="235">
        <v>0</v>
      </c>
      <c r="J85" s="235">
        <v>0</v>
      </c>
      <c r="K85" s="235">
        <v>0</v>
      </c>
      <c r="L85" s="235">
        <v>0</v>
      </c>
      <c r="M85" s="235">
        <v>0</v>
      </c>
      <c r="N85" s="235">
        <v>0</v>
      </c>
      <c r="O85" s="235">
        <v>0</v>
      </c>
      <c r="P85" s="235">
        <v>0</v>
      </c>
      <c r="Q85" s="235">
        <v>80</v>
      </c>
      <c r="R85" s="233">
        <f t="shared" si="2"/>
        <v>100</v>
      </c>
      <c r="S85" s="229">
        <f>+C85-'57_NĐ31'!C83</f>
        <v>0</v>
      </c>
    </row>
    <row r="86" spans="1:19" ht="41.25" customHeight="1">
      <c r="A86" s="272">
        <v>74</v>
      </c>
      <c r="B86" s="234" t="s">
        <v>132</v>
      </c>
      <c r="C86" s="235">
        <v>100</v>
      </c>
      <c r="D86" s="233">
        <f>SUM(E86:Q86)</f>
        <v>100</v>
      </c>
      <c r="E86" s="235"/>
      <c r="F86" s="235"/>
      <c r="G86" s="235"/>
      <c r="H86" s="235"/>
      <c r="I86" s="235"/>
      <c r="J86" s="235">
        <v>100</v>
      </c>
      <c r="K86" s="235"/>
      <c r="L86" s="235"/>
      <c r="M86" s="235"/>
      <c r="N86" s="235"/>
      <c r="O86" s="235"/>
      <c r="P86" s="235"/>
      <c r="Q86" s="235"/>
      <c r="R86" s="233">
        <f>+D86/C86*100</f>
        <v>100</v>
      </c>
      <c r="S86" s="229">
        <f>+C86-'57_NĐ31'!C82</f>
        <v>0</v>
      </c>
    </row>
    <row r="87" spans="1:19" ht="30.75" customHeight="1">
      <c r="A87" s="272">
        <v>75</v>
      </c>
      <c r="B87" s="234" t="s">
        <v>1414</v>
      </c>
      <c r="C87" s="235">
        <v>1915.925</v>
      </c>
      <c r="D87" s="233">
        <f t="shared" si="3"/>
        <v>1915.9250000000002</v>
      </c>
      <c r="E87" s="235">
        <v>11.025</v>
      </c>
      <c r="F87" s="235">
        <v>0</v>
      </c>
      <c r="G87" s="235">
        <v>0</v>
      </c>
      <c r="H87" s="235">
        <v>0</v>
      </c>
      <c r="I87" s="235">
        <v>0</v>
      </c>
      <c r="J87" s="235">
        <v>0</v>
      </c>
      <c r="K87" s="235">
        <v>0</v>
      </c>
      <c r="L87" s="235">
        <v>0</v>
      </c>
      <c r="M87" s="235">
        <v>0</v>
      </c>
      <c r="N87" s="235">
        <v>1904.9</v>
      </c>
      <c r="O87" s="235">
        <v>0</v>
      </c>
      <c r="P87" s="235">
        <v>0</v>
      </c>
      <c r="Q87" s="235">
        <v>0</v>
      </c>
      <c r="R87" s="240">
        <f t="shared" si="2"/>
        <v>100.00000000000003</v>
      </c>
      <c r="S87" s="229">
        <f>+C87-'57_NĐ31'!C86</f>
        <v>0</v>
      </c>
    </row>
    <row r="88" spans="1:19" ht="47.25">
      <c r="A88" s="272">
        <v>76</v>
      </c>
      <c r="B88" s="234" t="s">
        <v>123</v>
      </c>
      <c r="C88" s="233">
        <v>120</v>
      </c>
      <c r="D88" s="233">
        <f t="shared" ref="D88:D92" si="6">SUM(E88:Q88)</f>
        <v>120</v>
      </c>
      <c r="E88" s="235"/>
      <c r="F88" s="235"/>
      <c r="G88" s="235"/>
      <c r="H88" s="235"/>
      <c r="I88" s="235"/>
      <c r="J88" s="235"/>
      <c r="K88" s="235"/>
      <c r="L88" s="235"/>
      <c r="M88" s="235"/>
      <c r="N88" s="235">
        <v>120</v>
      </c>
      <c r="O88" s="235"/>
      <c r="P88" s="235"/>
      <c r="Q88" s="235"/>
      <c r="R88" s="233">
        <f t="shared" ref="R88:R92" si="7">+D88/C88*100</f>
        <v>100</v>
      </c>
      <c r="S88" s="229">
        <f>+C88-'57_NĐ31'!C87</f>
        <v>0</v>
      </c>
    </row>
    <row r="89" spans="1:19" ht="57" customHeight="1">
      <c r="A89" s="272">
        <v>77</v>
      </c>
      <c r="B89" s="234" t="s">
        <v>124</v>
      </c>
      <c r="C89" s="233">
        <f>+'57_NĐ31'!C88</f>
        <v>18403.305209999999</v>
      </c>
      <c r="D89" s="233">
        <f t="shared" si="6"/>
        <v>18403.305209999999</v>
      </c>
      <c r="E89" s="235"/>
      <c r="F89" s="235"/>
      <c r="G89" s="235"/>
      <c r="H89" s="235"/>
      <c r="I89" s="235">
        <v>18403.305209999999</v>
      </c>
      <c r="J89" s="235"/>
      <c r="K89" s="235"/>
      <c r="L89" s="235"/>
      <c r="M89" s="235"/>
      <c r="N89" s="235"/>
      <c r="O89" s="235"/>
      <c r="P89" s="235"/>
      <c r="Q89" s="235"/>
      <c r="R89" s="233">
        <f t="shared" si="7"/>
        <v>100</v>
      </c>
      <c r="S89" s="229">
        <f>+C89-'57_NĐ31'!C88</f>
        <v>0</v>
      </c>
    </row>
    <row r="90" spans="1:19" ht="40.5" customHeight="1">
      <c r="A90" s="272">
        <v>78</v>
      </c>
      <c r="B90" s="234" t="s">
        <v>128</v>
      </c>
      <c r="C90" s="235">
        <v>1474.630758</v>
      </c>
      <c r="D90" s="233">
        <f>SUM(E90:Q90)</f>
        <v>1474.630758</v>
      </c>
      <c r="E90" s="235"/>
      <c r="F90" s="235"/>
      <c r="G90" s="235"/>
      <c r="H90" s="235"/>
      <c r="I90" s="235"/>
      <c r="J90" s="235">
        <v>30</v>
      </c>
      <c r="K90" s="235"/>
      <c r="L90" s="235"/>
      <c r="M90" s="235">
        <v>1241.9807579999999</v>
      </c>
      <c r="N90" s="235"/>
      <c r="O90" s="235"/>
      <c r="P90" s="235"/>
      <c r="Q90" s="235">
        <v>202.65</v>
      </c>
      <c r="R90" s="233">
        <f>+D90/C90*100</f>
        <v>100</v>
      </c>
      <c r="S90" s="229">
        <f>+C90-'57_NĐ31'!C89</f>
        <v>0</v>
      </c>
    </row>
    <row r="91" spans="1:19" ht="39.75" customHeight="1">
      <c r="A91" s="272">
        <v>79</v>
      </c>
      <c r="B91" s="234" t="s">
        <v>1418</v>
      </c>
      <c r="C91" s="233">
        <v>54763.013720999996</v>
      </c>
      <c r="D91" s="233">
        <v>54383.853421</v>
      </c>
      <c r="E91" s="233">
        <v>0</v>
      </c>
      <c r="F91" s="233">
        <v>0</v>
      </c>
      <c r="G91" s="233">
        <v>0</v>
      </c>
      <c r="H91" s="233">
        <v>0</v>
      </c>
      <c r="I91" s="233">
        <v>0</v>
      </c>
      <c r="J91" s="233">
        <v>3195</v>
      </c>
      <c r="K91" s="233">
        <v>0</v>
      </c>
      <c r="L91" s="233">
        <v>0</v>
      </c>
      <c r="M91" s="233">
        <v>0</v>
      </c>
      <c r="N91" s="233">
        <v>44092.178414000002</v>
      </c>
      <c r="O91" s="233">
        <v>0</v>
      </c>
      <c r="P91" s="233">
        <v>0</v>
      </c>
      <c r="Q91" s="233">
        <v>7096.6750069999998</v>
      </c>
      <c r="R91" s="233">
        <f t="shared" si="7"/>
        <v>99.30763434252961</v>
      </c>
      <c r="S91" s="229"/>
    </row>
    <row r="92" spans="1:19" ht="54" customHeight="1">
      <c r="A92" s="273">
        <v>80</v>
      </c>
      <c r="B92" s="241" t="s">
        <v>1112</v>
      </c>
      <c r="C92" s="242">
        <v>11046.167873</v>
      </c>
      <c r="D92" s="240">
        <f t="shared" si="6"/>
        <v>11046.167873</v>
      </c>
      <c r="E92" s="242"/>
      <c r="F92" s="242"/>
      <c r="G92" s="242"/>
      <c r="H92" s="242"/>
      <c r="I92" s="242"/>
      <c r="J92" s="242"/>
      <c r="K92" s="242"/>
      <c r="L92" s="242"/>
      <c r="M92" s="242"/>
      <c r="N92" s="242"/>
      <c r="O92" s="242"/>
      <c r="P92" s="242"/>
      <c r="Q92" s="240">
        <v>11046.167873</v>
      </c>
      <c r="R92" s="240">
        <f t="shared" si="7"/>
        <v>100</v>
      </c>
      <c r="S92" s="229">
        <f>+C92-'57_NĐ31'!C91</f>
        <v>0</v>
      </c>
    </row>
    <row r="94" spans="1:19">
      <c r="B94" s="496" t="s">
        <v>1449</v>
      </c>
      <c r="C94" s="497"/>
      <c r="D94" s="497"/>
      <c r="E94" s="497"/>
      <c r="F94" s="497"/>
      <c r="G94" s="497"/>
      <c r="H94" s="497"/>
      <c r="I94" s="497"/>
    </row>
  </sheetData>
  <mergeCells count="23">
    <mergeCell ref="Q7:R7"/>
    <mergeCell ref="Q9:Q10"/>
    <mergeCell ref="R9:R10"/>
    <mergeCell ref="L9:L10"/>
    <mergeCell ref="M9:M10"/>
    <mergeCell ref="O9:O10"/>
    <mergeCell ref="P9:P10"/>
    <mergeCell ref="B94:I94"/>
    <mergeCell ref="N2:Q3"/>
    <mergeCell ref="N1:Q1"/>
    <mergeCell ref="N9:N10"/>
    <mergeCell ref="A4:R4"/>
    <mergeCell ref="A9:A10"/>
    <mergeCell ref="B9:B10"/>
    <mergeCell ref="C9:C10"/>
    <mergeCell ref="D9:D10"/>
    <mergeCell ref="E9:E10"/>
    <mergeCell ref="F9:F10"/>
    <mergeCell ref="G9:G10"/>
    <mergeCell ref="H9:H10"/>
    <mergeCell ref="I9:I10"/>
    <mergeCell ref="J9:J10"/>
    <mergeCell ref="K9:K10"/>
  </mergeCells>
  <pageMargins left="0.32" right="0.2" top="1" bottom="0.65" header="0.3" footer="0.3"/>
  <pageSetup paperSize="9" scale="70" orientation="landscape" verticalDpi="0" r:id="rId1"/>
  <headerFooter>
    <oddFooter>&amp;C&amp;P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T95"/>
  <sheetViews>
    <sheetView zoomScale="115" zoomScaleNormal="115" workbookViewId="0">
      <pane xSplit="2" ySplit="9" topLeftCell="C10" activePane="bottomRight" state="frozen"/>
      <selection pane="topRight" activeCell="C1" sqref="C1"/>
      <selection pane="bottomLeft" activeCell="A8" sqref="A8"/>
      <selection pane="bottomRight" activeCell="D10" sqref="D10"/>
    </sheetView>
  </sheetViews>
  <sheetFormatPr defaultRowHeight="12.75"/>
  <cols>
    <col min="1" max="1" width="4.5703125" style="72" customWidth="1"/>
    <col min="2" max="2" width="25.140625" style="65" customWidth="1"/>
    <col min="3" max="3" width="11.5703125" style="74" customWidth="1"/>
    <col min="4" max="4" width="10.140625" style="74" customWidth="1"/>
    <col min="5" max="5" width="9.140625" style="74" customWidth="1"/>
    <col min="6" max="6" width="7.7109375" style="74" customWidth="1"/>
    <col min="7" max="7" width="8.28515625" style="74" customWidth="1"/>
    <col min="8" max="8" width="8.5703125" style="74" customWidth="1"/>
    <col min="9" max="9" width="8.42578125" style="74" customWidth="1"/>
    <col min="10" max="10" width="9.140625" style="74" customWidth="1"/>
    <col min="11" max="11" width="8.28515625" style="74" customWidth="1"/>
    <col min="12" max="12" width="8.42578125" style="74" customWidth="1"/>
    <col min="13" max="13" width="9.140625" style="74" customWidth="1"/>
    <col min="14" max="14" width="10.28515625" style="74" customWidth="1"/>
    <col min="15" max="15" width="8.28515625" style="74" customWidth="1"/>
    <col min="16" max="16" width="9" style="74" customWidth="1"/>
    <col min="17" max="17" width="9.7109375" style="74" customWidth="1"/>
    <col min="18" max="18" width="7.7109375" style="74" customWidth="1"/>
    <col min="19" max="19" width="10.85546875" style="65" customWidth="1"/>
    <col min="20" max="20" width="7" style="76" customWidth="1"/>
    <col min="21" max="22" width="12.140625" style="65" bestFit="1" customWidth="1"/>
    <col min="23" max="16384" width="9.140625" style="65"/>
  </cols>
  <sheetData>
    <row r="1" spans="1:20">
      <c r="A1" s="40"/>
      <c r="B1" s="62"/>
      <c r="C1" s="63"/>
      <c r="D1" s="63"/>
      <c r="E1" s="63"/>
      <c r="F1" s="63"/>
      <c r="G1" s="63"/>
      <c r="H1" s="63"/>
      <c r="I1" s="63"/>
      <c r="J1" s="63"/>
      <c r="K1" s="63"/>
      <c r="L1" s="63"/>
      <c r="M1" s="63"/>
      <c r="N1" s="63"/>
      <c r="O1" s="63"/>
      <c r="P1" s="63"/>
      <c r="Q1" s="63"/>
      <c r="R1" s="63"/>
      <c r="S1" s="41" t="s">
        <v>73</v>
      </c>
      <c r="T1" s="64"/>
    </row>
    <row r="2" spans="1:20">
      <c r="A2" s="40"/>
      <c r="B2" s="62"/>
      <c r="C2" s="63"/>
      <c r="D2" s="63"/>
      <c r="E2" s="63"/>
      <c r="F2" s="63"/>
      <c r="G2" s="63"/>
      <c r="H2" s="63"/>
      <c r="I2" s="63"/>
      <c r="J2" s="63"/>
      <c r="K2" s="63"/>
      <c r="L2" s="63"/>
      <c r="M2" s="63"/>
      <c r="N2" s="63"/>
      <c r="O2" s="63"/>
      <c r="P2" s="63"/>
      <c r="Q2" s="63"/>
      <c r="R2" s="515" t="s">
        <v>116</v>
      </c>
      <c r="S2" s="515"/>
      <c r="T2" s="515"/>
    </row>
    <row r="3" spans="1:20">
      <c r="A3" s="40"/>
      <c r="B3" s="62"/>
      <c r="C3" s="63"/>
      <c r="D3" s="63"/>
      <c r="E3" s="63"/>
      <c r="F3" s="63"/>
      <c r="G3" s="63"/>
      <c r="H3" s="63"/>
      <c r="I3" s="63"/>
      <c r="J3" s="63"/>
      <c r="K3" s="63"/>
      <c r="L3" s="63"/>
      <c r="M3" s="63"/>
      <c r="N3" s="63"/>
      <c r="O3" s="63"/>
      <c r="P3" s="63"/>
      <c r="Q3" s="63"/>
      <c r="R3" s="515"/>
      <c r="S3" s="515"/>
      <c r="T3" s="515"/>
    </row>
    <row r="4" spans="1:20" s="66" customFormat="1" ht="15.75">
      <c r="A4" s="512" t="s">
        <v>1394</v>
      </c>
      <c r="B4" s="512"/>
      <c r="C4" s="512"/>
      <c r="D4" s="512"/>
      <c r="E4" s="512"/>
      <c r="F4" s="512"/>
      <c r="G4" s="512"/>
      <c r="H4" s="512"/>
      <c r="I4" s="512"/>
      <c r="J4" s="512"/>
      <c r="K4" s="512"/>
      <c r="L4" s="512"/>
      <c r="M4" s="512"/>
      <c r="N4" s="512"/>
      <c r="O4" s="512"/>
      <c r="P4" s="512"/>
      <c r="Q4" s="512"/>
      <c r="R4" s="512"/>
      <c r="S4" s="512"/>
      <c r="T4" s="512"/>
    </row>
    <row r="5" spans="1:20" s="66" customFormat="1" ht="15.75">
      <c r="A5" s="106"/>
      <c r="B5" s="106"/>
      <c r="C5" s="106"/>
      <c r="D5" s="106"/>
      <c r="E5" s="106"/>
      <c r="F5" s="106"/>
      <c r="G5" s="106"/>
      <c r="H5" s="106"/>
      <c r="I5" s="106"/>
      <c r="J5" s="106"/>
      <c r="K5" s="106"/>
      <c r="L5" s="106"/>
      <c r="M5" s="106"/>
      <c r="N5" s="106"/>
      <c r="O5" s="106"/>
      <c r="P5" s="106"/>
      <c r="Q5" s="106"/>
      <c r="R5" s="65"/>
      <c r="S5" s="69" t="s">
        <v>24</v>
      </c>
      <c r="T5" s="106"/>
    </row>
    <row r="6" spans="1:20">
      <c r="A6" s="67"/>
      <c r="B6" s="62"/>
      <c r="C6" s="63"/>
      <c r="D6" s="112"/>
      <c r="E6" s="68"/>
      <c r="F6" s="68"/>
      <c r="G6" s="68"/>
      <c r="H6" s="68"/>
      <c r="I6" s="68"/>
      <c r="J6" s="68"/>
      <c r="K6" s="68"/>
      <c r="L6" s="68"/>
      <c r="M6" s="68"/>
      <c r="N6" s="68"/>
      <c r="O6" s="68"/>
      <c r="P6" s="68"/>
      <c r="Q6" s="68"/>
      <c r="R6" s="111"/>
      <c r="S6" s="111"/>
      <c r="T6" s="64"/>
    </row>
    <row r="7" spans="1:20" s="70" customFormat="1" ht="12.75" customHeight="1">
      <c r="A7" s="513" t="s">
        <v>1</v>
      </c>
      <c r="B7" s="514" t="s">
        <v>71</v>
      </c>
      <c r="C7" s="514" t="s">
        <v>1395</v>
      </c>
      <c r="D7" s="514" t="s">
        <v>26</v>
      </c>
      <c r="E7" s="511" t="s">
        <v>62</v>
      </c>
      <c r="F7" s="511" t="s">
        <v>63</v>
      </c>
      <c r="G7" s="511" t="s">
        <v>17</v>
      </c>
      <c r="H7" s="511" t="s">
        <v>18</v>
      </c>
      <c r="I7" s="511" t="s">
        <v>64</v>
      </c>
      <c r="J7" s="511" t="s">
        <v>65</v>
      </c>
      <c r="K7" s="511" t="s">
        <v>66</v>
      </c>
      <c r="L7" s="511" t="s">
        <v>67</v>
      </c>
      <c r="M7" s="511" t="s">
        <v>68</v>
      </c>
      <c r="N7" s="511" t="s">
        <v>19</v>
      </c>
      <c r="O7" s="516" t="s">
        <v>22</v>
      </c>
      <c r="P7" s="516"/>
      <c r="Q7" s="511" t="s">
        <v>1234</v>
      </c>
      <c r="R7" s="511" t="s">
        <v>69</v>
      </c>
      <c r="S7" s="511" t="s">
        <v>1396</v>
      </c>
      <c r="T7" s="517" t="s">
        <v>52</v>
      </c>
    </row>
    <row r="8" spans="1:20" s="70" customFormat="1" ht="57.75" customHeight="1">
      <c r="A8" s="513"/>
      <c r="B8" s="514"/>
      <c r="C8" s="514"/>
      <c r="D8" s="514"/>
      <c r="E8" s="511"/>
      <c r="F8" s="511"/>
      <c r="G8" s="511"/>
      <c r="H8" s="511"/>
      <c r="I8" s="511"/>
      <c r="J8" s="511"/>
      <c r="K8" s="511"/>
      <c r="L8" s="511"/>
      <c r="M8" s="511"/>
      <c r="N8" s="511"/>
      <c r="O8" s="71" t="s">
        <v>74</v>
      </c>
      <c r="P8" s="105" t="s">
        <v>1233</v>
      </c>
      <c r="Q8" s="511"/>
      <c r="R8" s="511"/>
      <c r="S8" s="511"/>
      <c r="T8" s="518"/>
    </row>
    <row r="9" spans="1:20" s="72" customFormat="1">
      <c r="A9" s="276" t="s">
        <v>3</v>
      </c>
      <c r="B9" s="276" t="s">
        <v>4</v>
      </c>
      <c r="C9" s="276">
        <v>1</v>
      </c>
      <c r="D9" s="276" t="s">
        <v>1441</v>
      </c>
      <c r="E9" s="276">
        <v>3</v>
      </c>
      <c r="F9" s="276">
        <v>4</v>
      </c>
      <c r="G9" s="276">
        <v>5</v>
      </c>
      <c r="H9" s="276">
        <v>6</v>
      </c>
      <c r="I9" s="276">
        <v>7</v>
      </c>
      <c r="J9" s="276">
        <v>8</v>
      </c>
      <c r="K9" s="276">
        <v>9</v>
      </c>
      <c r="L9" s="276">
        <v>10</v>
      </c>
      <c r="M9" s="276">
        <v>11</v>
      </c>
      <c r="N9" s="276">
        <v>12</v>
      </c>
      <c r="O9" s="276">
        <v>13</v>
      </c>
      <c r="P9" s="276">
        <v>14</v>
      </c>
      <c r="Q9" s="276">
        <v>15</v>
      </c>
      <c r="R9" s="276">
        <v>16</v>
      </c>
      <c r="S9" s="276">
        <v>17</v>
      </c>
      <c r="T9" s="277" t="s">
        <v>75</v>
      </c>
    </row>
    <row r="10" spans="1:20" s="74" customFormat="1" ht="21.75" customHeight="1">
      <c r="A10" s="73"/>
      <c r="B10" s="110" t="s">
        <v>0</v>
      </c>
      <c r="C10" s="24">
        <f>SUM(C11:C93)</f>
        <v>4306449.0689629996</v>
      </c>
      <c r="D10" s="24">
        <f t="shared" ref="D10:S10" si="0">SUM(D11:D93)</f>
        <v>2711744.378759</v>
      </c>
      <c r="E10" s="24">
        <f t="shared" si="0"/>
        <v>101184.703228</v>
      </c>
      <c r="F10" s="24">
        <f t="shared" si="0"/>
        <v>3061.5140999999999</v>
      </c>
      <c r="G10" s="24">
        <f t="shared" si="0"/>
        <v>115557.089322</v>
      </c>
      <c r="H10" s="24">
        <f t="shared" si="0"/>
        <v>4982.723</v>
      </c>
      <c r="I10" s="24">
        <f t="shared" si="0"/>
        <v>157474.11784200001</v>
      </c>
      <c r="J10" s="24">
        <f t="shared" si="0"/>
        <v>41756.791899999997</v>
      </c>
      <c r="K10" s="24">
        <f t="shared" si="0"/>
        <v>4500</v>
      </c>
      <c r="L10" s="24">
        <f t="shared" si="0"/>
        <v>87.917126999999994</v>
      </c>
      <c r="M10" s="24">
        <f t="shared" si="0"/>
        <v>156866.38208200003</v>
      </c>
      <c r="N10" s="24">
        <f t="shared" si="0"/>
        <v>1928657.3263470004</v>
      </c>
      <c r="O10" s="24">
        <f t="shared" si="0"/>
        <v>769509.03334700014</v>
      </c>
      <c r="P10" s="24">
        <f t="shared" si="0"/>
        <v>94605.940463999985</v>
      </c>
      <c r="Q10" s="24">
        <f t="shared" si="0"/>
        <v>41497.578805000005</v>
      </c>
      <c r="R10" s="24">
        <f t="shared" si="0"/>
        <v>9344.8089999999993</v>
      </c>
      <c r="S10" s="24">
        <f t="shared" si="0"/>
        <v>146773.42600599999</v>
      </c>
      <c r="T10" s="25">
        <f>D10/C10*100</f>
        <v>62.969382322498767</v>
      </c>
    </row>
    <row r="11" spans="1:20" ht="26.25" customHeight="1">
      <c r="A11" s="9">
        <v>1</v>
      </c>
      <c r="B11" s="10" t="s">
        <v>139</v>
      </c>
      <c r="C11" s="283">
        <f>1700+456.31</f>
        <v>2156.31</v>
      </c>
      <c r="D11" s="283">
        <f>905.69882+421.972</f>
        <v>1327.6708199999998</v>
      </c>
      <c r="E11" s="283"/>
      <c r="F11" s="283"/>
      <c r="G11" s="283"/>
      <c r="H11" s="283"/>
      <c r="I11" s="283"/>
      <c r="J11" s="283">
        <v>421.97199999999998</v>
      </c>
      <c r="K11" s="283"/>
      <c r="L11" s="283"/>
      <c r="M11" s="283"/>
      <c r="N11" s="283">
        <v>905.69881999999996</v>
      </c>
      <c r="O11" s="283"/>
      <c r="P11" s="283"/>
      <c r="Q11" s="283"/>
      <c r="R11" s="283"/>
      <c r="S11" s="284"/>
      <c r="T11" s="285">
        <f t="shared" ref="T11:T75" si="1">D11/C11*100</f>
        <v>61.571426186401766</v>
      </c>
    </row>
    <row r="12" spans="1:20" ht="33.75" customHeight="1">
      <c r="A12" s="9">
        <v>2</v>
      </c>
      <c r="B12" s="12" t="s">
        <v>141</v>
      </c>
      <c r="C12" s="283">
        <f>713019.36888+133579.372445</f>
        <v>846598.74132499995</v>
      </c>
      <c r="D12" s="283">
        <f>610532.545598+107317.78554</f>
        <v>717850.33113800001</v>
      </c>
      <c r="E12" s="283">
        <v>17063.8622</v>
      </c>
      <c r="F12" s="283"/>
      <c r="G12" s="283"/>
      <c r="H12" s="283"/>
      <c r="I12" s="283">
        <v>1286.663</v>
      </c>
      <c r="J12" s="283">
        <v>14267.297</v>
      </c>
      <c r="K12" s="283"/>
      <c r="L12" s="283"/>
      <c r="M12" s="283">
        <v>148985.668638</v>
      </c>
      <c r="N12" s="283">
        <v>502677.73823100002</v>
      </c>
      <c r="O12" s="283">
        <v>231922.493938</v>
      </c>
      <c r="P12" s="283">
        <v>6076.4072340000002</v>
      </c>
      <c r="Q12" s="283">
        <v>31459.102069</v>
      </c>
      <c r="R12" s="283">
        <v>2110</v>
      </c>
      <c r="S12" s="284"/>
      <c r="T12" s="285">
        <f t="shared" si="1"/>
        <v>84.792274792955908</v>
      </c>
    </row>
    <row r="13" spans="1:20" ht="33" customHeight="1">
      <c r="A13" s="9">
        <v>3</v>
      </c>
      <c r="B13" s="14" t="s">
        <v>1433</v>
      </c>
      <c r="C13" s="283">
        <f>100000+2640.666</f>
        <v>102640.666</v>
      </c>
      <c r="D13" s="283">
        <f>40127.717+2569.229</f>
        <v>42696.945999999996</v>
      </c>
      <c r="E13" s="283"/>
      <c r="F13" s="283"/>
      <c r="G13" s="283"/>
      <c r="H13" s="283"/>
      <c r="I13" s="283"/>
      <c r="J13" s="283"/>
      <c r="K13" s="283"/>
      <c r="L13" s="283"/>
      <c r="M13" s="283"/>
      <c r="N13" s="283">
        <f>40127.717+2569.229</f>
        <v>42696.945999999996</v>
      </c>
      <c r="O13" s="283">
        <f>40127.717+2569.229</f>
        <v>42696.945999999996</v>
      </c>
      <c r="P13" s="283"/>
      <c r="Q13" s="283"/>
      <c r="R13" s="283"/>
      <c r="S13" s="284"/>
      <c r="T13" s="285">
        <f t="shared" ref="T13:T20" si="2">D13/C13*100</f>
        <v>41.598469363010558</v>
      </c>
    </row>
    <row r="14" spans="1:20" ht="33" customHeight="1">
      <c r="A14" s="9">
        <v>4</v>
      </c>
      <c r="B14" s="11" t="s">
        <v>1434</v>
      </c>
      <c r="C14" s="283">
        <v>68950</v>
      </c>
      <c r="D14" s="283">
        <v>13174.22</v>
      </c>
      <c r="E14" s="283"/>
      <c r="F14" s="283"/>
      <c r="G14" s="283"/>
      <c r="H14" s="283"/>
      <c r="I14" s="283"/>
      <c r="J14" s="283"/>
      <c r="K14" s="283"/>
      <c r="L14" s="283"/>
      <c r="M14" s="283"/>
      <c r="N14" s="283">
        <v>13174.22</v>
      </c>
      <c r="O14" s="283"/>
      <c r="P14" s="283">
        <v>13174.22</v>
      </c>
      <c r="Q14" s="283"/>
      <c r="R14" s="283"/>
      <c r="S14" s="284"/>
      <c r="T14" s="285">
        <f t="shared" si="2"/>
        <v>19.106918056562723</v>
      </c>
    </row>
    <row r="15" spans="1:20" ht="33" customHeight="1">
      <c r="A15" s="9">
        <v>5</v>
      </c>
      <c r="B15" s="14" t="s">
        <v>168</v>
      </c>
      <c r="C15" s="283">
        <f>91830.61694+7123.36564</f>
        <v>98953.982580000011</v>
      </c>
      <c r="D15" s="283">
        <f>72504.079896+6666.38137</f>
        <v>79170.461265999998</v>
      </c>
      <c r="E15" s="283"/>
      <c r="F15" s="283"/>
      <c r="G15" s="283"/>
      <c r="H15" s="283"/>
      <c r="I15" s="283"/>
      <c r="J15" s="283"/>
      <c r="K15" s="283"/>
      <c r="L15" s="283"/>
      <c r="M15" s="283"/>
      <c r="N15" s="283">
        <f>72504.079896+6666.38137</f>
        <v>79170.461265999998</v>
      </c>
      <c r="O15" s="283"/>
      <c r="P15" s="283"/>
      <c r="Q15" s="283"/>
      <c r="R15" s="283"/>
      <c r="S15" s="284"/>
      <c r="T15" s="285">
        <f t="shared" si="2"/>
        <v>80.007352106312752</v>
      </c>
    </row>
    <row r="16" spans="1:20" ht="33" customHeight="1">
      <c r="A16" s="9">
        <v>6</v>
      </c>
      <c r="B16" s="11" t="s">
        <v>1435</v>
      </c>
      <c r="C16" s="283">
        <f>512444.846433+178484.907056+4328.453053+4660.1854+810000+335.35833</f>
        <v>1510253.750272</v>
      </c>
      <c r="D16" s="283">
        <f>343287.510483+94662.576662+4083+4550-233.943923</f>
        <v>446349.14322199998</v>
      </c>
      <c r="E16" s="283"/>
      <c r="F16" s="283"/>
      <c r="G16" s="283"/>
      <c r="H16" s="283"/>
      <c r="I16" s="283"/>
      <c r="J16" s="283"/>
      <c r="K16" s="283"/>
      <c r="L16" s="283"/>
      <c r="M16" s="283">
        <f>7088.480727-233.943923</f>
        <v>6854.5368040000003</v>
      </c>
      <c r="N16" s="283">
        <f>430861.606418+8633</f>
        <v>439494.60641800001</v>
      </c>
      <c r="O16" s="283">
        <f>279161.441311-242097</f>
        <v>37064.441310999973</v>
      </c>
      <c r="P16" s="283"/>
      <c r="Q16" s="283"/>
      <c r="R16" s="283"/>
      <c r="S16" s="284"/>
      <c r="T16" s="285">
        <f t="shared" si="2"/>
        <v>29.55457936400499</v>
      </c>
    </row>
    <row r="17" spans="1:20" ht="30.75" customHeight="1">
      <c r="A17" s="9">
        <v>7</v>
      </c>
      <c r="B17" s="12" t="s">
        <v>1430</v>
      </c>
      <c r="C17" s="283">
        <f>81449.795348+43185.125621</f>
        <v>124634.920969</v>
      </c>
      <c r="D17" s="283">
        <f>51308.91626+31009.678229</f>
        <v>82318.594488999996</v>
      </c>
      <c r="E17" s="283"/>
      <c r="F17" s="283"/>
      <c r="G17" s="283"/>
      <c r="H17" s="283"/>
      <c r="I17" s="283"/>
      <c r="J17" s="283"/>
      <c r="K17" s="283"/>
      <c r="L17" s="283"/>
      <c r="M17" s="283"/>
      <c r="N17" s="283">
        <v>82144.191489000004</v>
      </c>
      <c r="O17" s="283"/>
      <c r="P17" s="283">
        <v>53862.844270000001</v>
      </c>
      <c r="Q17" s="283">
        <v>174.40299999999999</v>
      </c>
      <c r="R17" s="283"/>
      <c r="S17" s="284"/>
      <c r="T17" s="285">
        <f t="shared" si="2"/>
        <v>66.047776858200763</v>
      </c>
    </row>
    <row r="18" spans="1:20" ht="33" customHeight="1">
      <c r="A18" s="9">
        <v>8</v>
      </c>
      <c r="B18" s="11" t="s">
        <v>180</v>
      </c>
      <c r="C18" s="283">
        <f>6000+5650</f>
        <v>11650</v>
      </c>
      <c r="D18" s="283">
        <f>5563.663+5650</f>
        <v>11213.663</v>
      </c>
      <c r="E18" s="283"/>
      <c r="F18" s="283"/>
      <c r="G18" s="283"/>
      <c r="H18" s="283"/>
      <c r="I18" s="283"/>
      <c r="J18" s="283"/>
      <c r="K18" s="283"/>
      <c r="L18" s="283"/>
      <c r="M18" s="283"/>
      <c r="N18" s="283">
        <f>5563.663+5650</f>
        <v>11213.663</v>
      </c>
      <c r="O18" s="283"/>
      <c r="P18" s="283">
        <v>10813.663</v>
      </c>
      <c r="Q18" s="286">
        <v>1500</v>
      </c>
      <c r="R18" s="283"/>
      <c r="S18" s="284"/>
      <c r="T18" s="285">
        <f t="shared" si="2"/>
        <v>96.254618025751085</v>
      </c>
    </row>
    <row r="19" spans="1:20" ht="20.25" customHeight="1">
      <c r="A19" s="9">
        <v>9</v>
      </c>
      <c r="B19" s="14" t="s">
        <v>182</v>
      </c>
      <c r="C19" s="287">
        <v>100</v>
      </c>
      <c r="D19" s="286">
        <v>80.100981000000004</v>
      </c>
      <c r="E19" s="283"/>
      <c r="F19" s="283"/>
      <c r="G19" s="283"/>
      <c r="H19" s="283"/>
      <c r="I19" s="283"/>
      <c r="J19" s="283"/>
      <c r="K19" s="283"/>
      <c r="L19" s="283"/>
      <c r="M19" s="283"/>
      <c r="N19" s="286">
        <v>80.100981000000004</v>
      </c>
      <c r="O19" s="283"/>
      <c r="P19" s="283"/>
      <c r="Q19" s="283"/>
      <c r="R19" s="283"/>
      <c r="S19" s="284"/>
      <c r="T19" s="285">
        <f t="shared" si="2"/>
        <v>80.100981000000004</v>
      </c>
    </row>
    <row r="20" spans="1:20" ht="32.25" customHeight="1">
      <c r="A20" s="9">
        <v>10</v>
      </c>
      <c r="B20" s="14" t="s">
        <v>203</v>
      </c>
      <c r="C20" s="287">
        <f>600-300</f>
        <v>300</v>
      </c>
      <c r="D20" s="286">
        <v>300</v>
      </c>
      <c r="E20" s="283"/>
      <c r="F20" s="283"/>
      <c r="G20" s="283"/>
      <c r="H20" s="283"/>
      <c r="I20" s="283"/>
      <c r="J20" s="283"/>
      <c r="K20" s="283"/>
      <c r="L20" s="283"/>
      <c r="M20" s="283"/>
      <c r="N20" s="286">
        <v>300</v>
      </c>
      <c r="O20" s="283"/>
      <c r="P20" s="283"/>
      <c r="Q20" s="283"/>
      <c r="R20" s="283"/>
      <c r="S20" s="284"/>
      <c r="T20" s="285">
        <f t="shared" si="2"/>
        <v>100</v>
      </c>
    </row>
    <row r="21" spans="1:20" ht="33.75" customHeight="1">
      <c r="A21" s="9">
        <v>11</v>
      </c>
      <c r="B21" s="13" t="s">
        <v>142</v>
      </c>
      <c r="C21" s="287">
        <v>7.1348550000000017</v>
      </c>
      <c r="D21" s="283">
        <v>0</v>
      </c>
      <c r="E21" s="283"/>
      <c r="F21" s="283"/>
      <c r="G21" s="283"/>
      <c r="H21" s="283"/>
      <c r="I21" s="283"/>
      <c r="J21" s="283"/>
      <c r="K21" s="283"/>
      <c r="L21" s="283"/>
      <c r="M21" s="283"/>
      <c r="N21" s="283"/>
      <c r="O21" s="283"/>
      <c r="P21" s="283"/>
      <c r="Q21" s="283"/>
      <c r="R21" s="283"/>
      <c r="S21" s="284"/>
      <c r="T21" s="285">
        <f t="shared" si="1"/>
        <v>0</v>
      </c>
    </row>
    <row r="22" spans="1:20" ht="33.75" customHeight="1">
      <c r="A22" s="9">
        <v>12</v>
      </c>
      <c r="B22" s="13" t="s">
        <v>143</v>
      </c>
      <c r="C22" s="287">
        <v>160.20255500000002</v>
      </c>
      <c r="D22" s="287">
        <v>160.20255500000002</v>
      </c>
      <c r="E22" s="283"/>
      <c r="F22" s="283"/>
      <c r="G22" s="283"/>
      <c r="H22" s="283"/>
      <c r="I22" s="283"/>
      <c r="J22" s="283"/>
      <c r="K22" s="283"/>
      <c r="L22" s="283"/>
      <c r="M22" s="283"/>
      <c r="N22" s="287">
        <v>160.20255500000002</v>
      </c>
      <c r="O22" s="283"/>
      <c r="P22" s="287">
        <v>160.20255500000002</v>
      </c>
      <c r="Q22" s="283"/>
      <c r="R22" s="283"/>
      <c r="S22" s="284"/>
      <c r="T22" s="285">
        <f t="shared" si="1"/>
        <v>100</v>
      </c>
    </row>
    <row r="23" spans="1:20" ht="33.75" customHeight="1">
      <c r="A23" s="9">
        <v>13</v>
      </c>
      <c r="B23" s="14" t="s">
        <v>144</v>
      </c>
      <c r="C23" s="283">
        <v>1083.9780000000001</v>
      </c>
      <c r="D23" s="283">
        <v>889.44650000000001</v>
      </c>
      <c r="E23" s="283"/>
      <c r="F23" s="283"/>
      <c r="G23" s="283"/>
      <c r="H23" s="283"/>
      <c r="I23" s="283"/>
      <c r="J23" s="283"/>
      <c r="K23" s="283"/>
      <c r="L23" s="283"/>
      <c r="M23" s="283"/>
      <c r="N23" s="283">
        <v>889.44650000000001</v>
      </c>
      <c r="O23" s="283"/>
      <c r="P23" s="283">
        <v>889.44650000000001</v>
      </c>
      <c r="Q23" s="283"/>
      <c r="R23" s="283"/>
      <c r="S23" s="284"/>
      <c r="T23" s="285">
        <f t="shared" si="1"/>
        <v>82.053925448671464</v>
      </c>
    </row>
    <row r="24" spans="1:20" ht="33.75" customHeight="1">
      <c r="A24" s="9">
        <v>14</v>
      </c>
      <c r="B24" s="13" t="s">
        <v>145</v>
      </c>
      <c r="C24" s="287">
        <f>303.4545+244.1195</f>
        <v>547.57399999999996</v>
      </c>
      <c r="D24" s="283">
        <f>238.4689+244.1195</f>
        <v>482.58839999999998</v>
      </c>
      <c r="E24" s="283"/>
      <c r="F24" s="283"/>
      <c r="G24" s="283"/>
      <c r="H24" s="283"/>
      <c r="I24" s="283"/>
      <c r="J24" s="283"/>
      <c r="K24" s="283"/>
      <c r="L24" s="283"/>
      <c r="M24" s="283"/>
      <c r="N24" s="283">
        <f>238.4689+244.1195</f>
        <v>482.58839999999998</v>
      </c>
      <c r="O24" s="283"/>
      <c r="P24" s="283">
        <f>238.4689+244.1195</f>
        <v>482.58839999999998</v>
      </c>
      <c r="Q24" s="283"/>
      <c r="R24" s="283"/>
      <c r="S24" s="284"/>
      <c r="T24" s="285">
        <f t="shared" si="1"/>
        <v>88.132088083071878</v>
      </c>
    </row>
    <row r="25" spans="1:20" ht="33.75" customHeight="1">
      <c r="A25" s="9">
        <v>15</v>
      </c>
      <c r="B25" s="13" t="s">
        <v>146</v>
      </c>
      <c r="C25" s="283">
        <f>754.394+587.266</f>
        <v>1341.6599999999999</v>
      </c>
      <c r="D25" s="286">
        <v>70.555228</v>
      </c>
      <c r="E25" s="283"/>
      <c r="F25" s="283"/>
      <c r="G25" s="283"/>
      <c r="H25" s="283"/>
      <c r="I25" s="283"/>
      <c r="J25" s="283"/>
      <c r="K25" s="283"/>
      <c r="L25" s="283"/>
      <c r="M25" s="283"/>
      <c r="N25" s="286">
        <v>70.555228</v>
      </c>
      <c r="O25" s="283"/>
      <c r="P25" s="286">
        <v>70.555228</v>
      </c>
      <c r="Q25" s="283"/>
      <c r="R25" s="283"/>
      <c r="S25" s="284"/>
      <c r="T25" s="285">
        <f t="shared" si="1"/>
        <v>5.2588008884516206</v>
      </c>
    </row>
    <row r="26" spans="1:20" ht="33.75" customHeight="1">
      <c r="A26" s="9">
        <v>16</v>
      </c>
      <c r="B26" s="13" t="s">
        <v>147</v>
      </c>
      <c r="C26" s="287">
        <f>329.2114+6</f>
        <v>335.21140000000003</v>
      </c>
      <c r="D26" s="283">
        <v>329.21140000000003</v>
      </c>
      <c r="E26" s="283"/>
      <c r="F26" s="283"/>
      <c r="G26" s="283"/>
      <c r="H26" s="283"/>
      <c r="I26" s="283"/>
      <c r="J26" s="283"/>
      <c r="K26" s="283"/>
      <c r="L26" s="283"/>
      <c r="M26" s="283"/>
      <c r="N26" s="283">
        <v>329.21140000000003</v>
      </c>
      <c r="O26" s="283"/>
      <c r="P26" s="283">
        <v>329.21140000000003</v>
      </c>
      <c r="Q26" s="283"/>
      <c r="R26" s="283"/>
      <c r="S26" s="284"/>
      <c r="T26" s="285">
        <f t="shared" si="1"/>
        <v>98.210084740554777</v>
      </c>
    </row>
    <row r="27" spans="1:20" ht="33.75" customHeight="1">
      <c r="A27" s="9">
        <v>17</v>
      </c>
      <c r="B27" s="13" t="s">
        <v>148</v>
      </c>
      <c r="C27" s="283">
        <f>773.5366+227.7047</f>
        <v>1001.2413</v>
      </c>
      <c r="D27" s="283">
        <f>379.862877+227.7047</f>
        <v>607.56757700000003</v>
      </c>
      <c r="E27" s="283"/>
      <c r="F27" s="283"/>
      <c r="G27" s="283"/>
      <c r="H27" s="283"/>
      <c r="I27" s="283"/>
      <c r="J27" s="283"/>
      <c r="K27" s="283"/>
      <c r="L27" s="283"/>
      <c r="M27" s="283"/>
      <c r="N27" s="283">
        <f>379.862877+227.7047</f>
        <v>607.56757700000003</v>
      </c>
      <c r="O27" s="283"/>
      <c r="P27" s="283">
        <f>379.862877+227.7047</f>
        <v>607.56757700000003</v>
      </c>
      <c r="Q27" s="283"/>
      <c r="R27" s="283"/>
      <c r="S27" s="284"/>
      <c r="T27" s="285">
        <f t="shared" si="1"/>
        <v>60.681433836179153</v>
      </c>
    </row>
    <row r="28" spans="1:20" ht="33.75" customHeight="1">
      <c r="A28" s="9">
        <v>18</v>
      </c>
      <c r="B28" s="14" t="s">
        <v>149</v>
      </c>
      <c r="C28" s="283">
        <v>438.02800000000002</v>
      </c>
      <c r="D28" s="283">
        <v>427.98099999999999</v>
      </c>
      <c r="E28" s="283"/>
      <c r="F28" s="283"/>
      <c r="G28" s="283"/>
      <c r="H28" s="283"/>
      <c r="I28" s="283"/>
      <c r="J28" s="283"/>
      <c r="K28" s="283"/>
      <c r="L28" s="283"/>
      <c r="M28" s="283"/>
      <c r="N28" s="283">
        <v>427.98099999999999</v>
      </c>
      <c r="O28" s="283"/>
      <c r="P28" s="283">
        <v>427.98099999999999</v>
      </c>
      <c r="Q28" s="283"/>
      <c r="R28" s="283"/>
      <c r="S28" s="284"/>
      <c r="T28" s="285">
        <f t="shared" si="1"/>
        <v>97.706311012081414</v>
      </c>
    </row>
    <row r="29" spans="1:20" ht="33.75" customHeight="1">
      <c r="A29" s="9">
        <v>19</v>
      </c>
      <c r="B29" s="13" t="s">
        <v>150</v>
      </c>
      <c r="C29" s="287">
        <f>1676+224</f>
        <v>1900</v>
      </c>
      <c r="D29" s="283">
        <f>1336.7128+224</f>
        <v>1560.7128</v>
      </c>
      <c r="E29" s="283"/>
      <c r="F29" s="283"/>
      <c r="G29" s="283"/>
      <c r="H29" s="283"/>
      <c r="I29" s="283"/>
      <c r="J29" s="283"/>
      <c r="K29" s="283"/>
      <c r="L29" s="283"/>
      <c r="M29" s="283"/>
      <c r="N29" s="283">
        <f>1336.7128+224</f>
        <v>1560.7128</v>
      </c>
      <c r="O29" s="283"/>
      <c r="P29" s="283">
        <f>1336.7128+224</f>
        <v>1560.7128</v>
      </c>
      <c r="Q29" s="283"/>
      <c r="R29" s="283"/>
      <c r="S29" s="284"/>
      <c r="T29" s="285">
        <f t="shared" si="1"/>
        <v>82.142778947368427</v>
      </c>
    </row>
    <row r="30" spans="1:20" ht="33.75" customHeight="1">
      <c r="A30" s="9">
        <v>20</v>
      </c>
      <c r="B30" s="14" t="s">
        <v>151</v>
      </c>
      <c r="C30" s="283">
        <v>613.6</v>
      </c>
      <c r="D30" s="283">
        <v>301.63850000000002</v>
      </c>
      <c r="E30" s="283"/>
      <c r="F30" s="283"/>
      <c r="G30" s="283"/>
      <c r="H30" s="283"/>
      <c r="I30" s="283"/>
      <c r="J30" s="283"/>
      <c r="K30" s="283"/>
      <c r="L30" s="283"/>
      <c r="M30" s="283"/>
      <c r="N30" s="283">
        <v>301.63850000000002</v>
      </c>
      <c r="O30" s="283"/>
      <c r="P30" s="283">
        <v>301.63850000000002</v>
      </c>
      <c r="Q30" s="283"/>
      <c r="R30" s="283"/>
      <c r="S30" s="284"/>
      <c r="T30" s="285">
        <f t="shared" si="1"/>
        <v>49.158816818774447</v>
      </c>
    </row>
    <row r="31" spans="1:20" ht="33.75" customHeight="1">
      <c r="A31" s="9">
        <v>21</v>
      </c>
      <c r="B31" s="14" t="s">
        <v>152</v>
      </c>
      <c r="C31" s="283">
        <v>304.60000000000002</v>
      </c>
      <c r="D31" s="283">
        <v>0</v>
      </c>
      <c r="E31" s="283"/>
      <c r="F31" s="283"/>
      <c r="G31" s="283"/>
      <c r="H31" s="283"/>
      <c r="I31" s="283"/>
      <c r="J31" s="283"/>
      <c r="K31" s="283"/>
      <c r="L31" s="283"/>
      <c r="M31" s="283"/>
      <c r="N31" s="283"/>
      <c r="O31" s="283"/>
      <c r="P31" s="283"/>
      <c r="Q31" s="283"/>
      <c r="R31" s="283"/>
      <c r="S31" s="284"/>
      <c r="T31" s="285">
        <f t="shared" si="1"/>
        <v>0</v>
      </c>
    </row>
    <row r="32" spans="1:20" ht="33.75" customHeight="1">
      <c r="A32" s="9">
        <v>22</v>
      </c>
      <c r="B32" s="14" t="s">
        <v>153</v>
      </c>
      <c r="C32" s="283">
        <v>216.97807000000012</v>
      </c>
      <c r="D32" s="283">
        <v>0</v>
      </c>
      <c r="E32" s="283"/>
      <c r="F32" s="283"/>
      <c r="G32" s="283"/>
      <c r="H32" s="283"/>
      <c r="I32" s="283"/>
      <c r="J32" s="283"/>
      <c r="K32" s="283"/>
      <c r="L32" s="283"/>
      <c r="M32" s="283"/>
      <c r="N32" s="283"/>
      <c r="O32" s="283"/>
      <c r="P32" s="283"/>
      <c r="Q32" s="283"/>
      <c r="R32" s="283"/>
      <c r="S32" s="284"/>
      <c r="T32" s="285">
        <f t="shared" si="1"/>
        <v>0</v>
      </c>
    </row>
    <row r="33" spans="1:20" ht="33.75" customHeight="1">
      <c r="A33" s="9">
        <v>23</v>
      </c>
      <c r="B33" s="14" t="s">
        <v>154</v>
      </c>
      <c r="C33" s="283">
        <f>1971.815+40</f>
        <v>2011.8150000000001</v>
      </c>
      <c r="D33" s="286">
        <f>267.46+40</f>
        <v>307.45999999999998</v>
      </c>
      <c r="E33" s="283"/>
      <c r="F33" s="283"/>
      <c r="G33" s="283"/>
      <c r="H33" s="283"/>
      <c r="I33" s="283"/>
      <c r="J33" s="283"/>
      <c r="K33" s="283"/>
      <c r="L33" s="283"/>
      <c r="M33" s="283"/>
      <c r="N33" s="286">
        <f>267.46+40</f>
        <v>307.45999999999998</v>
      </c>
      <c r="O33" s="283"/>
      <c r="P33" s="286">
        <f>267.46+40</f>
        <v>307.45999999999998</v>
      </c>
      <c r="Q33" s="283"/>
      <c r="R33" s="283"/>
      <c r="S33" s="284"/>
      <c r="T33" s="285">
        <f t="shared" si="1"/>
        <v>15.282717347270996</v>
      </c>
    </row>
    <row r="34" spans="1:20" ht="33.75" customHeight="1">
      <c r="A34" s="9">
        <v>24</v>
      </c>
      <c r="B34" s="14" t="s">
        <v>155</v>
      </c>
      <c r="C34" s="283">
        <v>421.37659999999994</v>
      </c>
      <c r="D34" s="286">
        <v>0</v>
      </c>
      <c r="E34" s="283"/>
      <c r="F34" s="283"/>
      <c r="G34" s="283"/>
      <c r="H34" s="283"/>
      <c r="I34" s="283"/>
      <c r="J34" s="283"/>
      <c r="K34" s="283"/>
      <c r="L34" s="283"/>
      <c r="M34" s="283"/>
      <c r="N34" s="283"/>
      <c r="O34" s="283"/>
      <c r="P34" s="283"/>
      <c r="Q34" s="283"/>
      <c r="R34" s="283"/>
      <c r="S34" s="284"/>
      <c r="T34" s="285">
        <f t="shared" si="1"/>
        <v>0</v>
      </c>
    </row>
    <row r="35" spans="1:20" ht="33.75" customHeight="1">
      <c r="A35" s="9">
        <v>25</v>
      </c>
      <c r="B35" s="14" t="s">
        <v>156</v>
      </c>
      <c r="C35" s="283">
        <v>1.9500000000000455</v>
      </c>
      <c r="D35" s="283">
        <v>0</v>
      </c>
      <c r="E35" s="283"/>
      <c r="F35" s="283"/>
      <c r="G35" s="283"/>
      <c r="H35" s="283"/>
      <c r="I35" s="283"/>
      <c r="J35" s="283"/>
      <c r="K35" s="283"/>
      <c r="L35" s="283"/>
      <c r="M35" s="283"/>
      <c r="N35" s="283"/>
      <c r="O35" s="283"/>
      <c r="P35" s="283"/>
      <c r="Q35" s="283"/>
      <c r="R35" s="283"/>
      <c r="S35" s="284"/>
      <c r="T35" s="285">
        <f t="shared" si="1"/>
        <v>0</v>
      </c>
    </row>
    <row r="36" spans="1:20" ht="33.75" customHeight="1">
      <c r="A36" s="9">
        <v>26</v>
      </c>
      <c r="B36" s="15" t="s">
        <v>157</v>
      </c>
      <c r="C36" s="283">
        <v>403.75200000000001</v>
      </c>
      <c r="D36" s="287">
        <v>0</v>
      </c>
      <c r="E36" s="283"/>
      <c r="F36" s="283"/>
      <c r="G36" s="283"/>
      <c r="H36" s="283"/>
      <c r="I36" s="283"/>
      <c r="J36" s="283"/>
      <c r="K36" s="283"/>
      <c r="L36" s="283"/>
      <c r="M36" s="283"/>
      <c r="N36" s="283"/>
      <c r="O36" s="283"/>
      <c r="P36" s="283"/>
      <c r="Q36" s="283"/>
      <c r="R36" s="283"/>
      <c r="S36" s="284"/>
      <c r="T36" s="285">
        <f t="shared" si="1"/>
        <v>0</v>
      </c>
    </row>
    <row r="37" spans="1:20" ht="25.5">
      <c r="A37" s="9">
        <v>27</v>
      </c>
      <c r="B37" s="14" t="s">
        <v>158</v>
      </c>
      <c r="C37" s="283">
        <v>94.50001199999997</v>
      </c>
      <c r="D37" s="283">
        <v>0</v>
      </c>
      <c r="E37" s="283"/>
      <c r="F37" s="283"/>
      <c r="G37" s="283"/>
      <c r="H37" s="283"/>
      <c r="I37" s="283"/>
      <c r="J37" s="283"/>
      <c r="K37" s="283"/>
      <c r="L37" s="283"/>
      <c r="M37" s="283"/>
      <c r="N37" s="283"/>
      <c r="O37" s="283"/>
      <c r="P37" s="283"/>
      <c r="Q37" s="283"/>
      <c r="R37" s="283"/>
      <c r="S37" s="284"/>
      <c r="T37" s="285">
        <f t="shared" si="1"/>
        <v>0</v>
      </c>
    </row>
    <row r="38" spans="1:20" ht="33" customHeight="1">
      <c r="A38" s="9">
        <v>28</v>
      </c>
      <c r="B38" s="11" t="s">
        <v>170</v>
      </c>
      <c r="C38" s="283">
        <v>73.721500000000006</v>
      </c>
      <c r="D38" s="283"/>
      <c r="E38" s="283"/>
      <c r="F38" s="283"/>
      <c r="G38" s="283"/>
      <c r="H38" s="283"/>
      <c r="I38" s="283"/>
      <c r="J38" s="283"/>
      <c r="K38" s="283"/>
      <c r="L38" s="283"/>
      <c r="M38" s="283"/>
      <c r="N38" s="283"/>
      <c r="O38" s="283"/>
      <c r="P38" s="283"/>
      <c r="Q38" s="283"/>
      <c r="R38" s="283"/>
      <c r="S38" s="284"/>
      <c r="T38" s="285">
        <f>D38/C38*100</f>
        <v>0</v>
      </c>
    </row>
    <row r="39" spans="1:20" ht="27" customHeight="1">
      <c r="A39" s="9">
        <v>29</v>
      </c>
      <c r="B39" s="11" t="s">
        <v>159</v>
      </c>
      <c r="C39" s="283">
        <v>1400</v>
      </c>
      <c r="D39" s="283">
        <v>1357.7075</v>
      </c>
      <c r="E39" s="283"/>
      <c r="F39" s="283"/>
      <c r="G39" s="283"/>
      <c r="H39" s="283"/>
      <c r="I39" s="283"/>
      <c r="J39" s="283"/>
      <c r="K39" s="283"/>
      <c r="L39" s="283"/>
      <c r="M39" s="283"/>
      <c r="N39" s="283">
        <v>1357.7075</v>
      </c>
      <c r="O39" s="283"/>
      <c r="P39" s="283"/>
      <c r="Q39" s="283"/>
      <c r="R39" s="283"/>
      <c r="S39" s="284"/>
      <c r="T39" s="285">
        <f t="shared" si="1"/>
        <v>96.979107142857146</v>
      </c>
    </row>
    <row r="40" spans="1:20" ht="27" customHeight="1">
      <c r="A40" s="9">
        <v>30</v>
      </c>
      <c r="B40" s="75" t="s">
        <v>160</v>
      </c>
      <c r="C40" s="283">
        <f>29475.625736+4774.248+1</f>
        <v>34250.873736000001</v>
      </c>
      <c r="D40" s="283">
        <f>27967.773736+4734.974+1</f>
        <v>32703.747735999998</v>
      </c>
      <c r="E40" s="283"/>
      <c r="F40" s="283"/>
      <c r="G40" s="283">
        <v>8977.3259999999991</v>
      </c>
      <c r="H40" s="283"/>
      <c r="I40" s="283">
        <v>68.944999999999993</v>
      </c>
      <c r="J40" s="283">
        <v>300</v>
      </c>
      <c r="K40" s="283"/>
      <c r="L40" s="283"/>
      <c r="M40" s="283"/>
      <c r="N40" s="283">
        <f>22301.014+1</f>
        <v>22302.013999999999</v>
      </c>
      <c r="O40" s="283"/>
      <c r="P40" s="283"/>
      <c r="Q40" s="283">
        <v>1055.4627359999999</v>
      </c>
      <c r="R40" s="283"/>
      <c r="S40" s="284"/>
      <c r="T40" s="285">
        <f t="shared" si="1"/>
        <v>95.482959027775493</v>
      </c>
    </row>
    <row r="41" spans="1:20" ht="29.25" customHeight="1">
      <c r="A41" s="9">
        <v>31</v>
      </c>
      <c r="B41" s="11" t="s">
        <v>161</v>
      </c>
      <c r="C41" s="286">
        <v>700</v>
      </c>
      <c r="D41" s="286">
        <v>700</v>
      </c>
      <c r="E41" s="283"/>
      <c r="F41" s="283"/>
      <c r="G41" s="283"/>
      <c r="H41" s="283"/>
      <c r="I41" s="283"/>
      <c r="J41" s="283"/>
      <c r="K41" s="283"/>
      <c r="L41" s="283"/>
      <c r="M41" s="283"/>
      <c r="N41" s="283"/>
      <c r="O41" s="283"/>
      <c r="P41" s="283"/>
      <c r="Q41" s="286">
        <v>700</v>
      </c>
      <c r="R41" s="283"/>
      <c r="S41" s="284"/>
      <c r="T41" s="285">
        <f t="shared" si="1"/>
        <v>100</v>
      </c>
    </row>
    <row r="42" spans="1:20" ht="29.25" customHeight="1">
      <c r="A42" s="9">
        <v>32</v>
      </c>
      <c r="B42" s="11" t="s">
        <v>162</v>
      </c>
      <c r="C42" s="283">
        <f>34323.25165+13305.852501+3216</f>
        <v>50845.104151</v>
      </c>
      <c r="D42" s="283">
        <f>SUM(E42:S42)-O42-P42</f>
        <v>46395.058321999997</v>
      </c>
      <c r="E42" s="283"/>
      <c r="F42" s="283"/>
      <c r="G42" s="283">
        <f>34020.86165+9158.196672+3216</f>
        <v>46395.058321999997</v>
      </c>
      <c r="H42" s="283"/>
      <c r="I42" s="283"/>
      <c r="J42" s="283"/>
      <c r="K42" s="283"/>
      <c r="L42" s="283"/>
      <c r="M42" s="283"/>
      <c r="N42" s="283"/>
      <c r="O42" s="283"/>
      <c r="P42" s="283"/>
      <c r="Q42" s="283"/>
      <c r="R42" s="283"/>
      <c r="S42" s="284"/>
      <c r="T42" s="285">
        <f t="shared" si="1"/>
        <v>91.247838108888047</v>
      </c>
    </row>
    <row r="43" spans="1:20" ht="33.75" customHeight="1">
      <c r="A43" s="9">
        <v>33</v>
      </c>
      <c r="B43" s="11" t="s">
        <v>140</v>
      </c>
      <c r="C43" s="286">
        <v>442.42099999999999</v>
      </c>
      <c r="D43" s="283">
        <v>442.42099999999999</v>
      </c>
      <c r="E43" s="283"/>
      <c r="F43" s="283"/>
      <c r="G43" s="283"/>
      <c r="H43" s="283"/>
      <c r="I43" s="283"/>
      <c r="J43" s="283"/>
      <c r="K43" s="283"/>
      <c r="L43" s="283"/>
      <c r="M43" s="283"/>
      <c r="N43" s="283"/>
      <c r="O43" s="283"/>
      <c r="P43" s="283"/>
      <c r="Q43" s="283">
        <v>442.42099999999999</v>
      </c>
      <c r="R43" s="283"/>
      <c r="S43" s="284"/>
      <c r="T43" s="285">
        <f>D43/C43*100</f>
        <v>100</v>
      </c>
    </row>
    <row r="44" spans="1:20" ht="29.25" customHeight="1">
      <c r="A44" s="9">
        <v>34</v>
      </c>
      <c r="B44" s="14" t="s">
        <v>163</v>
      </c>
      <c r="C44" s="283">
        <f>2132+29.35</f>
        <v>2161.35</v>
      </c>
      <c r="D44" s="283">
        <f>2098.206</f>
        <v>2098.2060000000001</v>
      </c>
      <c r="E44" s="283"/>
      <c r="F44" s="283"/>
      <c r="G44" s="283"/>
      <c r="H44" s="283"/>
      <c r="I44" s="283">
        <f>2098.206</f>
        <v>2098.2060000000001</v>
      </c>
      <c r="J44" s="283"/>
      <c r="K44" s="283"/>
      <c r="L44" s="283"/>
      <c r="M44" s="283"/>
      <c r="N44" s="283"/>
      <c r="O44" s="283"/>
      <c r="P44" s="283"/>
      <c r="Q44" s="283"/>
      <c r="R44" s="283"/>
      <c r="S44" s="284"/>
      <c r="T44" s="285">
        <f t="shared" si="1"/>
        <v>97.078492608786178</v>
      </c>
    </row>
    <row r="45" spans="1:20" ht="33" customHeight="1">
      <c r="A45" s="9">
        <v>35</v>
      </c>
      <c r="B45" s="11" t="s">
        <v>171</v>
      </c>
      <c r="C45" s="283">
        <v>220.42187999999999</v>
      </c>
      <c r="D45" s="283">
        <v>0</v>
      </c>
      <c r="E45" s="283"/>
      <c r="F45" s="283"/>
      <c r="G45" s="283"/>
      <c r="H45" s="283"/>
      <c r="I45" s="283"/>
      <c r="J45" s="283"/>
      <c r="K45" s="283"/>
      <c r="L45" s="283"/>
      <c r="M45" s="283"/>
      <c r="N45" s="283"/>
      <c r="O45" s="283"/>
      <c r="P45" s="283"/>
      <c r="Q45" s="283"/>
      <c r="R45" s="283"/>
      <c r="S45" s="284"/>
      <c r="T45" s="285">
        <f t="shared" si="1"/>
        <v>0</v>
      </c>
    </row>
    <row r="46" spans="1:20" ht="25.5" customHeight="1">
      <c r="A46" s="9">
        <v>36</v>
      </c>
      <c r="B46" s="11" t="s">
        <v>1442</v>
      </c>
      <c r="C46" s="286">
        <v>1300</v>
      </c>
      <c r="D46" s="286">
        <v>1300</v>
      </c>
      <c r="E46" s="283"/>
      <c r="F46" s="283"/>
      <c r="G46" s="283"/>
      <c r="H46" s="283"/>
      <c r="I46" s="283"/>
      <c r="J46" s="283"/>
      <c r="K46" s="283"/>
      <c r="L46" s="283"/>
      <c r="M46" s="283"/>
      <c r="N46" s="286">
        <v>1300</v>
      </c>
      <c r="O46" s="283"/>
      <c r="P46" s="283"/>
      <c r="Q46" s="283"/>
      <c r="R46" s="283"/>
      <c r="S46" s="284"/>
      <c r="T46" s="285">
        <f>D46/C46*100</f>
        <v>100</v>
      </c>
    </row>
    <row r="47" spans="1:20" ht="25.5" customHeight="1">
      <c r="A47" s="9">
        <v>37</v>
      </c>
      <c r="B47" s="12" t="s">
        <v>119</v>
      </c>
      <c r="C47" s="283">
        <f>17428.5762+300</f>
        <v>17728.5762</v>
      </c>
      <c r="D47" s="283">
        <f>17397.060025+300</f>
        <v>17697.060024999999</v>
      </c>
      <c r="E47" s="283"/>
      <c r="F47" s="283"/>
      <c r="G47" s="283"/>
      <c r="H47" s="283"/>
      <c r="I47" s="283"/>
      <c r="J47" s="283"/>
      <c r="K47" s="283"/>
      <c r="L47" s="283"/>
      <c r="M47" s="283"/>
      <c r="N47" s="283">
        <f>17397.060025+300</f>
        <v>17697.060024999999</v>
      </c>
      <c r="O47" s="283"/>
      <c r="P47" s="283"/>
      <c r="Q47" s="283"/>
      <c r="R47" s="283"/>
      <c r="S47" s="284"/>
      <c r="T47" s="285">
        <f>D47/C47*100</f>
        <v>99.822229520044587</v>
      </c>
    </row>
    <row r="48" spans="1:20" ht="35.25" customHeight="1">
      <c r="A48" s="9">
        <v>38</v>
      </c>
      <c r="B48" s="11" t="s">
        <v>172</v>
      </c>
      <c r="C48" s="283">
        <v>2667.4551999999999</v>
      </c>
      <c r="D48" s="283">
        <v>0</v>
      </c>
      <c r="E48" s="283"/>
      <c r="F48" s="283"/>
      <c r="G48" s="283"/>
      <c r="H48" s="283"/>
      <c r="I48" s="283"/>
      <c r="J48" s="283"/>
      <c r="K48" s="283"/>
      <c r="L48" s="283"/>
      <c r="M48" s="283"/>
      <c r="N48" s="283"/>
      <c r="O48" s="283"/>
      <c r="P48" s="283"/>
      <c r="Q48" s="283"/>
      <c r="R48" s="283"/>
      <c r="S48" s="284"/>
      <c r="T48" s="285">
        <f t="shared" si="1"/>
        <v>0</v>
      </c>
    </row>
    <row r="49" spans="1:20" ht="35.25" customHeight="1">
      <c r="A49" s="9">
        <v>39</v>
      </c>
      <c r="B49" s="11" t="s">
        <v>121</v>
      </c>
      <c r="C49" s="283">
        <f>15123.884+542.839</f>
        <v>15666.723</v>
      </c>
      <c r="D49" s="283">
        <f>8023.664+542.839</f>
        <v>8566.5030000000006</v>
      </c>
      <c r="E49" s="283"/>
      <c r="F49" s="283"/>
      <c r="G49" s="283"/>
      <c r="H49" s="283">
        <v>4982.723</v>
      </c>
      <c r="I49" s="283"/>
      <c r="J49" s="283"/>
      <c r="K49" s="283"/>
      <c r="L49" s="283"/>
      <c r="M49" s="283"/>
      <c r="N49" s="283">
        <v>3583.78</v>
      </c>
      <c r="O49" s="283"/>
      <c r="P49" s="283"/>
      <c r="Q49" s="283"/>
      <c r="R49" s="283"/>
      <c r="S49" s="284"/>
      <c r="T49" s="285">
        <f t="shared" si="1"/>
        <v>54.679609769062751</v>
      </c>
    </row>
    <row r="50" spans="1:20" ht="20.25" customHeight="1">
      <c r="A50" s="9">
        <v>40</v>
      </c>
      <c r="B50" s="11" t="s">
        <v>183</v>
      </c>
      <c r="C50" s="286">
        <f>3500+1000</f>
        <v>4500</v>
      </c>
      <c r="D50" s="286">
        <v>4500</v>
      </c>
      <c r="E50" s="283"/>
      <c r="F50" s="283"/>
      <c r="G50" s="283"/>
      <c r="H50" s="283"/>
      <c r="I50" s="283"/>
      <c r="J50" s="283"/>
      <c r="K50" s="286">
        <v>4500</v>
      </c>
      <c r="L50" s="283"/>
      <c r="M50" s="283"/>
      <c r="N50" s="283"/>
      <c r="O50" s="283"/>
      <c r="P50" s="283"/>
      <c r="Q50" s="283"/>
      <c r="R50" s="283"/>
      <c r="S50" s="284"/>
      <c r="T50" s="285">
        <f t="shared" si="1"/>
        <v>100</v>
      </c>
    </row>
    <row r="51" spans="1:20" ht="20.25" customHeight="1">
      <c r="A51" s="9">
        <v>41</v>
      </c>
      <c r="B51" s="14" t="s">
        <v>184</v>
      </c>
      <c r="C51" s="287">
        <v>281</v>
      </c>
      <c r="D51" s="286">
        <v>274.77499999999998</v>
      </c>
      <c r="E51" s="283"/>
      <c r="F51" s="283"/>
      <c r="G51" s="283"/>
      <c r="H51" s="283"/>
      <c r="I51" s="283"/>
      <c r="J51" s="283"/>
      <c r="K51" s="283"/>
      <c r="L51" s="283"/>
      <c r="M51" s="283"/>
      <c r="N51" s="286">
        <v>274.77499999999998</v>
      </c>
      <c r="O51" s="283"/>
      <c r="P51" s="283"/>
      <c r="Q51" s="283"/>
      <c r="R51" s="283"/>
      <c r="S51" s="284"/>
      <c r="T51" s="285">
        <f t="shared" si="1"/>
        <v>97.784697508896784</v>
      </c>
    </row>
    <row r="52" spans="1:20" ht="20.25" customHeight="1">
      <c r="A52" s="9">
        <v>42</v>
      </c>
      <c r="B52" s="13" t="s">
        <v>185</v>
      </c>
      <c r="C52" s="287">
        <f>670+205.285432</f>
        <v>875.28543200000001</v>
      </c>
      <c r="D52" s="283">
        <f>670+205.285432</f>
        <v>875.28543200000001</v>
      </c>
      <c r="E52" s="283"/>
      <c r="F52" s="283"/>
      <c r="G52" s="283"/>
      <c r="H52" s="283"/>
      <c r="I52" s="283"/>
      <c r="J52" s="283"/>
      <c r="K52" s="283"/>
      <c r="L52" s="283"/>
      <c r="M52" s="283"/>
      <c r="N52" s="283">
        <f>670+205.285432</f>
        <v>875.28543200000001</v>
      </c>
      <c r="O52" s="283"/>
      <c r="P52" s="283"/>
      <c r="Q52" s="283"/>
      <c r="R52" s="283"/>
      <c r="S52" s="284"/>
      <c r="T52" s="285">
        <f t="shared" si="1"/>
        <v>100</v>
      </c>
    </row>
    <row r="53" spans="1:20" ht="22.5" customHeight="1">
      <c r="A53" s="9">
        <v>43</v>
      </c>
      <c r="B53" s="17" t="s">
        <v>186</v>
      </c>
      <c r="C53" s="283">
        <f>60184.705+3.054001</f>
        <v>60187.759000999999</v>
      </c>
      <c r="D53" s="283">
        <v>60184.705000000002</v>
      </c>
      <c r="E53" s="283"/>
      <c r="F53" s="283"/>
      <c r="G53" s="283">
        <v>60184.705000000002</v>
      </c>
      <c r="H53" s="283"/>
      <c r="I53" s="283"/>
      <c r="J53" s="283"/>
      <c r="K53" s="283"/>
      <c r="L53" s="283"/>
      <c r="M53" s="283"/>
      <c r="N53" s="283"/>
      <c r="O53" s="283"/>
      <c r="P53" s="283"/>
      <c r="Q53" s="283"/>
      <c r="R53" s="283"/>
      <c r="S53" s="284"/>
      <c r="T53" s="285">
        <f t="shared" si="1"/>
        <v>99.994925876871505</v>
      </c>
    </row>
    <row r="54" spans="1:20" ht="22.5" customHeight="1">
      <c r="A54" s="9">
        <v>44</v>
      </c>
      <c r="B54" s="11" t="s">
        <v>187</v>
      </c>
      <c r="C54" s="283">
        <f>46512.007+4957.354693+33638.913+2855.805</f>
        <v>87964.079692999992</v>
      </c>
      <c r="D54" s="283">
        <f>45362.735+3732.799761+20878.05205+2855.805</f>
        <v>72829.391810999994</v>
      </c>
      <c r="E54" s="283"/>
      <c r="F54" s="283"/>
      <c r="G54" s="283"/>
      <c r="H54" s="283"/>
      <c r="I54" s="283"/>
      <c r="J54" s="283"/>
      <c r="K54" s="283"/>
      <c r="L54" s="283"/>
      <c r="M54" s="283"/>
      <c r="N54" s="283">
        <v>72827.201811000006</v>
      </c>
      <c r="O54" s="283"/>
      <c r="P54" s="283"/>
      <c r="Q54" s="283">
        <v>2.19</v>
      </c>
      <c r="R54" s="283"/>
      <c r="S54" s="284"/>
      <c r="T54" s="285">
        <f t="shared" si="1"/>
        <v>82.794467997822537</v>
      </c>
    </row>
    <row r="55" spans="1:20" ht="22.5" customHeight="1">
      <c r="A55" s="9">
        <v>45</v>
      </c>
      <c r="B55" s="11" t="s">
        <v>1384</v>
      </c>
      <c r="C55" s="283">
        <f>61151.694928+17739.665</f>
        <v>78891.359927999991</v>
      </c>
      <c r="D55" s="283">
        <f>52860.072328+14587.857</f>
        <v>67447.929327999998</v>
      </c>
      <c r="E55" s="283">
        <v>66147.929327999998</v>
      </c>
      <c r="F55" s="283"/>
      <c r="G55" s="283"/>
      <c r="H55" s="283"/>
      <c r="I55" s="283"/>
      <c r="J55" s="283"/>
      <c r="K55" s="283"/>
      <c r="L55" s="283"/>
      <c r="M55" s="283"/>
      <c r="N55" s="283">
        <v>1300</v>
      </c>
      <c r="O55" s="283"/>
      <c r="P55" s="283"/>
      <c r="Q55" s="283"/>
      <c r="R55" s="283"/>
      <c r="S55" s="284"/>
      <c r="T55" s="285">
        <f t="shared" si="1"/>
        <v>85.494697251455904</v>
      </c>
    </row>
    <row r="56" spans="1:20" ht="22.5" customHeight="1">
      <c r="A56" s="9">
        <v>46</v>
      </c>
      <c r="B56" s="12" t="s">
        <v>189</v>
      </c>
      <c r="C56" s="283">
        <f>342589.698+159372.201702-2640.666+6535.2089+9739.970716</f>
        <v>515596.41331799998</v>
      </c>
      <c r="D56" s="283">
        <f>289045.970334+158667.543202-2569.229+5757.576562+6875.099</f>
        <v>457776.96009800001</v>
      </c>
      <c r="E56" s="283"/>
      <c r="F56" s="283"/>
      <c r="G56" s="283"/>
      <c r="H56" s="283"/>
      <c r="I56" s="283"/>
      <c r="J56" s="283"/>
      <c r="K56" s="283"/>
      <c r="L56" s="283"/>
      <c r="M56" s="283"/>
      <c r="N56" s="283">
        <f>289045.970334+158667.543202-2569.229+12632.675562</f>
        <v>457776.96009800007</v>
      </c>
      <c r="O56" s="283">
        <f>289045.970334+158667.543202-2569.229+12632.675562</f>
        <v>457776.96009800007</v>
      </c>
      <c r="P56" s="283"/>
      <c r="Q56" s="283"/>
      <c r="R56" s="283"/>
      <c r="S56" s="284"/>
      <c r="T56" s="285">
        <f t="shared" si="1"/>
        <v>88.7859085659816</v>
      </c>
    </row>
    <row r="57" spans="1:20" ht="22.5" customHeight="1">
      <c r="A57" s="9">
        <v>47</v>
      </c>
      <c r="B57" s="13" t="s">
        <v>190</v>
      </c>
      <c r="C57" s="283">
        <f>5700+1992.437</f>
        <v>7692.4369999999999</v>
      </c>
      <c r="D57" s="283">
        <f>4758+1406</f>
        <v>6164</v>
      </c>
      <c r="E57" s="283"/>
      <c r="F57" s="283"/>
      <c r="G57" s="283"/>
      <c r="H57" s="283"/>
      <c r="I57" s="283"/>
      <c r="J57" s="283"/>
      <c r="K57" s="283"/>
      <c r="L57" s="283"/>
      <c r="M57" s="283"/>
      <c r="N57" s="283"/>
      <c r="O57" s="283"/>
      <c r="P57" s="283"/>
      <c r="Q57" s="283">
        <f>4758+1406</f>
        <v>6164</v>
      </c>
      <c r="R57" s="283"/>
      <c r="S57" s="284"/>
      <c r="T57" s="285">
        <f t="shared" si="1"/>
        <v>80.130653003723012</v>
      </c>
    </row>
    <row r="58" spans="1:20" ht="22.5" customHeight="1">
      <c r="A58" s="9">
        <v>48</v>
      </c>
      <c r="B58" s="18" t="s">
        <v>191</v>
      </c>
      <c r="C58" s="283">
        <f>4497.986+3101.3355</f>
        <v>7599.3215</v>
      </c>
      <c r="D58" s="283">
        <f>4496.605+3061.5141</f>
        <v>7558.1190999999999</v>
      </c>
      <c r="E58" s="283"/>
      <c r="F58" s="283">
        <v>3061.5140999999999</v>
      </c>
      <c r="G58" s="283"/>
      <c r="H58" s="283"/>
      <c r="I58" s="283"/>
      <c r="J58" s="283"/>
      <c r="K58" s="283"/>
      <c r="L58" s="283"/>
      <c r="M58" s="283"/>
      <c r="N58" s="283">
        <v>4496.6049999999996</v>
      </c>
      <c r="O58" s="283"/>
      <c r="P58" s="283"/>
      <c r="Q58" s="283"/>
      <c r="R58" s="283"/>
      <c r="S58" s="284"/>
      <c r="T58" s="285">
        <f t="shared" si="1"/>
        <v>99.457814753593468</v>
      </c>
    </row>
    <row r="59" spans="1:20" ht="22.5" customHeight="1">
      <c r="A59" s="9">
        <v>49</v>
      </c>
      <c r="B59" s="11" t="s">
        <v>1443</v>
      </c>
      <c r="C59" s="283">
        <f>5350+4289.620054</f>
        <v>9639.6200539999991</v>
      </c>
      <c r="D59" s="283">
        <f>5287.858+4203</f>
        <v>9490.8580000000002</v>
      </c>
      <c r="E59" s="283">
        <v>1794.8579999999999</v>
      </c>
      <c r="F59" s="283"/>
      <c r="G59" s="283"/>
      <c r="H59" s="283"/>
      <c r="I59" s="283"/>
      <c r="J59" s="283"/>
      <c r="K59" s="283"/>
      <c r="L59" s="283"/>
      <c r="M59" s="283"/>
      <c r="N59" s="283">
        <v>2059</v>
      </c>
      <c r="O59" s="283"/>
      <c r="P59" s="283"/>
      <c r="Q59" s="283"/>
      <c r="R59" s="283">
        <v>5637</v>
      </c>
      <c r="S59" s="284"/>
      <c r="T59" s="285">
        <f t="shared" si="1"/>
        <v>98.456764341678905</v>
      </c>
    </row>
    <row r="60" spans="1:20" ht="33" customHeight="1">
      <c r="A60" s="9">
        <v>50</v>
      </c>
      <c r="B60" s="14" t="s">
        <v>181</v>
      </c>
      <c r="C60" s="287">
        <v>1500</v>
      </c>
      <c r="D60" s="286">
        <v>1500</v>
      </c>
      <c r="E60" s="283"/>
      <c r="F60" s="283"/>
      <c r="G60" s="283"/>
      <c r="H60" s="283"/>
      <c r="I60" s="283"/>
      <c r="J60" s="283"/>
      <c r="K60" s="283"/>
      <c r="L60" s="283"/>
      <c r="M60" s="283"/>
      <c r="N60" s="283"/>
      <c r="O60" s="283"/>
      <c r="P60" s="283"/>
      <c r="Q60" s="283"/>
      <c r="R60" s="283"/>
      <c r="S60" s="284"/>
      <c r="T60" s="285">
        <f>D60/C60*100</f>
        <v>100</v>
      </c>
    </row>
    <row r="61" spans="1:20" ht="33" customHeight="1">
      <c r="A61" s="9">
        <v>51</v>
      </c>
      <c r="B61" s="13" t="s">
        <v>1431</v>
      </c>
      <c r="C61" s="283">
        <v>2597.8090000000002</v>
      </c>
      <c r="D61" s="283">
        <v>2597.8090000000002</v>
      </c>
      <c r="E61" s="283"/>
      <c r="F61" s="283"/>
      <c r="G61" s="283"/>
      <c r="H61" s="283"/>
      <c r="I61" s="283"/>
      <c r="J61" s="283"/>
      <c r="K61" s="283"/>
      <c r="L61" s="283"/>
      <c r="M61" s="283"/>
      <c r="N61" s="283">
        <v>1000</v>
      </c>
      <c r="O61" s="283"/>
      <c r="P61" s="283"/>
      <c r="Q61" s="283"/>
      <c r="R61" s="283">
        <v>1597.809</v>
      </c>
      <c r="S61" s="284"/>
      <c r="T61" s="285">
        <f>D61/C61*100</f>
        <v>100</v>
      </c>
    </row>
    <row r="62" spans="1:20" ht="33.75" customHeight="1">
      <c r="A62" s="9">
        <v>52</v>
      </c>
      <c r="B62" s="18" t="s">
        <v>202</v>
      </c>
      <c r="C62" s="287">
        <v>850</v>
      </c>
      <c r="D62" s="286">
        <v>68.966499999999996</v>
      </c>
      <c r="E62" s="283"/>
      <c r="F62" s="283"/>
      <c r="G62" s="283"/>
      <c r="H62" s="283"/>
      <c r="I62" s="283"/>
      <c r="J62" s="283"/>
      <c r="K62" s="283"/>
      <c r="L62" s="283"/>
      <c r="M62" s="283"/>
      <c r="N62" s="286">
        <v>68.966499999999996</v>
      </c>
      <c r="O62" s="283"/>
      <c r="P62" s="283"/>
      <c r="Q62" s="283"/>
      <c r="R62" s="283"/>
      <c r="S62" s="284"/>
      <c r="T62" s="285">
        <f>D62/C62*100</f>
        <v>8.1137058823529404</v>
      </c>
    </row>
    <row r="63" spans="1:20" ht="22.5" customHeight="1">
      <c r="A63" s="9">
        <v>53</v>
      </c>
      <c r="B63" s="14" t="s">
        <v>194</v>
      </c>
      <c r="C63" s="287">
        <v>530</v>
      </c>
      <c r="D63" s="286">
        <v>433.96199999999999</v>
      </c>
      <c r="E63" s="283"/>
      <c r="F63" s="283"/>
      <c r="G63" s="283"/>
      <c r="H63" s="283"/>
      <c r="I63" s="283"/>
      <c r="J63" s="283"/>
      <c r="K63" s="283"/>
      <c r="L63" s="283"/>
      <c r="M63" s="283"/>
      <c r="N63" s="286">
        <v>433.96199999999999</v>
      </c>
      <c r="O63" s="283"/>
      <c r="P63" s="283"/>
      <c r="Q63" s="283"/>
      <c r="R63" s="283"/>
      <c r="S63" s="284"/>
      <c r="T63" s="285">
        <f t="shared" si="1"/>
        <v>81.879622641509428</v>
      </c>
    </row>
    <row r="64" spans="1:20" ht="22.5" customHeight="1">
      <c r="A64" s="9">
        <v>54</v>
      </c>
      <c r="B64" s="13" t="s">
        <v>195</v>
      </c>
      <c r="C64" s="283">
        <f>10808+6470</f>
        <v>17278</v>
      </c>
      <c r="D64" s="283">
        <f>4680.842+4450</f>
        <v>9130.8420000000006</v>
      </c>
      <c r="E64" s="283"/>
      <c r="F64" s="283"/>
      <c r="G64" s="283"/>
      <c r="H64" s="283"/>
      <c r="I64" s="283"/>
      <c r="J64" s="283">
        <v>500.73500000000001</v>
      </c>
      <c r="K64" s="283"/>
      <c r="L64" s="283"/>
      <c r="M64" s="283"/>
      <c r="N64" s="283">
        <v>8630.107</v>
      </c>
      <c r="O64" s="283"/>
      <c r="P64" s="283"/>
      <c r="Q64" s="283"/>
      <c r="R64" s="283"/>
      <c r="S64" s="284"/>
      <c r="T64" s="285">
        <f t="shared" si="1"/>
        <v>52.846637342284986</v>
      </c>
    </row>
    <row r="65" spans="1:20" ht="22.5" customHeight="1">
      <c r="A65" s="9">
        <v>55</v>
      </c>
      <c r="B65" s="12" t="s">
        <v>196</v>
      </c>
      <c r="C65" s="283">
        <f>8363.472+1388.128</f>
        <v>9751.6</v>
      </c>
      <c r="D65" s="283">
        <f>5998.89+1377.277</f>
        <v>7376.1670000000004</v>
      </c>
      <c r="E65" s="283"/>
      <c r="F65" s="283"/>
      <c r="G65" s="283"/>
      <c r="H65" s="283"/>
      <c r="I65" s="283"/>
      <c r="J65" s="283"/>
      <c r="K65" s="283"/>
      <c r="L65" s="283"/>
      <c r="M65" s="283">
        <v>130.70599999999999</v>
      </c>
      <c r="N65" s="283">
        <v>7245.4610000000002</v>
      </c>
      <c r="O65" s="283">
        <v>48.192</v>
      </c>
      <c r="P65" s="283"/>
      <c r="Q65" s="283"/>
      <c r="R65" s="283"/>
      <c r="S65" s="284"/>
      <c r="T65" s="285">
        <f t="shared" si="1"/>
        <v>75.640582058328889</v>
      </c>
    </row>
    <row r="66" spans="1:20" ht="22.5" customHeight="1">
      <c r="A66" s="9">
        <v>56</v>
      </c>
      <c r="B66" s="13" t="s">
        <v>197</v>
      </c>
      <c r="C66" s="283">
        <v>14111.138999999999</v>
      </c>
      <c r="D66" s="283">
        <v>14110.999</v>
      </c>
      <c r="E66" s="283"/>
      <c r="F66" s="283"/>
      <c r="G66" s="283"/>
      <c r="H66" s="283"/>
      <c r="I66" s="283"/>
      <c r="J66" s="283"/>
      <c r="K66" s="283"/>
      <c r="L66" s="283"/>
      <c r="M66" s="283"/>
      <c r="N66" s="283">
        <v>14110.999</v>
      </c>
      <c r="O66" s="283"/>
      <c r="P66" s="283"/>
      <c r="Q66" s="283"/>
      <c r="R66" s="283"/>
      <c r="S66" s="284"/>
      <c r="T66" s="285">
        <f t="shared" si="1"/>
        <v>99.999007875976559</v>
      </c>
    </row>
    <row r="67" spans="1:20" ht="24" customHeight="1">
      <c r="A67" s="9">
        <v>57</v>
      </c>
      <c r="B67" s="11" t="s">
        <v>1397</v>
      </c>
      <c r="C67" s="283">
        <f>37836.427632+17562.755915</f>
        <v>55399.183547000001</v>
      </c>
      <c r="D67" s="283">
        <f>27730.972632+12020.269394</f>
        <v>39751.242026</v>
      </c>
      <c r="E67" s="283">
        <v>1500</v>
      </c>
      <c r="F67" s="283"/>
      <c r="G67" s="283"/>
      <c r="H67" s="283"/>
      <c r="I67" s="283"/>
      <c r="J67" s="283">
        <v>24865.317899999998</v>
      </c>
      <c r="K67" s="283"/>
      <c r="L67" s="283">
        <v>87.917126999999994</v>
      </c>
      <c r="M67" s="283"/>
      <c r="N67" s="283">
        <v>13298.006998999999</v>
      </c>
      <c r="O67" s="283"/>
      <c r="P67" s="283"/>
      <c r="Q67" s="283"/>
      <c r="R67" s="283"/>
      <c r="S67" s="284"/>
      <c r="T67" s="285">
        <f t="shared" si="1"/>
        <v>71.75420192298597</v>
      </c>
    </row>
    <row r="68" spans="1:20" ht="31.5" customHeight="1">
      <c r="A68" s="9">
        <v>58</v>
      </c>
      <c r="B68" s="13" t="s">
        <v>206</v>
      </c>
      <c r="C68" s="283">
        <v>295.21300000000002</v>
      </c>
      <c r="D68" s="283">
        <v>295.21300000000002</v>
      </c>
      <c r="E68" s="283"/>
      <c r="F68" s="283"/>
      <c r="G68" s="283"/>
      <c r="H68" s="283"/>
      <c r="I68" s="283"/>
      <c r="J68" s="283">
        <v>295.21300000000002</v>
      </c>
      <c r="K68" s="283"/>
      <c r="L68" s="283"/>
      <c r="M68" s="283"/>
      <c r="N68" s="283"/>
      <c r="O68" s="283"/>
      <c r="P68" s="283"/>
      <c r="Q68" s="283"/>
      <c r="R68" s="283"/>
      <c r="S68" s="284"/>
      <c r="T68" s="285">
        <f>D68/C68*100</f>
        <v>100</v>
      </c>
    </row>
    <row r="69" spans="1:20" ht="24" customHeight="1">
      <c r="A69" s="9">
        <v>59</v>
      </c>
      <c r="B69" s="12" t="s">
        <v>199</v>
      </c>
      <c r="C69" s="283">
        <f>121836.1354+56213.120778+819.7505+15444.759667</f>
        <v>194313.76634500001</v>
      </c>
      <c r="D69" s="283">
        <f>100001.926294+42661.943048+208.5275+6092.853</f>
        <v>148965.24984199999</v>
      </c>
      <c r="E69" s="283"/>
      <c r="F69" s="283"/>
      <c r="G69" s="283"/>
      <c r="H69" s="283"/>
      <c r="I69" s="283">
        <f>142203.855342+6301.3805</f>
        <v>148505.23584199999</v>
      </c>
      <c r="J69" s="283"/>
      <c r="K69" s="283"/>
      <c r="L69" s="283"/>
      <c r="M69" s="283"/>
      <c r="N69" s="283">
        <v>460.01400000000001</v>
      </c>
      <c r="O69" s="283"/>
      <c r="P69" s="283"/>
      <c r="Q69" s="283"/>
      <c r="R69" s="283"/>
      <c r="S69" s="284"/>
      <c r="T69" s="285">
        <f t="shared" si="1"/>
        <v>76.662221439069484</v>
      </c>
    </row>
    <row r="70" spans="1:20" ht="29.25" customHeight="1">
      <c r="A70" s="9">
        <v>60</v>
      </c>
      <c r="B70" s="11" t="s">
        <v>164</v>
      </c>
      <c r="C70" s="283">
        <v>23784</v>
      </c>
      <c r="D70" s="283">
        <v>5503.8625000000002</v>
      </c>
      <c r="E70" s="283"/>
      <c r="F70" s="283"/>
      <c r="G70" s="283"/>
      <c r="H70" s="283"/>
      <c r="I70" s="283">
        <v>2711.855</v>
      </c>
      <c r="J70" s="283"/>
      <c r="K70" s="283"/>
      <c r="L70" s="283"/>
      <c r="M70" s="283"/>
      <c r="N70" s="283">
        <v>2792.0075000000002</v>
      </c>
      <c r="O70" s="283"/>
      <c r="P70" s="283"/>
      <c r="Q70" s="283"/>
      <c r="R70" s="283"/>
      <c r="S70" s="284"/>
      <c r="T70" s="285">
        <f>D70/C70*100</f>
        <v>23.141029683821056</v>
      </c>
    </row>
    <row r="71" spans="1:20" ht="29.25" customHeight="1">
      <c r="A71" s="9">
        <v>61</v>
      </c>
      <c r="B71" s="11" t="s">
        <v>165</v>
      </c>
      <c r="C71" s="283">
        <v>1300</v>
      </c>
      <c r="D71" s="283">
        <v>600</v>
      </c>
      <c r="E71" s="283"/>
      <c r="F71" s="283"/>
      <c r="G71" s="283"/>
      <c r="H71" s="283"/>
      <c r="I71" s="283">
        <v>600</v>
      </c>
      <c r="J71" s="283"/>
      <c r="K71" s="283"/>
      <c r="L71" s="283"/>
      <c r="M71" s="283"/>
      <c r="N71" s="283"/>
      <c r="O71" s="283"/>
      <c r="P71" s="283"/>
      <c r="Q71" s="283"/>
      <c r="R71" s="283"/>
      <c r="S71" s="284"/>
      <c r="T71" s="285">
        <f>D71/C71*100</f>
        <v>46.153846153846153</v>
      </c>
    </row>
    <row r="72" spans="1:20" ht="33" customHeight="1">
      <c r="A72" s="9">
        <v>62</v>
      </c>
      <c r="B72" s="16" t="s">
        <v>179</v>
      </c>
      <c r="C72" s="287">
        <v>5000</v>
      </c>
      <c r="D72" s="283">
        <v>1313.0029999999999</v>
      </c>
      <c r="E72" s="283"/>
      <c r="F72" s="283"/>
      <c r="G72" s="283"/>
      <c r="H72" s="283"/>
      <c r="I72" s="283">
        <v>1313.0029999999999</v>
      </c>
      <c r="J72" s="283"/>
      <c r="K72" s="283"/>
      <c r="L72" s="283"/>
      <c r="M72" s="283"/>
      <c r="N72" s="283"/>
      <c r="O72" s="283"/>
      <c r="P72" s="283"/>
      <c r="Q72" s="283"/>
      <c r="R72" s="283"/>
      <c r="S72" s="284"/>
      <c r="T72" s="285">
        <f>D72/C72*100</f>
        <v>26.260059999999996</v>
      </c>
    </row>
    <row r="73" spans="1:20" ht="33.75" customHeight="1">
      <c r="A73" s="9">
        <v>63</v>
      </c>
      <c r="B73" s="11" t="s">
        <v>1444</v>
      </c>
      <c r="C73" s="283">
        <v>600</v>
      </c>
      <c r="D73" s="283">
        <v>57.417999999999999</v>
      </c>
      <c r="E73" s="283"/>
      <c r="F73" s="283"/>
      <c r="G73" s="283"/>
      <c r="H73" s="283"/>
      <c r="I73" s="283"/>
      <c r="J73" s="283"/>
      <c r="K73" s="283"/>
      <c r="L73" s="283"/>
      <c r="M73" s="283"/>
      <c r="N73" s="283">
        <v>57.417999999999999</v>
      </c>
      <c r="O73" s="283"/>
      <c r="P73" s="283"/>
      <c r="Q73" s="283"/>
      <c r="R73" s="283"/>
      <c r="S73" s="284"/>
      <c r="T73" s="285">
        <f>D73/C73*100</f>
        <v>9.5696666666666665</v>
      </c>
    </row>
    <row r="74" spans="1:20" ht="25.5" customHeight="1">
      <c r="A74" s="9">
        <v>64</v>
      </c>
      <c r="B74" s="19" t="s">
        <v>207</v>
      </c>
      <c r="C74" s="287">
        <v>2025</v>
      </c>
      <c r="D74" s="283">
        <v>890.21</v>
      </c>
      <c r="E74" s="283"/>
      <c r="F74" s="283"/>
      <c r="G74" s="283"/>
      <c r="H74" s="283"/>
      <c r="I74" s="283">
        <v>890.21</v>
      </c>
      <c r="J74" s="283"/>
      <c r="K74" s="283"/>
      <c r="L74" s="283"/>
      <c r="M74" s="283"/>
      <c r="N74" s="283"/>
      <c r="O74" s="283"/>
      <c r="P74" s="283"/>
      <c r="Q74" s="283"/>
      <c r="R74" s="283"/>
      <c r="S74" s="284"/>
      <c r="T74" s="285">
        <f>D74/C74*100</f>
        <v>43.960987654320988</v>
      </c>
    </row>
    <row r="75" spans="1:20" ht="24" customHeight="1">
      <c r="A75" s="9">
        <v>65</v>
      </c>
      <c r="B75" s="11" t="s">
        <v>200</v>
      </c>
      <c r="C75" s="283">
        <v>3800</v>
      </c>
      <c r="D75" s="283">
        <v>3577.5</v>
      </c>
      <c r="E75" s="283"/>
      <c r="F75" s="283"/>
      <c r="G75" s="283"/>
      <c r="H75" s="283"/>
      <c r="I75" s="283"/>
      <c r="J75" s="283">
        <v>1106.2570000000001</v>
      </c>
      <c r="K75" s="283"/>
      <c r="L75" s="283"/>
      <c r="M75" s="283"/>
      <c r="N75" s="283">
        <v>2471.2429999999999</v>
      </c>
      <c r="O75" s="283"/>
      <c r="P75" s="283"/>
      <c r="Q75" s="283"/>
      <c r="R75" s="283"/>
      <c r="S75" s="284"/>
      <c r="T75" s="285">
        <f t="shared" si="1"/>
        <v>94.14473684210526</v>
      </c>
    </row>
    <row r="76" spans="1:20" ht="32.25" customHeight="1">
      <c r="A76" s="9">
        <v>66</v>
      </c>
      <c r="B76" s="14" t="s">
        <v>1432</v>
      </c>
      <c r="C76" s="287">
        <v>1200</v>
      </c>
      <c r="D76" s="287">
        <v>1200</v>
      </c>
      <c r="E76" s="283"/>
      <c r="F76" s="283"/>
      <c r="G76" s="283"/>
      <c r="H76" s="283"/>
      <c r="I76" s="283"/>
      <c r="J76" s="283"/>
      <c r="K76" s="283"/>
      <c r="L76" s="283"/>
      <c r="M76" s="283"/>
      <c r="N76" s="287">
        <v>1200</v>
      </c>
      <c r="O76" s="283"/>
      <c r="P76" s="283"/>
      <c r="Q76" s="283"/>
      <c r="R76" s="283"/>
      <c r="S76" s="284"/>
      <c r="T76" s="285">
        <f t="shared" ref="T76:T87" si="3">D76/C76*100</f>
        <v>100</v>
      </c>
    </row>
    <row r="77" spans="1:20" ht="30.75" customHeight="1">
      <c r="A77" s="9">
        <v>67</v>
      </c>
      <c r="B77" s="14" t="s">
        <v>205</v>
      </c>
      <c r="C77" s="283">
        <v>4622.3909999999996</v>
      </c>
      <c r="D77" s="283">
        <v>184.41</v>
      </c>
      <c r="E77" s="283"/>
      <c r="F77" s="283"/>
      <c r="G77" s="283"/>
      <c r="H77" s="283"/>
      <c r="I77" s="283"/>
      <c r="J77" s="283"/>
      <c r="K77" s="283"/>
      <c r="L77" s="283"/>
      <c r="M77" s="283"/>
      <c r="N77" s="283">
        <v>184.41</v>
      </c>
      <c r="O77" s="283"/>
      <c r="P77" s="283"/>
      <c r="Q77" s="283"/>
      <c r="R77" s="283"/>
      <c r="S77" s="284"/>
      <c r="T77" s="285">
        <f t="shared" si="3"/>
        <v>3.9894937490143092</v>
      </c>
    </row>
    <row r="78" spans="1:20" ht="25.5" customHeight="1">
      <c r="A78" s="9">
        <v>68</v>
      </c>
      <c r="B78" s="11" t="s">
        <v>208</v>
      </c>
      <c r="C78" s="286">
        <v>1347</v>
      </c>
      <c r="D78" s="286">
        <v>1347</v>
      </c>
      <c r="E78" s="286">
        <v>1347</v>
      </c>
      <c r="F78" s="283"/>
      <c r="G78" s="283"/>
      <c r="H78" s="283"/>
      <c r="I78" s="283"/>
      <c r="J78" s="283"/>
      <c r="K78" s="283"/>
      <c r="L78" s="283"/>
      <c r="M78" s="283"/>
      <c r="N78" s="283"/>
      <c r="O78" s="283"/>
      <c r="P78" s="283"/>
      <c r="Q78" s="283"/>
      <c r="R78" s="283"/>
      <c r="S78" s="284"/>
      <c r="T78" s="285">
        <f t="shared" si="3"/>
        <v>100</v>
      </c>
    </row>
    <row r="79" spans="1:20" ht="25.5" customHeight="1">
      <c r="A79" s="9">
        <v>69</v>
      </c>
      <c r="B79" s="14" t="s">
        <v>209</v>
      </c>
      <c r="C79" s="287">
        <v>800</v>
      </c>
      <c r="D79" s="287">
        <v>800</v>
      </c>
      <c r="E79" s="287">
        <v>800</v>
      </c>
      <c r="F79" s="283"/>
      <c r="G79" s="283"/>
      <c r="H79" s="283"/>
      <c r="I79" s="283"/>
      <c r="J79" s="283"/>
      <c r="K79" s="283"/>
      <c r="L79" s="283"/>
      <c r="M79" s="283"/>
      <c r="N79" s="283"/>
      <c r="O79" s="283"/>
      <c r="P79" s="283"/>
      <c r="Q79" s="283"/>
      <c r="R79" s="283"/>
      <c r="S79" s="284"/>
      <c r="T79" s="285">
        <f t="shared" si="3"/>
        <v>100</v>
      </c>
    </row>
    <row r="80" spans="1:20" ht="25.5" customHeight="1">
      <c r="A80" s="9">
        <v>70</v>
      </c>
      <c r="B80" s="13" t="s">
        <v>210</v>
      </c>
      <c r="C80" s="283">
        <v>5352</v>
      </c>
      <c r="D80" s="283">
        <v>2628.4920000000002</v>
      </c>
      <c r="E80" s="283">
        <v>2352</v>
      </c>
      <c r="F80" s="283"/>
      <c r="G80" s="283"/>
      <c r="H80" s="283"/>
      <c r="I80" s="283"/>
      <c r="J80" s="283"/>
      <c r="K80" s="283"/>
      <c r="L80" s="283"/>
      <c r="M80" s="283"/>
      <c r="N80" s="283">
        <v>276.49200000000002</v>
      </c>
      <c r="O80" s="283"/>
      <c r="P80" s="283"/>
      <c r="Q80" s="283"/>
      <c r="R80" s="283"/>
      <c r="S80" s="284"/>
      <c r="T80" s="285">
        <f t="shared" si="3"/>
        <v>49.112331838565026</v>
      </c>
    </row>
    <row r="81" spans="1:20" ht="25.5" customHeight="1">
      <c r="A81" s="9">
        <v>71</v>
      </c>
      <c r="B81" s="13" t="s">
        <v>211</v>
      </c>
      <c r="C81" s="283">
        <f>10087.7467+91.307</f>
        <v>10179.0537</v>
      </c>
      <c r="D81" s="283">
        <f>10087.7467+91.307</f>
        <v>10179.0537</v>
      </c>
      <c r="E81" s="283">
        <f>10087.7467+91.307</f>
        <v>10179.0537</v>
      </c>
      <c r="F81" s="283"/>
      <c r="G81" s="283"/>
      <c r="H81" s="283"/>
      <c r="I81" s="283"/>
      <c r="J81" s="283"/>
      <c r="K81" s="283"/>
      <c r="L81" s="283"/>
      <c r="M81" s="283"/>
      <c r="N81" s="283"/>
      <c r="O81" s="283"/>
      <c r="P81" s="283"/>
      <c r="Q81" s="283"/>
      <c r="R81" s="283"/>
      <c r="S81" s="284"/>
      <c r="T81" s="285">
        <f t="shared" si="3"/>
        <v>100</v>
      </c>
    </row>
    <row r="82" spans="1:20" ht="24.75" customHeight="1">
      <c r="A82" s="9">
        <v>72</v>
      </c>
      <c r="B82" s="11" t="s">
        <v>213</v>
      </c>
      <c r="C82" s="283">
        <v>6500</v>
      </c>
      <c r="D82" s="283">
        <v>0</v>
      </c>
      <c r="E82" s="283"/>
      <c r="F82" s="283"/>
      <c r="G82" s="283"/>
      <c r="H82" s="283"/>
      <c r="I82" s="283"/>
      <c r="J82" s="283"/>
      <c r="K82" s="283"/>
      <c r="L82" s="283"/>
      <c r="M82" s="283"/>
      <c r="N82" s="283"/>
      <c r="O82" s="283"/>
      <c r="P82" s="283"/>
      <c r="Q82" s="283"/>
      <c r="R82" s="283"/>
      <c r="S82" s="284"/>
      <c r="T82" s="285">
        <f t="shared" si="3"/>
        <v>0</v>
      </c>
    </row>
    <row r="83" spans="1:20" ht="28.5" customHeight="1">
      <c r="A83" s="9">
        <v>73</v>
      </c>
      <c r="B83" s="8" t="s">
        <v>1081</v>
      </c>
      <c r="C83" s="286">
        <v>81067.426005999994</v>
      </c>
      <c r="D83" s="286">
        <f>SUM(E83:S83)-O83-P83</f>
        <v>81067.426005999994</v>
      </c>
      <c r="E83" s="288"/>
      <c r="F83" s="288"/>
      <c r="G83" s="288"/>
      <c r="H83" s="288"/>
      <c r="I83" s="288"/>
      <c r="J83" s="288"/>
      <c r="K83" s="288"/>
      <c r="L83" s="288"/>
      <c r="M83" s="288"/>
      <c r="N83" s="288"/>
      <c r="O83" s="288"/>
      <c r="P83" s="288"/>
      <c r="Q83" s="288"/>
      <c r="R83" s="288"/>
      <c r="S83" s="286">
        <v>81067.426005999994</v>
      </c>
      <c r="T83" s="285">
        <f t="shared" si="3"/>
        <v>100</v>
      </c>
    </row>
    <row r="84" spans="1:20" ht="31.5" customHeight="1">
      <c r="A84" s="9">
        <v>74</v>
      </c>
      <c r="B84" s="8" t="s">
        <v>137</v>
      </c>
      <c r="C84" s="286">
        <v>30000</v>
      </c>
      <c r="D84" s="286">
        <f t="shared" ref="D84:D87" si="4">SUM(E84:S84)-O84-P84</f>
        <v>30000</v>
      </c>
      <c r="E84" s="288"/>
      <c r="F84" s="288"/>
      <c r="G84" s="288"/>
      <c r="H84" s="288"/>
      <c r="I84" s="288"/>
      <c r="J84" s="288"/>
      <c r="K84" s="288"/>
      <c r="L84" s="288"/>
      <c r="M84" s="288"/>
      <c r="N84" s="288"/>
      <c r="O84" s="288"/>
      <c r="P84" s="288"/>
      <c r="Q84" s="288"/>
      <c r="R84" s="288"/>
      <c r="S84" s="286">
        <v>30000</v>
      </c>
      <c r="T84" s="285">
        <f t="shared" si="3"/>
        <v>100</v>
      </c>
    </row>
    <row r="85" spans="1:20" ht="33" customHeight="1">
      <c r="A85" s="9">
        <v>75</v>
      </c>
      <c r="B85" s="8" t="s">
        <v>138</v>
      </c>
      <c r="C85" s="286">
        <v>10706</v>
      </c>
      <c r="D85" s="286">
        <f t="shared" si="4"/>
        <v>10706</v>
      </c>
      <c r="E85" s="288"/>
      <c r="F85" s="288"/>
      <c r="G85" s="288"/>
      <c r="H85" s="288"/>
      <c r="I85" s="288"/>
      <c r="J85" s="288"/>
      <c r="K85" s="288"/>
      <c r="L85" s="288"/>
      <c r="M85" s="288"/>
      <c r="N85" s="288"/>
      <c r="O85" s="288"/>
      <c r="P85" s="288"/>
      <c r="Q85" s="288"/>
      <c r="R85" s="288"/>
      <c r="S85" s="286">
        <v>10706</v>
      </c>
      <c r="T85" s="285">
        <f t="shared" si="3"/>
        <v>100</v>
      </c>
    </row>
    <row r="86" spans="1:20" ht="28.5" customHeight="1">
      <c r="A86" s="9">
        <v>76</v>
      </c>
      <c r="B86" s="8" t="s">
        <v>1168</v>
      </c>
      <c r="C86" s="286">
        <v>5000</v>
      </c>
      <c r="D86" s="286">
        <f t="shared" si="4"/>
        <v>5000</v>
      </c>
      <c r="E86" s="288"/>
      <c r="F86" s="288"/>
      <c r="G86" s="288"/>
      <c r="H86" s="288"/>
      <c r="I86" s="288"/>
      <c r="J86" s="288"/>
      <c r="K86" s="288"/>
      <c r="L86" s="288"/>
      <c r="M86" s="288"/>
      <c r="N86" s="288"/>
      <c r="O86" s="288"/>
      <c r="P86" s="288"/>
      <c r="Q86" s="288"/>
      <c r="R86" s="288"/>
      <c r="S86" s="286">
        <v>5000</v>
      </c>
      <c r="T86" s="285">
        <f t="shared" si="3"/>
        <v>100</v>
      </c>
    </row>
    <row r="87" spans="1:20" ht="43.5" customHeight="1">
      <c r="A87" s="9">
        <v>77</v>
      </c>
      <c r="B87" s="8" t="s">
        <v>1167</v>
      </c>
      <c r="C87" s="286">
        <v>20000</v>
      </c>
      <c r="D87" s="286">
        <f t="shared" si="4"/>
        <v>20000</v>
      </c>
      <c r="E87" s="288"/>
      <c r="F87" s="288"/>
      <c r="G87" s="288"/>
      <c r="H87" s="288"/>
      <c r="I87" s="288"/>
      <c r="J87" s="288"/>
      <c r="K87" s="288"/>
      <c r="L87" s="288"/>
      <c r="M87" s="288"/>
      <c r="N87" s="288"/>
      <c r="O87" s="288"/>
      <c r="P87" s="288"/>
      <c r="Q87" s="288"/>
      <c r="R87" s="288"/>
      <c r="S87" s="289">
        <v>20000</v>
      </c>
      <c r="T87" s="285">
        <f t="shared" si="3"/>
        <v>100</v>
      </c>
    </row>
    <row r="88" spans="1:20" ht="35.25" customHeight="1">
      <c r="A88" s="9">
        <v>78</v>
      </c>
      <c r="B88" s="11" t="s">
        <v>173</v>
      </c>
      <c r="C88" s="283">
        <v>505.17960699999998</v>
      </c>
      <c r="D88" s="283">
        <v>502.01164</v>
      </c>
      <c r="E88" s="283"/>
      <c r="F88" s="283"/>
      <c r="G88" s="283"/>
      <c r="H88" s="283"/>
      <c r="I88" s="283"/>
      <c r="J88" s="283"/>
      <c r="K88" s="283"/>
      <c r="L88" s="283"/>
      <c r="M88" s="283">
        <v>2.0116399999999999</v>
      </c>
      <c r="N88" s="283">
        <v>500</v>
      </c>
      <c r="O88" s="283"/>
      <c r="P88" s="283"/>
      <c r="Q88" s="283"/>
      <c r="R88" s="283"/>
      <c r="S88" s="284"/>
      <c r="T88" s="285">
        <f t="shared" ref="T88:T93" si="5">D88/C88*100</f>
        <v>99.37290283374405</v>
      </c>
    </row>
    <row r="89" spans="1:20" ht="35.25" customHeight="1">
      <c r="A89" s="9">
        <v>79</v>
      </c>
      <c r="B89" s="14" t="s">
        <v>174</v>
      </c>
      <c r="C89" s="283">
        <f>9679.839647+13340.344</f>
        <v>23020.183646999998</v>
      </c>
      <c r="D89" s="283">
        <f>8884.272777+12027.610501</f>
        <v>20911.883278000001</v>
      </c>
      <c r="E89" s="283"/>
      <c r="F89" s="283"/>
      <c r="G89" s="283"/>
      <c r="H89" s="283"/>
      <c r="I89" s="283"/>
      <c r="J89" s="283"/>
      <c r="K89" s="283"/>
      <c r="L89" s="283"/>
      <c r="M89" s="283">
        <v>893.45899999999995</v>
      </c>
      <c r="N89" s="283">
        <v>20018.424277999999</v>
      </c>
      <c r="O89" s="283"/>
      <c r="P89" s="283"/>
      <c r="Q89" s="283"/>
      <c r="R89" s="283"/>
      <c r="S89" s="284"/>
      <c r="T89" s="285">
        <f t="shared" si="5"/>
        <v>90.841513684992904</v>
      </c>
    </row>
    <row r="90" spans="1:20" ht="35.25" customHeight="1">
      <c r="A90" s="9">
        <v>80</v>
      </c>
      <c r="B90" s="14" t="s">
        <v>175</v>
      </c>
      <c r="C90" s="283">
        <v>29000</v>
      </c>
      <c r="D90" s="283">
        <v>29000</v>
      </c>
      <c r="E90" s="283"/>
      <c r="F90" s="283"/>
      <c r="G90" s="283"/>
      <c r="H90" s="283"/>
      <c r="I90" s="283"/>
      <c r="J90" s="283"/>
      <c r="K90" s="283"/>
      <c r="L90" s="283"/>
      <c r="M90" s="283"/>
      <c r="N90" s="283">
        <v>29000</v>
      </c>
      <c r="O90" s="283"/>
      <c r="P90" s="283"/>
      <c r="Q90" s="283"/>
      <c r="R90" s="283"/>
      <c r="S90" s="284"/>
      <c r="T90" s="285">
        <f t="shared" si="5"/>
        <v>100</v>
      </c>
    </row>
    <row r="91" spans="1:20" ht="30.75" customHeight="1">
      <c r="A91" s="9">
        <v>81</v>
      </c>
      <c r="B91" s="13" t="s">
        <v>176</v>
      </c>
      <c r="C91" s="283">
        <f>4553.567+987.875</f>
        <v>5541.442</v>
      </c>
      <c r="D91" s="283">
        <f>4553.567+987.875</f>
        <v>5541.442</v>
      </c>
      <c r="E91" s="283"/>
      <c r="F91" s="283"/>
      <c r="G91" s="283"/>
      <c r="H91" s="283"/>
      <c r="I91" s="283"/>
      <c r="J91" s="283"/>
      <c r="K91" s="283"/>
      <c r="L91" s="283"/>
      <c r="M91" s="283"/>
      <c r="N91" s="283">
        <f>4553.567+987.875</f>
        <v>5541.442</v>
      </c>
      <c r="O91" s="283"/>
      <c r="P91" s="283">
        <f>4553.567+987.875</f>
        <v>5541.442</v>
      </c>
      <c r="Q91" s="283"/>
      <c r="R91" s="283"/>
      <c r="S91" s="284"/>
      <c r="T91" s="285">
        <f t="shared" si="5"/>
        <v>100</v>
      </c>
    </row>
    <row r="92" spans="1:20" ht="33.75" customHeight="1">
      <c r="A92" s="9">
        <v>82</v>
      </c>
      <c r="B92" s="17" t="s">
        <v>177</v>
      </c>
      <c r="C92" s="283">
        <v>58522.994038999997</v>
      </c>
      <c r="D92" s="283">
        <v>58522.994038999997</v>
      </c>
      <c r="E92" s="283"/>
      <c r="F92" s="283"/>
      <c r="G92" s="283"/>
      <c r="H92" s="283"/>
      <c r="I92" s="283"/>
      <c r="J92" s="283"/>
      <c r="K92" s="283"/>
      <c r="L92" s="283"/>
      <c r="M92" s="283"/>
      <c r="N92" s="283">
        <v>58522.994038999997</v>
      </c>
      <c r="O92" s="283"/>
      <c r="P92" s="283"/>
      <c r="Q92" s="283"/>
      <c r="R92" s="283"/>
      <c r="S92" s="284"/>
      <c r="T92" s="285">
        <f t="shared" si="5"/>
        <v>100</v>
      </c>
    </row>
    <row r="93" spans="1:20" ht="33.75" customHeight="1">
      <c r="A93" s="218">
        <v>83</v>
      </c>
      <c r="B93" s="253" t="s">
        <v>178</v>
      </c>
      <c r="C93" s="290">
        <v>2143.7925409999998</v>
      </c>
      <c r="D93" s="290">
        <v>0</v>
      </c>
      <c r="E93" s="290"/>
      <c r="F93" s="290"/>
      <c r="G93" s="290"/>
      <c r="H93" s="290"/>
      <c r="I93" s="290"/>
      <c r="J93" s="290"/>
      <c r="K93" s="290"/>
      <c r="L93" s="290"/>
      <c r="M93" s="290"/>
      <c r="N93" s="290"/>
      <c r="O93" s="290"/>
      <c r="P93" s="290"/>
      <c r="Q93" s="290"/>
      <c r="R93" s="290"/>
      <c r="S93" s="291"/>
      <c r="T93" s="292">
        <f t="shared" si="5"/>
        <v>0</v>
      </c>
    </row>
    <row r="95" spans="1:20" ht="15.75">
      <c r="B95" s="496" t="s">
        <v>1449</v>
      </c>
      <c r="C95" s="497"/>
      <c r="D95" s="497"/>
      <c r="E95" s="497"/>
      <c r="F95" s="497"/>
      <c r="G95" s="497"/>
      <c r="H95" s="497"/>
      <c r="I95" s="497"/>
    </row>
  </sheetData>
  <mergeCells count="22">
    <mergeCell ref="R2:T3"/>
    <mergeCell ref="O7:P7"/>
    <mergeCell ref="Q7:Q8"/>
    <mergeCell ref="R7:R8"/>
    <mergeCell ref="S7:S8"/>
    <mergeCell ref="T7:T8"/>
    <mergeCell ref="B95:I95"/>
    <mergeCell ref="N7:N8"/>
    <mergeCell ref="A4:T4"/>
    <mergeCell ref="A7:A8"/>
    <mergeCell ref="B7:B8"/>
    <mergeCell ref="C7:C8"/>
    <mergeCell ref="D7:D8"/>
    <mergeCell ref="E7:E8"/>
    <mergeCell ref="F7:F8"/>
    <mergeCell ref="G7:G8"/>
    <mergeCell ref="H7:H8"/>
    <mergeCell ref="I7:I8"/>
    <mergeCell ref="J7:J8"/>
    <mergeCell ref="K7:K8"/>
    <mergeCell ref="L7:L8"/>
    <mergeCell ref="M7:M8"/>
  </mergeCells>
  <printOptions horizontalCentered="1"/>
  <pageMargins left="0" right="0" top="0.74803149606299202" bottom="0.74803149606299202" header="0.31496062992126" footer="0.31496062992126"/>
  <pageSetup paperSize="9" scale="75" orientation="landscape" r:id="rId1"/>
  <headerFooter>
    <oddFooter>&amp;C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51"/>
  <sheetViews>
    <sheetView workbookViewId="0">
      <pane xSplit="2" ySplit="6" topLeftCell="C7" activePane="bottomRight" state="frozen"/>
      <selection pane="topRight" activeCell="C1" sqref="C1"/>
      <selection pane="bottomLeft" activeCell="A7" sqref="A7"/>
      <selection pane="bottomRight" activeCell="D17" sqref="D17"/>
    </sheetView>
  </sheetViews>
  <sheetFormatPr defaultRowHeight="15"/>
  <cols>
    <col min="1" max="1" width="6.42578125" style="29" customWidth="1"/>
    <col min="2" max="2" width="41" style="29" customWidth="1"/>
    <col min="3" max="4" width="13.28515625" style="29" customWidth="1"/>
    <col min="5" max="5" width="10" style="29" customWidth="1"/>
    <col min="6" max="6" width="14.28515625" style="29" bestFit="1" customWidth="1"/>
    <col min="7" max="7" width="14.5703125" style="29" bestFit="1" customWidth="1"/>
    <col min="8" max="8" width="11.5703125" style="29" bestFit="1" customWidth="1"/>
    <col min="9" max="9" width="12.28515625" style="29" customWidth="1"/>
    <col min="10" max="10" width="13.5703125" style="29" customWidth="1"/>
    <col min="11" max="11" width="11.28515625" style="29" customWidth="1"/>
    <col min="12" max="16384" width="9.140625" style="29"/>
  </cols>
  <sheetData>
    <row r="1" spans="1:11" ht="15" customHeight="1">
      <c r="C1" s="493" t="s">
        <v>51</v>
      </c>
      <c r="D1" s="493"/>
      <c r="E1" s="493"/>
    </row>
    <row r="2" spans="1:11">
      <c r="C2" s="492" t="s">
        <v>116</v>
      </c>
      <c r="D2" s="492"/>
      <c r="E2" s="492"/>
    </row>
    <row r="3" spans="1:11">
      <c r="C3" s="492"/>
      <c r="D3" s="492"/>
      <c r="E3" s="492"/>
    </row>
    <row r="4" spans="1:11" ht="34.5" customHeight="1">
      <c r="A4" s="519" t="s">
        <v>1438</v>
      </c>
      <c r="B4" s="519"/>
      <c r="C4" s="519"/>
      <c r="D4" s="519"/>
      <c r="E4" s="519"/>
    </row>
    <row r="5" spans="1:11" ht="15.75">
      <c r="E5" s="80" t="s">
        <v>24</v>
      </c>
    </row>
    <row r="6" spans="1:11" ht="31.5">
      <c r="A6" s="437" t="s">
        <v>1</v>
      </c>
      <c r="B6" s="437" t="s">
        <v>2</v>
      </c>
      <c r="C6" s="437" t="s">
        <v>25</v>
      </c>
      <c r="D6" s="437" t="s">
        <v>26</v>
      </c>
      <c r="E6" s="437" t="s">
        <v>52</v>
      </c>
    </row>
    <row r="7" spans="1:11" ht="15.75">
      <c r="A7" s="109" t="s">
        <v>3</v>
      </c>
      <c r="B7" s="109" t="s">
        <v>4</v>
      </c>
      <c r="C7" s="109">
        <v>1</v>
      </c>
      <c r="D7" s="109">
        <v>2</v>
      </c>
      <c r="E7" s="109">
        <v>3</v>
      </c>
    </row>
    <row r="8" spans="1:11" ht="15.75">
      <c r="A8" s="81" t="s">
        <v>3</v>
      </c>
      <c r="B8" s="82" t="s">
        <v>117</v>
      </c>
      <c r="C8" s="83"/>
      <c r="D8" s="83"/>
      <c r="E8" s="84"/>
      <c r="I8" s="29" t="s">
        <v>1511</v>
      </c>
    </row>
    <row r="9" spans="1:11" s="43" customFormat="1" ht="15.75">
      <c r="A9" s="20" t="s">
        <v>9</v>
      </c>
      <c r="B9" s="4" t="s">
        <v>53</v>
      </c>
      <c r="C9" s="328">
        <f>SUM(C10:C20)-C13</f>
        <v>16185201</v>
      </c>
      <c r="D9" s="328">
        <f>SUM(D10:D20)-D11</f>
        <v>52138802.576418005</v>
      </c>
      <c r="E9" s="107">
        <f>D9/C9*100</f>
        <v>322.13874005282975</v>
      </c>
      <c r="F9" s="214" t="str">
        <f>+'[3]60'!$C$8</f>
        <v>Thu NS cấp tỉnh</v>
      </c>
      <c r="G9" s="85" t="e">
        <f>+F9-D9</f>
        <v>#VALUE!</v>
      </c>
      <c r="H9" s="85">
        <f>+C9+C31</f>
        <v>25222976</v>
      </c>
      <c r="I9" s="383">
        <f>+D9-D17</f>
        <v>51463784.017114006</v>
      </c>
      <c r="J9" s="383">
        <f>+I9-H21</f>
        <v>39042521.822117008</v>
      </c>
      <c r="K9" s="383" t="e">
        <f>+C9-C21</f>
        <v>#REF!</v>
      </c>
    </row>
    <row r="10" spans="1:11" ht="15.75">
      <c r="A10" s="5">
        <v>1</v>
      </c>
      <c r="B10" s="3" t="s">
        <v>54</v>
      </c>
      <c r="C10" s="329">
        <f>9355425+70000+197700+50000</f>
        <v>9673125</v>
      </c>
      <c r="D10" s="326">
        <f>+'[3]60'!$C$10+'[3]60'!$C$11+'[3]60'!$C$15+'[3]60'!$C$24</f>
        <v>40675683.204710007</v>
      </c>
      <c r="E10" s="44">
        <f t="shared" ref="E10:E44" si="0">D10/C10*100</f>
        <v>420.50199087378701</v>
      </c>
      <c r="F10" s="88">
        <f>+D10+D11+D15+D16+D17+D18+D19+D20</f>
        <v>52138802.576418005</v>
      </c>
    </row>
    <row r="11" spans="1:11" ht="15.75">
      <c r="A11" s="5">
        <v>2</v>
      </c>
      <c r="B11" s="3" t="s">
        <v>11</v>
      </c>
      <c r="C11" s="326">
        <f>C12+C13</f>
        <v>1464906</v>
      </c>
      <c r="D11" s="326">
        <f>D12+D13</f>
        <v>3261466.2171990001</v>
      </c>
      <c r="E11" s="44">
        <f t="shared" si="0"/>
        <v>222.63996578613234</v>
      </c>
    </row>
    <row r="12" spans="1:11" s="91" customFormat="1" ht="15.75">
      <c r="A12" s="89" t="s">
        <v>29</v>
      </c>
      <c r="B12" s="90" t="s">
        <v>55</v>
      </c>
      <c r="C12" s="327">
        <v>0</v>
      </c>
      <c r="D12" s="327">
        <v>0</v>
      </c>
      <c r="E12" s="274"/>
    </row>
    <row r="13" spans="1:11" s="91" customFormat="1" ht="15.75">
      <c r="A13" s="89" t="s">
        <v>29</v>
      </c>
      <c r="B13" s="90" t="s">
        <v>12</v>
      </c>
      <c r="C13" s="327">
        <v>1464906</v>
      </c>
      <c r="D13" s="327">
        <f>'[4]60'!$C$20</f>
        <v>3261466.2171990001</v>
      </c>
      <c r="E13" s="274">
        <f t="shared" si="0"/>
        <v>222.63996578613234</v>
      </c>
    </row>
    <row r="14" spans="1:11" ht="15.75">
      <c r="A14" s="5">
        <v>3</v>
      </c>
      <c r="B14" s="3" t="s">
        <v>1115</v>
      </c>
      <c r="C14" s="326">
        <v>0</v>
      </c>
      <c r="D14" s="326">
        <v>0</v>
      </c>
      <c r="E14" s="44"/>
    </row>
    <row r="15" spans="1:11" ht="15.75">
      <c r="A15" s="5">
        <v>4</v>
      </c>
      <c r="B15" s="3" t="s">
        <v>35</v>
      </c>
      <c r="C15" s="326">
        <v>0</v>
      </c>
      <c r="D15" s="326">
        <f>'[4]60'!$C$15</f>
        <v>11868.467336</v>
      </c>
      <c r="E15" s="44"/>
    </row>
    <row r="16" spans="1:11" ht="15.75">
      <c r="A16" s="5">
        <v>5</v>
      </c>
      <c r="B16" s="3" t="s">
        <v>36</v>
      </c>
      <c r="C16" s="326">
        <v>5047170</v>
      </c>
      <c r="D16" s="326">
        <f>'[4]60'!$C$16</f>
        <v>7514766.1278689997</v>
      </c>
      <c r="E16" s="44">
        <f t="shared" si="0"/>
        <v>148.89068780859373</v>
      </c>
    </row>
    <row r="17" spans="1:11" ht="15.75">
      <c r="A17" s="5">
        <v>6</v>
      </c>
      <c r="B17" s="438" t="s">
        <v>13</v>
      </c>
      <c r="C17" s="326">
        <v>0</v>
      </c>
      <c r="D17" s="326">
        <f>'[4]60'!$C$21</f>
        <v>675018.55930399999</v>
      </c>
      <c r="E17" s="44"/>
    </row>
    <row r="18" spans="1:11" ht="15.75" hidden="1">
      <c r="A18" s="5">
        <v>7</v>
      </c>
      <c r="B18" s="86" t="s">
        <v>60</v>
      </c>
      <c r="C18" s="326">
        <v>0</v>
      </c>
      <c r="D18" s="326"/>
      <c r="E18" s="44"/>
    </row>
    <row r="19" spans="1:11" ht="15.75" hidden="1">
      <c r="A19" s="5">
        <v>8</v>
      </c>
      <c r="B19" s="86" t="s">
        <v>1117</v>
      </c>
      <c r="C19" s="326"/>
      <c r="D19" s="326"/>
      <c r="E19" s="44"/>
    </row>
    <row r="20" spans="1:11" ht="15.75" hidden="1">
      <c r="A20" s="5">
        <v>9</v>
      </c>
      <c r="B20" s="86" t="s">
        <v>1210</v>
      </c>
      <c r="C20" s="326"/>
      <c r="D20" s="326"/>
      <c r="E20" s="44"/>
    </row>
    <row r="21" spans="1:11" ht="15.75">
      <c r="A21" s="20" t="s">
        <v>5</v>
      </c>
      <c r="B21" s="4" t="s">
        <v>56</v>
      </c>
      <c r="C21" s="328" t="e">
        <f>C22+C23+C26+C27</f>
        <v>#REF!</v>
      </c>
      <c r="D21" s="328">
        <f>D22+D23+D26+D27</f>
        <v>20076127.446691997</v>
      </c>
      <c r="E21" s="107" t="e">
        <f t="shared" si="0"/>
        <v>#REF!</v>
      </c>
      <c r="F21" s="87">
        <f>+'[3]60'!$H$9</f>
        <v>8</v>
      </c>
      <c r="G21" s="88">
        <f>+F21-D21</f>
        <v>-20076119.446691997</v>
      </c>
      <c r="H21" s="386">
        <f>+D21-D23</f>
        <v>12421262.194996998</v>
      </c>
      <c r="I21" s="387" t="s">
        <v>1510</v>
      </c>
    </row>
    <row r="22" spans="1:11" ht="15.75">
      <c r="A22" s="5">
        <v>1</v>
      </c>
      <c r="B22" s="3" t="s">
        <v>118</v>
      </c>
      <c r="C22" s="326" t="e">
        <f>#REF!</f>
        <v>#REF!</v>
      </c>
      <c r="D22" s="326">
        <f>'[4]60'!$H$12+'[4]60'!$H$14+'[4]60'!$H$15</f>
        <v>5426815.028363999</v>
      </c>
      <c r="E22" s="44" t="e">
        <f t="shared" si="0"/>
        <v>#REF!</v>
      </c>
      <c r="F22" s="87"/>
    </row>
    <row r="23" spans="1:11" ht="15.75">
      <c r="A23" s="5">
        <v>2</v>
      </c>
      <c r="B23" s="3" t="s">
        <v>57</v>
      </c>
      <c r="C23" s="326">
        <f>+C24+C25</f>
        <v>4673226</v>
      </c>
      <c r="D23" s="326">
        <f>D24+D25</f>
        <v>7654865.2516949996</v>
      </c>
      <c r="E23" s="44">
        <f t="shared" si="0"/>
        <v>163.80259058078937</v>
      </c>
      <c r="F23" s="88">
        <v>7654865.3016949994</v>
      </c>
      <c r="G23" s="88">
        <f>+F23-G21</f>
        <v>27730984.748386998</v>
      </c>
      <c r="I23" s="384"/>
    </row>
    <row r="24" spans="1:11" s="91" customFormat="1" ht="15.75">
      <c r="A24" s="89" t="s">
        <v>29</v>
      </c>
      <c r="B24" s="90" t="s">
        <v>58</v>
      </c>
      <c r="C24" s="327">
        <f>+'[4]62'!$D$50</f>
        <v>2775849</v>
      </c>
      <c r="D24" s="327">
        <v>2775849</v>
      </c>
      <c r="E24" s="44">
        <f t="shared" si="0"/>
        <v>100</v>
      </c>
      <c r="F24" s="215">
        <f>+C24-D24</f>
        <v>0</v>
      </c>
    </row>
    <row r="25" spans="1:11" s="91" customFormat="1" ht="15.75">
      <c r="A25" s="89" t="s">
        <v>29</v>
      </c>
      <c r="B25" s="90" t="s">
        <v>59</v>
      </c>
      <c r="C25" s="327">
        <f>+'[4]62'!$D$51</f>
        <v>1897377</v>
      </c>
      <c r="D25" s="327">
        <v>4879016.2516949996</v>
      </c>
      <c r="E25" s="44">
        <f t="shared" si="0"/>
        <v>257.14532492461962</v>
      </c>
    </row>
    <row r="26" spans="1:11" ht="15.75">
      <c r="A26" s="5">
        <v>3</v>
      </c>
      <c r="B26" s="3" t="s">
        <v>44</v>
      </c>
      <c r="C26" s="326">
        <v>0</v>
      </c>
      <c r="D26" s="326">
        <f>'[4]62'!$F$46</f>
        <v>6775672.8448209995</v>
      </c>
      <c r="E26" s="44"/>
    </row>
    <row r="27" spans="1:11" ht="15.75">
      <c r="A27" s="5">
        <v>4</v>
      </c>
      <c r="B27" s="3" t="s">
        <v>1116</v>
      </c>
      <c r="C27" s="326">
        <v>0</v>
      </c>
      <c r="D27" s="326">
        <f>'[4]60'!$H$18</f>
        <v>218774.32181200001</v>
      </c>
      <c r="E27" s="44"/>
    </row>
    <row r="28" spans="1:11" ht="31.5">
      <c r="A28" s="20" t="s">
        <v>6</v>
      </c>
      <c r="B28" s="4" t="s">
        <v>1113</v>
      </c>
      <c r="C28" s="328">
        <v>164458</v>
      </c>
      <c r="D28" s="328">
        <v>160000</v>
      </c>
      <c r="E28" s="44"/>
    </row>
    <row r="29" spans="1:11" ht="15.75">
      <c r="A29" s="20" t="s">
        <v>7</v>
      </c>
      <c r="B29" s="4" t="s">
        <v>1193</v>
      </c>
      <c r="C29" s="328">
        <v>0</v>
      </c>
      <c r="D29" s="330">
        <f>D9-D21-D28</f>
        <v>31902675.129726008</v>
      </c>
      <c r="E29" s="44"/>
      <c r="F29" s="88">
        <f>+'[4]60'!$C$23</f>
        <v>95830.579195003957</v>
      </c>
      <c r="G29" s="88">
        <f>+D29-F29</f>
        <v>31806844.550531004</v>
      </c>
    </row>
    <row r="30" spans="1:11" ht="15.75">
      <c r="A30" s="20" t="s">
        <v>4</v>
      </c>
      <c r="B30" s="4" t="s">
        <v>1358</v>
      </c>
      <c r="C30" s="326"/>
      <c r="D30" s="326"/>
      <c r="E30" s="44"/>
    </row>
    <row r="31" spans="1:11" ht="15.75">
      <c r="A31" s="20" t="s">
        <v>9</v>
      </c>
      <c r="B31" s="4" t="s">
        <v>53</v>
      </c>
      <c r="C31" s="328">
        <f>C32+C33+C36+C37+C38+C39</f>
        <v>9037775</v>
      </c>
      <c r="D31" s="328">
        <f>D32+D33+D36+D37+D38+D39</f>
        <v>54191871.878550991</v>
      </c>
      <c r="E31" s="107">
        <f t="shared" si="0"/>
        <v>599.61519155490134</v>
      </c>
      <c r="F31" s="102">
        <f>+'[3]60'!$D$9+'[3]60'!$E$9</f>
        <v>9</v>
      </c>
      <c r="G31" s="88">
        <f>+F31-D31</f>
        <v>-54191862.878550991</v>
      </c>
      <c r="H31" s="88"/>
      <c r="I31" s="385">
        <f>+D31-D38</f>
        <v>54173924.484006993</v>
      </c>
      <c r="J31" s="29" t="s">
        <v>1512</v>
      </c>
      <c r="K31" s="384">
        <f>+I31-I40</f>
        <v>33716097.029256001</v>
      </c>
    </row>
    <row r="32" spans="1:11" ht="15.75">
      <c r="A32" s="5">
        <v>1</v>
      </c>
      <c r="B32" s="3" t="s">
        <v>54</v>
      </c>
      <c r="C32" s="326">
        <f>3102549+130000</f>
        <v>3232549</v>
      </c>
      <c r="D32" s="326">
        <f>+'[3]60'!$D$10+'[3]60'!$E$10+'[3]60'!$D$11+'[3]60'!$E$11</f>
        <v>35736004.030397996</v>
      </c>
      <c r="E32" s="44">
        <f t="shared" si="0"/>
        <v>1105.5054085923523</v>
      </c>
      <c r="F32" s="88" t="e">
        <f>+D31-'60_NĐ31 Thu(Huyen, xa)'!C10</f>
        <v>#REF!</v>
      </c>
      <c r="G32" s="88">
        <f>+D31-D33</f>
        <v>46537006.576855995</v>
      </c>
    </row>
    <row r="33" spans="1:10" ht="15.75">
      <c r="A33" s="5">
        <v>2</v>
      </c>
      <c r="B33" s="3" t="s">
        <v>11</v>
      </c>
      <c r="C33" s="326">
        <v>4673226</v>
      </c>
      <c r="D33" s="326">
        <f>D34+D35</f>
        <v>7654865.3016949994</v>
      </c>
      <c r="E33" s="44">
        <f t="shared" si="0"/>
        <v>163.80259165071408</v>
      </c>
    </row>
    <row r="34" spans="1:10" s="91" customFormat="1" ht="15.75">
      <c r="A34" s="89" t="s">
        <v>29</v>
      </c>
      <c r="B34" s="90" t="s">
        <v>33</v>
      </c>
      <c r="C34" s="327">
        <v>2775849</v>
      </c>
      <c r="D34" s="327">
        <f>+C34</f>
        <v>2775849</v>
      </c>
      <c r="E34" s="44">
        <f t="shared" si="0"/>
        <v>100</v>
      </c>
      <c r="F34" s="275">
        <f>+C34-D34</f>
        <v>0</v>
      </c>
    </row>
    <row r="35" spans="1:10" s="91" customFormat="1" ht="15.75">
      <c r="A35" s="89" t="s">
        <v>29</v>
      </c>
      <c r="B35" s="90" t="s">
        <v>34</v>
      </c>
      <c r="C35" s="327">
        <v>1897377</v>
      </c>
      <c r="D35" s="327">
        <f>'[4]60'!$D$20+'[4]60'!$E$20-D44-10072.95</f>
        <v>4879016.3016949994</v>
      </c>
      <c r="E35" s="44">
        <f t="shared" si="0"/>
        <v>257.14532755983657</v>
      </c>
    </row>
    <row r="36" spans="1:10" ht="15.75">
      <c r="A36" s="5">
        <v>3</v>
      </c>
      <c r="B36" s="3" t="s">
        <v>35</v>
      </c>
      <c r="C36" s="326"/>
      <c r="D36" s="326">
        <f>+'[3]60'!$D$13+'[3]60'!$E$13</f>
        <v>1961771.049412</v>
      </c>
      <c r="E36" s="44"/>
    </row>
    <row r="37" spans="1:10" ht="15.75">
      <c r="A37" s="5">
        <v>4</v>
      </c>
      <c r="B37" s="3" t="s">
        <v>36</v>
      </c>
      <c r="C37" s="326">
        <v>1132000</v>
      </c>
      <c r="D37" s="326">
        <f>'[4]60'!$D$16+'[4]60'!$E$16</f>
        <v>2292056.4194300002</v>
      </c>
      <c r="E37" s="44"/>
    </row>
    <row r="38" spans="1:10" ht="15.75">
      <c r="A38" s="5">
        <v>5</v>
      </c>
      <c r="B38" s="438" t="s">
        <v>13</v>
      </c>
      <c r="C38" s="326"/>
      <c r="D38" s="326">
        <f>'[4]60'!$D$21</f>
        <v>17947.394543999999</v>
      </c>
      <c r="E38" s="44"/>
    </row>
    <row r="39" spans="1:10" s="97" customFormat="1" ht="15.75" hidden="1">
      <c r="A39" s="93">
        <v>6</v>
      </c>
      <c r="B39" s="94" t="s">
        <v>1210</v>
      </c>
      <c r="C39" s="331"/>
      <c r="D39" s="329">
        <f>+'[3]60'!$D$20+'[3]60'!$E$20</f>
        <v>6529227.6830719998</v>
      </c>
      <c r="E39" s="96"/>
    </row>
    <row r="40" spans="1:10" ht="15.75">
      <c r="A40" s="20" t="s">
        <v>5</v>
      </c>
      <c r="B40" s="4" t="s">
        <v>56</v>
      </c>
      <c r="C40" s="328">
        <f>+C41+C42+C45+C46-C42</f>
        <v>9037775</v>
      </c>
      <c r="D40" s="328">
        <f>D41+D42+D45+D46-D42</f>
        <v>21150793.408598997</v>
      </c>
      <c r="E40" s="107">
        <f t="shared" si="0"/>
        <v>234.02655419723322</v>
      </c>
      <c r="F40" s="102">
        <f>+'[3]60'!$I$9+'[3]60'!$J$9</f>
        <v>19</v>
      </c>
      <c r="G40" s="88">
        <f>F40-D40</f>
        <v>-21150774.408598997</v>
      </c>
      <c r="H40" s="88">
        <f>+D40-D42</f>
        <v>18494963.376226999</v>
      </c>
      <c r="I40" s="385">
        <f>+D40-D46</f>
        <v>20457827.454750996</v>
      </c>
      <c r="J40" s="29" t="s">
        <v>1513</v>
      </c>
    </row>
    <row r="41" spans="1:10" ht="31.5">
      <c r="A41" s="5">
        <v>1</v>
      </c>
      <c r="B41" s="3" t="s">
        <v>1357</v>
      </c>
      <c r="C41" s="326">
        <v>9037775</v>
      </c>
      <c r="D41" s="326">
        <f>+'[3]60'!$I$10+'[3]60'!$J$10+'[3]60'!$I$12+'[3]60'!$J$12</f>
        <v>20457827.454751</v>
      </c>
      <c r="E41" s="44">
        <f t="shared" si="0"/>
        <v>226.35911443636294</v>
      </c>
      <c r="G41" s="88">
        <f>+G40-D42</f>
        <v>-23806604.440970995</v>
      </c>
    </row>
    <row r="42" spans="1:10" ht="15.75">
      <c r="A42" s="5">
        <v>2</v>
      </c>
      <c r="B42" s="3" t="s">
        <v>1114</v>
      </c>
      <c r="C42" s="326">
        <f>+C43+C44</f>
        <v>2655830.0323719997</v>
      </c>
      <c r="D42" s="326">
        <f>D43+D44</f>
        <v>2655830.0323719997</v>
      </c>
      <c r="E42" s="44">
        <f t="shared" si="0"/>
        <v>100</v>
      </c>
    </row>
    <row r="43" spans="1:10" s="91" customFormat="1" ht="15.75">
      <c r="A43" s="89" t="s">
        <v>29</v>
      </c>
      <c r="B43" s="90" t="s">
        <v>58</v>
      </c>
      <c r="C43" s="327">
        <f>'[4]62'!$G$50</f>
        <v>1015691.600995</v>
      </c>
      <c r="D43" s="327">
        <f>'[4]62'!$G$50</f>
        <v>1015691.600995</v>
      </c>
      <c r="E43" s="44">
        <f t="shared" si="0"/>
        <v>100</v>
      </c>
    </row>
    <row r="44" spans="1:10" s="91" customFormat="1" ht="15.75">
      <c r="A44" s="89" t="s">
        <v>29</v>
      </c>
      <c r="B44" s="90" t="s">
        <v>59</v>
      </c>
      <c r="C44" s="327">
        <f>'[4]62'!$G$51</f>
        <v>1640138.4313769999</v>
      </c>
      <c r="D44" s="327">
        <f>'[4]62'!$G$51</f>
        <v>1640138.4313769999</v>
      </c>
      <c r="E44" s="44">
        <f t="shared" si="0"/>
        <v>100</v>
      </c>
    </row>
    <row r="45" spans="1:10" ht="15.75">
      <c r="A45" s="5">
        <v>3</v>
      </c>
      <c r="B45" s="3" t="s">
        <v>44</v>
      </c>
      <c r="C45" s="326">
        <v>0</v>
      </c>
      <c r="D45" s="326">
        <f>+'[3]60'!$I$15+'[3]60'!$J$15</f>
        <v>0</v>
      </c>
      <c r="E45" s="44"/>
    </row>
    <row r="46" spans="1:10" ht="15.75">
      <c r="A46" s="98">
        <v>4</v>
      </c>
      <c r="B46" s="3" t="s">
        <v>1116</v>
      </c>
      <c r="C46" s="332">
        <v>0</v>
      </c>
      <c r="D46" s="332">
        <f>'[4]60'!$I$18+'[4]60'!$J$18</f>
        <v>692965.95384800003</v>
      </c>
      <c r="E46" s="44"/>
    </row>
    <row r="47" spans="1:10" ht="15.75">
      <c r="A47" s="99" t="s">
        <v>6</v>
      </c>
      <c r="B47" s="100" t="s">
        <v>1359</v>
      </c>
      <c r="C47" s="333">
        <v>0</v>
      </c>
      <c r="D47" s="334">
        <f>D31-D40</f>
        <v>33041078.469951995</v>
      </c>
      <c r="E47" s="101"/>
      <c r="F47" s="102">
        <f>+D47+D29</f>
        <v>64943753.599678002</v>
      </c>
      <c r="G47" s="88">
        <f>+F47-D47</f>
        <v>31902675.129726008</v>
      </c>
    </row>
    <row r="48" spans="1:10" ht="15.75">
      <c r="A48" s="103"/>
    </row>
    <row r="49" spans="1:5" ht="15.75">
      <c r="A49" s="521"/>
      <c r="B49" s="521"/>
      <c r="C49" s="521"/>
      <c r="D49" s="521"/>
      <c r="E49" s="521"/>
    </row>
    <row r="50" spans="1:5">
      <c r="A50" s="104"/>
    </row>
    <row r="51" spans="1:5">
      <c r="A51" s="104"/>
    </row>
  </sheetData>
  <mergeCells count="4">
    <mergeCell ref="C1:E1"/>
    <mergeCell ref="A4:E4"/>
    <mergeCell ref="A49:E49"/>
    <mergeCell ref="C2:E3"/>
  </mergeCells>
  <pageMargins left="1.35" right="0.35" top="0.45" bottom="0.61" header="0.39" footer="0.3"/>
  <pageSetup paperSize="9" orientation="portrait" r:id="rId1"/>
  <headerFooter>
    <oddFooter>&amp;C&amp;P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48"/>
  <sheetViews>
    <sheetView tabSelected="1" workbookViewId="0">
      <pane xSplit="2" ySplit="8" topLeftCell="C9" activePane="bottomRight" state="frozen"/>
      <selection pane="topRight" activeCell="C1" sqref="C1"/>
      <selection pane="bottomLeft" activeCell="A8" sqref="A8"/>
      <selection pane="bottomRight" activeCell="C24" sqref="C24"/>
    </sheetView>
  </sheetViews>
  <sheetFormatPr defaultRowHeight="15.75"/>
  <cols>
    <col min="1" max="1" width="7.28515625" style="22" customWidth="1"/>
    <col min="2" max="2" width="52.5703125" style="439" customWidth="1"/>
    <col min="3" max="3" width="12.5703125" style="439" customWidth="1"/>
    <col min="4" max="4" width="13.140625" style="439" customWidth="1"/>
    <col min="5" max="5" width="9.7109375" style="439" customWidth="1"/>
    <col min="6" max="6" width="12.7109375" style="439" hidden="1" customWidth="1"/>
    <col min="7" max="7" width="15.85546875" style="439" hidden="1" customWidth="1"/>
    <col min="8" max="8" width="0" style="439" hidden="1" customWidth="1"/>
    <col min="9" max="9" width="13" style="439" hidden="1" customWidth="1"/>
    <col min="10" max="10" width="14.140625" style="439" hidden="1" customWidth="1"/>
    <col min="11" max="16384" width="9.140625" style="439"/>
  </cols>
  <sheetData>
    <row r="1" spans="1:11" ht="15" customHeight="1">
      <c r="A1" s="23" t="s">
        <v>1524</v>
      </c>
      <c r="D1" s="493" t="s">
        <v>1523</v>
      </c>
      <c r="E1" s="493"/>
    </row>
    <row r="2" spans="1:11">
      <c r="D2" s="492"/>
      <c r="E2" s="492"/>
    </row>
    <row r="3" spans="1:11">
      <c r="A3" s="519" t="s">
        <v>1525</v>
      </c>
      <c r="B3" s="519"/>
      <c r="C3" s="519"/>
      <c r="D3" s="519"/>
      <c r="E3" s="519"/>
      <c r="I3" s="492"/>
      <c r="J3" s="492"/>
      <c r="K3" s="492"/>
    </row>
    <row r="4" spans="1:11" ht="15.75" customHeight="1">
      <c r="A4" s="520" t="s">
        <v>1527</v>
      </c>
      <c r="B4" s="520"/>
      <c r="C4" s="520"/>
      <c r="D4" s="520"/>
      <c r="E4" s="520"/>
      <c r="I4" s="492"/>
      <c r="J4" s="492"/>
      <c r="K4" s="492"/>
    </row>
    <row r="5" spans="1:11">
      <c r="E5" s="80" t="s">
        <v>24</v>
      </c>
    </row>
    <row r="6" spans="1:11" ht="20.25" customHeight="1">
      <c r="A6" s="523" t="s">
        <v>1</v>
      </c>
      <c r="B6" s="523" t="s">
        <v>1200</v>
      </c>
      <c r="C6" s="523" t="s">
        <v>25</v>
      </c>
      <c r="D6" s="523" t="s">
        <v>26</v>
      </c>
      <c r="E6" s="523" t="s">
        <v>52</v>
      </c>
    </row>
    <row r="7" spans="1:11" ht="15">
      <c r="A7" s="524"/>
      <c r="B7" s="524"/>
      <c r="C7" s="524"/>
      <c r="D7" s="524"/>
      <c r="E7" s="524"/>
    </row>
    <row r="8" spans="1:11">
      <c r="A8" s="5" t="s">
        <v>3</v>
      </c>
      <c r="B8" s="5" t="s">
        <v>4</v>
      </c>
      <c r="C8" s="5">
        <v>1</v>
      </c>
      <c r="D8" s="5">
        <v>2</v>
      </c>
      <c r="E8" s="5" t="s">
        <v>61</v>
      </c>
    </row>
    <row r="9" spans="1:11" s="451" customFormat="1">
      <c r="A9" s="20" t="s">
        <v>3</v>
      </c>
      <c r="B9" s="4" t="s">
        <v>27</v>
      </c>
      <c r="C9" s="28">
        <v>20549750</v>
      </c>
      <c r="D9" s="28">
        <v>27196298.803170998</v>
      </c>
      <c r="E9" s="441">
        <v>132.34369665407607</v>
      </c>
      <c r="F9" s="449">
        <v>27196298.803171005</v>
      </c>
      <c r="G9" s="450">
        <v>0</v>
      </c>
      <c r="H9" s="451">
        <v>26977524</v>
      </c>
      <c r="I9" s="450">
        <v>-218774.80317099765</v>
      </c>
    </row>
    <row r="10" spans="1:11" s="451" customFormat="1">
      <c r="A10" s="20">
        <v>1</v>
      </c>
      <c r="B10" s="4" t="s">
        <v>28</v>
      </c>
      <c r="C10" s="28">
        <v>12707974</v>
      </c>
      <c r="D10" s="335">
        <v>13031428.063637</v>
      </c>
      <c r="E10" s="441">
        <v>102.54528427298482</v>
      </c>
      <c r="G10" s="452"/>
    </row>
    <row r="11" spans="1:11">
      <c r="A11" s="5" t="s">
        <v>29</v>
      </c>
      <c r="B11" s="3" t="s">
        <v>30</v>
      </c>
      <c r="C11" s="337">
        <v>1929934</v>
      </c>
      <c r="D11" s="336">
        <v>3134739.4236480002</v>
      </c>
      <c r="E11" s="325">
        <v>162.42728630346946</v>
      </c>
      <c r="F11" s="439">
        <v>3134841</v>
      </c>
      <c r="G11" s="453">
        <v>101.57635199977085</v>
      </c>
    </row>
    <row r="12" spans="1:11">
      <c r="A12" s="5" t="s">
        <v>29</v>
      </c>
      <c r="B12" s="3" t="s">
        <v>31</v>
      </c>
      <c r="C12" s="337">
        <v>10778040</v>
      </c>
      <c r="D12" s="336">
        <v>9896688.6399889998</v>
      </c>
      <c r="E12" s="325">
        <v>91.822712107108529</v>
      </c>
    </row>
    <row r="13" spans="1:11" s="451" customFormat="1">
      <c r="A13" s="20">
        <v>2</v>
      </c>
      <c r="B13" s="4" t="s">
        <v>32</v>
      </c>
      <c r="C13" s="335">
        <v>1464906</v>
      </c>
      <c r="D13" s="335">
        <v>3261466.2171990001</v>
      </c>
      <c r="E13" s="441">
        <v>222.63996578613234</v>
      </c>
    </row>
    <row r="14" spans="1:11">
      <c r="A14" s="448" t="s">
        <v>29</v>
      </c>
      <c r="B14" s="3" t="s">
        <v>33</v>
      </c>
      <c r="C14" s="21">
        <v>0</v>
      </c>
      <c r="D14" s="336">
        <v>0</v>
      </c>
      <c r="E14" s="325"/>
    </row>
    <row r="15" spans="1:11">
      <c r="A15" s="448" t="s">
        <v>29</v>
      </c>
      <c r="B15" s="3" t="s">
        <v>34</v>
      </c>
      <c r="C15" s="442">
        <v>1464906</v>
      </c>
      <c r="D15" s="336">
        <v>3261466.2171990001</v>
      </c>
      <c r="E15" s="325">
        <v>222.63996578613234</v>
      </c>
    </row>
    <row r="16" spans="1:11" s="451" customFormat="1">
      <c r="A16" s="20" t="s">
        <v>7</v>
      </c>
      <c r="B16" s="4" t="s">
        <v>13</v>
      </c>
      <c r="C16" s="443">
        <v>0</v>
      </c>
      <c r="D16" s="335"/>
      <c r="E16" s="441"/>
    </row>
    <row r="17" spans="1:9" s="451" customFormat="1">
      <c r="A17" s="20">
        <v>3</v>
      </c>
      <c r="B17" s="4" t="s">
        <v>8</v>
      </c>
      <c r="C17" s="21">
        <v>0</v>
      </c>
      <c r="D17" s="21">
        <v>0</v>
      </c>
      <c r="E17" s="441"/>
    </row>
    <row r="18" spans="1:9" s="451" customFormat="1">
      <c r="A18" s="20">
        <v>4</v>
      </c>
      <c r="B18" s="4" t="s">
        <v>35</v>
      </c>
      <c r="C18" s="335">
        <v>0</v>
      </c>
      <c r="D18" s="335">
        <v>1096480.560636</v>
      </c>
      <c r="E18" s="441"/>
    </row>
    <row r="19" spans="1:9" s="451" customFormat="1">
      <c r="A19" s="20">
        <v>5</v>
      </c>
      <c r="B19" s="4" t="s">
        <v>36</v>
      </c>
      <c r="C19" s="28">
        <v>6179170</v>
      </c>
      <c r="D19" s="335">
        <v>9806822.5472989995</v>
      </c>
      <c r="E19" s="441">
        <v>158.7077641058427</v>
      </c>
    </row>
    <row r="20" spans="1:9" s="451" customFormat="1">
      <c r="A20" s="20" t="s">
        <v>1212</v>
      </c>
      <c r="B20" s="444" t="s">
        <v>60</v>
      </c>
      <c r="C20" s="28">
        <v>0</v>
      </c>
      <c r="D20" s="335"/>
      <c r="E20" s="441"/>
    </row>
    <row r="21" spans="1:9" s="451" customFormat="1">
      <c r="A21" s="456" t="s">
        <v>1446</v>
      </c>
      <c r="B21" s="108" t="s">
        <v>1210</v>
      </c>
      <c r="C21" s="28"/>
      <c r="D21" s="335">
        <v>0</v>
      </c>
      <c r="E21" s="441"/>
    </row>
    <row r="22" spans="1:9" s="451" customFormat="1">
      <c r="A22" s="456">
        <v>6</v>
      </c>
      <c r="B22" s="108" t="s">
        <v>1117</v>
      </c>
      <c r="C22" s="28">
        <v>197700</v>
      </c>
      <c r="D22" s="28">
        <v>101.4144</v>
      </c>
      <c r="E22" s="441"/>
    </row>
    <row r="23" spans="1:9" s="451" customFormat="1">
      <c r="A23" s="20" t="s">
        <v>4</v>
      </c>
      <c r="B23" s="4" t="s">
        <v>37</v>
      </c>
      <c r="C23" s="28">
        <v>20385292</v>
      </c>
      <c r="D23" s="28">
        <v>25844169.279194001</v>
      </c>
      <c r="E23" s="441">
        <v>126.77850912900341</v>
      </c>
      <c r="F23" s="452">
        <v>25844168.676899999</v>
      </c>
      <c r="G23" s="454">
        <v>-0.60229400172829628</v>
      </c>
      <c r="I23" s="452">
        <v>26004169.279194001</v>
      </c>
    </row>
    <row r="24" spans="1:9" s="451" customFormat="1">
      <c r="A24" s="20" t="s">
        <v>9</v>
      </c>
      <c r="B24" s="4" t="s">
        <v>38</v>
      </c>
      <c r="C24" s="28">
        <v>18670870</v>
      </c>
      <c r="D24" s="28">
        <v>13949215.094991</v>
      </c>
      <c r="E24" s="441">
        <v>74.711114666809848</v>
      </c>
      <c r="I24" s="452">
        <v>6039638.8052530009</v>
      </c>
    </row>
    <row r="25" spans="1:9">
      <c r="A25" s="5">
        <v>1</v>
      </c>
      <c r="B25" s="3" t="s">
        <v>16</v>
      </c>
      <c r="C25" s="21">
        <v>3894051</v>
      </c>
      <c r="D25" s="21">
        <v>4753448.2699530004</v>
      </c>
      <c r="E25" s="325">
        <v>122.06949189810304</v>
      </c>
      <c r="F25" s="453">
        <v>6397869.6653870009</v>
      </c>
      <c r="G25" s="453">
        <v>5400.3000000007451</v>
      </c>
      <c r="I25" s="453" t="e">
        <v>#REF!</v>
      </c>
    </row>
    <row r="26" spans="1:9">
      <c r="A26" s="5">
        <v>2</v>
      </c>
      <c r="B26" s="3" t="s">
        <v>20</v>
      </c>
      <c r="C26" s="21">
        <v>11147404</v>
      </c>
      <c r="D26" s="21">
        <v>8972386.320138</v>
      </c>
      <c r="E26" s="325">
        <v>80.488572228457855</v>
      </c>
      <c r="F26" s="453">
        <v>9869400.7727139983</v>
      </c>
      <c r="G26" s="453">
        <v>0.30229399912059307</v>
      </c>
    </row>
    <row r="27" spans="1:9">
      <c r="A27" s="5">
        <v>3</v>
      </c>
      <c r="B27" s="3" t="s">
        <v>39</v>
      </c>
      <c r="C27" s="21">
        <v>0</v>
      </c>
      <c r="D27" s="21">
        <v>0</v>
      </c>
      <c r="E27" s="325"/>
    </row>
    <row r="28" spans="1:9">
      <c r="A28" s="5">
        <v>4</v>
      </c>
      <c r="B28" s="3" t="s">
        <v>21</v>
      </c>
      <c r="C28" s="21">
        <v>1450</v>
      </c>
      <c r="D28" s="21">
        <v>1450</v>
      </c>
      <c r="E28" s="325">
        <v>100</v>
      </c>
    </row>
    <row r="29" spans="1:9">
      <c r="A29" s="5">
        <v>5</v>
      </c>
      <c r="B29" s="3" t="s">
        <v>1509</v>
      </c>
      <c r="C29" s="21">
        <v>507965</v>
      </c>
      <c r="D29" s="21">
        <v>47639.5049</v>
      </c>
      <c r="E29" s="325">
        <v>9.3785014518716849</v>
      </c>
      <c r="F29" s="455">
        <v>47048.5049</v>
      </c>
    </row>
    <row r="30" spans="1:9" ht="31.5">
      <c r="A30" s="5">
        <v>6</v>
      </c>
      <c r="B30" s="3" t="s">
        <v>1447</v>
      </c>
      <c r="C30" s="21">
        <v>3120000</v>
      </c>
      <c r="D30" s="21">
        <v>174291</v>
      </c>
      <c r="E30" s="325">
        <v>5.5862500000000006</v>
      </c>
    </row>
    <row r="31" spans="1:9" s="451" customFormat="1">
      <c r="A31" s="20" t="s">
        <v>5</v>
      </c>
      <c r="B31" s="4" t="s">
        <v>41</v>
      </c>
      <c r="C31" s="28">
        <v>1714422</v>
      </c>
      <c r="D31" s="28">
        <v>2319505.3431099998</v>
      </c>
      <c r="E31" s="441">
        <v>135.29372249714478</v>
      </c>
    </row>
    <row r="32" spans="1:9">
      <c r="A32" s="5">
        <v>1</v>
      </c>
      <c r="B32" s="3" t="s">
        <v>42</v>
      </c>
      <c r="C32" s="21">
        <v>518191</v>
      </c>
      <c r="D32" s="21">
        <v>478131.63025699998</v>
      </c>
      <c r="E32" s="325">
        <v>92.269381416697698</v>
      </c>
    </row>
    <row r="33" spans="1:7" s="440" customFormat="1">
      <c r="A33" s="89"/>
      <c r="B33" s="90" t="s">
        <v>115</v>
      </c>
      <c r="C33" s="114">
        <v>393751</v>
      </c>
      <c r="D33" s="114">
        <v>357639.86013399996</v>
      </c>
      <c r="E33" s="325">
        <v>90.828940151009135</v>
      </c>
    </row>
    <row r="34" spans="1:7" s="440" customFormat="1">
      <c r="A34" s="89"/>
      <c r="B34" s="90" t="s">
        <v>20</v>
      </c>
      <c r="C34" s="114">
        <v>124440</v>
      </c>
      <c r="D34" s="114">
        <v>120491.77012299999</v>
      </c>
      <c r="E34" s="325">
        <v>96.827201963195108</v>
      </c>
    </row>
    <row r="35" spans="1:7">
      <c r="A35" s="5">
        <v>2</v>
      </c>
      <c r="B35" s="3" t="s">
        <v>43</v>
      </c>
      <c r="C35" s="21">
        <v>1196231</v>
      </c>
      <c r="D35" s="21">
        <v>1841373.712853</v>
      </c>
      <c r="E35" s="325">
        <v>153.93128190566873</v>
      </c>
    </row>
    <row r="36" spans="1:7" s="440" customFormat="1">
      <c r="A36" s="89"/>
      <c r="B36" s="90" t="s">
        <v>115</v>
      </c>
      <c r="C36" s="114">
        <v>906113</v>
      </c>
      <c r="D36" s="114">
        <v>1286190.5353000001</v>
      </c>
      <c r="E36" s="325">
        <v>141.94593116973272</v>
      </c>
    </row>
    <row r="37" spans="1:7" s="440" customFormat="1">
      <c r="A37" s="89"/>
      <c r="B37" s="90" t="s">
        <v>20</v>
      </c>
      <c r="C37" s="114">
        <v>290118</v>
      </c>
      <c r="D37" s="114">
        <v>555183.17755300005</v>
      </c>
      <c r="E37" s="325">
        <v>191.36460941858141</v>
      </c>
    </row>
    <row r="38" spans="1:7" s="451" customFormat="1">
      <c r="A38" s="20" t="s">
        <v>6</v>
      </c>
      <c r="B38" s="4" t="s">
        <v>44</v>
      </c>
      <c r="C38" s="28">
        <v>0</v>
      </c>
      <c r="D38" s="28">
        <v>9356674.5192809999</v>
      </c>
      <c r="E38" s="441"/>
    </row>
    <row r="39" spans="1:7" s="451" customFormat="1">
      <c r="A39" s="20" t="s">
        <v>7</v>
      </c>
      <c r="B39" s="4" t="s">
        <v>1116</v>
      </c>
      <c r="C39" s="28">
        <v>0</v>
      </c>
      <c r="D39" s="28">
        <v>218774.32181200001</v>
      </c>
      <c r="E39" s="441"/>
    </row>
    <row r="40" spans="1:7" s="451" customFormat="1">
      <c r="A40" s="20" t="s">
        <v>10</v>
      </c>
      <c r="B40" s="4" t="s">
        <v>1385</v>
      </c>
      <c r="C40" s="443">
        <v>0</v>
      </c>
      <c r="D40" s="28">
        <v>1192129.5239769965</v>
      </c>
      <c r="E40" s="441"/>
      <c r="F40" s="452">
        <v>101.4144</v>
      </c>
      <c r="G40" s="454">
        <v>1192028.1095769966</v>
      </c>
    </row>
    <row r="41" spans="1:7" s="451" customFormat="1">
      <c r="A41" s="20" t="s">
        <v>14</v>
      </c>
      <c r="B41" s="4" t="s">
        <v>45</v>
      </c>
      <c r="C41" s="28">
        <v>164458</v>
      </c>
      <c r="D41" s="28">
        <v>160000</v>
      </c>
      <c r="E41" s="441">
        <v>97.289277505502923</v>
      </c>
    </row>
    <row r="42" spans="1:7">
      <c r="A42" s="5">
        <v>1</v>
      </c>
      <c r="B42" s="3" t="s">
        <v>46</v>
      </c>
      <c r="C42" s="21">
        <v>0</v>
      </c>
      <c r="D42" s="21">
        <v>0</v>
      </c>
      <c r="E42" s="325"/>
    </row>
    <row r="43" spans="1:7">
      <c r="A43" s="5">
        <v>2</v>
      </c>
      <c r="B43" s="3" t="s">
        <v>1386</v>
      </c>
      <c r="C43" s="21">
        <v>164458</v>
      </c>
      <c r="D43" s="21">
        <v>160000</v>
      </c>
      <c r="E43" s="325">
        <v>97.289277505502923</v>
      </c>
    </row>
    <row r="44" spans="1:7" s="451" customFormat="1">
      <c r="A44" s="20" t="s">
        <v>1526</v>
      </c>
      <c r="B44" s="4" t="s">
        <v>47</v>
      </c>
      <c r="C44" s="28">
        <v>261370</v>
      </c>
      <c r="D44" s="28">
        <v>101.4144</v>
      </c>
      <c r="E44" s="445">
        <v>3.8801086582239741E-2</v>
      </c>
    </row>
    <row r="45" spans="1:7">
      <c r="A45" s="5">
        <v>1</v>
      </c>
      <c r="B45" s="3" t="s">
        <v>48</v>
      </c>
      <c r="C45" s="21">
        <v>261370</v>
      </c>
      <c r="D45" s="21">
        <v>101.4144</v>
      </c>
      <c r="E45" s="446">
        <v>3.8801086582239741E-2</v>
      </c>
    </row>
    <row r="46" spans="1:7">
      <c r="A46" s="5">
        <v>2</v>
      </c>
      <c r="B46" s="3" t="s">
        <v>49</v>
      </c>
      <c r="C46" s="21">
        <v>0</v>
      </c>
      <c r="D46" s="21">
        <v>0</v>
      </c>
      <c r="E46" s="446"/>
    </row>
    <row r="47" spans="1:7" s="451" customFormat="1">
      <c r="A47" s="99" t="s">
        <v>15</v>
      </c>
      <c r="B47" s="100" t="s">
        <v>50</v>
      </c>
      <c r="C47" s="217">
        <v>3812392.1999999997</v>
      </c>
      <c r="D47" s="217">
        <v>3909428.4190910999</v>
      </c>
      <c r="E47" s="447"/>
    </row>
    <row r="48" spans="1:7">
      <c r="A48" s="522"/>
      <c r="B48" s="522"/>
      <c r="C48" s="522"/>
      <c r="D48" s="522"/>
      <c r="E48" s="522"/>
    </row>
  </sheetData>
  <mergeCells count="11">
    <mergeCell ref="I3:K4"/>
    <mergeCell ref="D2:E2"/>
    <mergeCell ref="D1:E1"/>
    <mergeCell ref="A48:E48"/>
    <mergeCell ref="A3:E3"/>
    <mergeCell ref="A4:E4"/>
    <mergeCell ref="A6:A7"/>
    <mergeCell ref="B6:B7"/>
    <mergeCell ref="C6:C7"/>
    <mergeCell ref="D6:D7"/>
    <mergeCell ref="E6:E7"/>
  </mergeCells>
  <pageMargins left="0.99" right="0.21" top="0.86" bottom="0.62" header="0.54" footer="0.3"/>
  <pageSetup paperSize="9" scale="90" orientation="portrait" r:id="rId1"/>
  <headerFooter>
    <oddFooter>&amp;C&amp;P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05189C7-D4DA-45C6-AB76-8729D1C1A2FE}"/>
</file>

<file path=customXml/itemProps2.xml><?xml version="1.0" encoding="utf-8"?>
<ds:datastoreItem xmlns:ds="http://schemas.openxmlformats.org/officeDocument/2006/customXml" ds:itemID="{1663C9BC-4B9F-4CE4-A186-FF46EF75E997}"/>
</file>

<file path=customXml/itemProps3.xml><?xml version="1.0" encoding="utf-8"?>
<ds:datastoreItem xmlns:ds="http://schemas.openxmlformats.org/officeDocument/2006/customXml" ds:itemID="{CEE0DCF2-54A7-4908-8CA6-4BB0515CC2C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24</vt:i4>
      </vt:variant>
    </vt:vector>
  </HeadingPairs>
  <TitlesOfParts>
    <vt:vector size="38" baseType="lpstr">
      <vt:lpstr>BIEU 64-NĐ31_HCSN</vt:lpstr>
      <vt:lpstr>63-NDD31_TCDN</vt:lpstr>
      <vt:lpstr> 62_NĐ31_</vt:lpstr>
      <vt:lpstr>60_NĐ31 Thu(Huyen, xa)</vt:lpstr>
      <vt:lpstr>57_NĐ31</vt:lpstr>
      <vt:lpstr>56_NĐ31</vt:lpstr>
      <vt:lpstr>Bieu mau 55-NĐ31</vt:lpstr>
      <vt:lpstr>49_NĐ31</vt:lpstr>
      <vt:lpstr>62</vt:lpstr>
      <vt:lpstr>Quan he giua cac bieu</vt:lpstr>
      <vt:lpstr>Muc tieu</vt:lpstr>
      <vt:lpstr>Cơ cấu DT</vt:lpstr>
      <vt:lpstr>Chi tư nguon CCTL_tinh</vt:lpstr>
      <vt:lpstr>So lieu dieu chinh</vt:lpstr>
      <vt:lpstr>'62'!chuong_phuluc_48</vt:lpstr>
      <vt:lpstr>'62'!chuong_phuluc_48_name</vt:lpstr>
      <vt:lpstr>'49_NĐ31'!chuong_phuluc_49</vt:lpstr>
      <vt:lpstr>'49_NĐ31'!chuong_phuluc_49_name</vt:lpstr>
      <vt:lpstr>'Bieu mau 55-NĐ31'!chuong_phuluc_55</vt:lpstr>
      <vt:lpstr>'Bieu mau 55-NĐ31'!chuong_phuluc_55_name</vt:lpstr>
      <vt:lpstr>'56_NĐ31'!chuong_phuluc_56</vt:lpstr>
      <vt:lpstr>'56_NĐ31'!chuong_phuluc_56_name</vt:lpstr>
      <vt:lpstr>'57_NĐ31'!chuong_phuluc_57</vt:lpstr>
      <vt:lpstr>'57_NĐ31'!chuong_phuluc_57_name</vt:lpstr>
      <vt:lpstr>'60_NĐ31 Thu(Huyen, xa)'!chuong_phuluc_60</vt:lpstr>
      <vt:lpstr>'60_NĐ31 Thu(Huyen, xa)'!chuong_phuluc_60_name</vt:lpstr>
      <vt:lpstr>' 62_NĐ31_'!chuong_phuluc_62</vt:lpstr>
      <vt:lpstr>' 62_NĐ31_'!chuong_phuluc_62_name</vt:lpstr>
      <vt:lpstr>'63-NDD31_TCDN'!chuong_phuluc_63</vt:lpstr>
      <vt:lpstr>'63-NDD31_TCDN'!chuong_phuluc_63_name</vt:lpstr>
      <vt:lpstr>'Cơ cấu DT'!Print_Area</vt:lpstr>
      <vt:lpstr>' 62_NĐ31_'!Print_Titles</vt:lpstr>
      <vt:lpstr>'49_NĐ31'!Print_Titles</vt:lpstr>
      <vt:lpstr>'56_NĐ31'!Print_Titles</vt:lpstr>
      <vt:lpstr>'57_NĐ31'!Print_Titles</vt:lpstr>
      <vt:lpstr>'63-NDD31_TCDN'!Print_Titles</vt:lpstr>
      <vt:lpstr>'BIEU 64-NĐ31_HCSN'!Print_Titles</vt:lpstr>
      <vt:lpstr>'Bieu mau 55-NĐ31'!Print_Titles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NguyenThiNga</dc:creator>
  <cp:lastModifiedBy>nguyenminhquan</cp:lastModifiedBy>
  <cp:lastPrinted>2019-01-09T00:39:55Z</cp:lastPrinted>
  <dcterms:created xsi:type="dcterms:W3CDTF">2017-09-28T03:09:11Z</dcterms:created>
  <dcterms:modified xsi:type="dcterms:W3CDTF">2020-06-10T07:07:40Z</dcterms:modified>
</cp:coreProperties>
</file>