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26.xml" ContentType="application/vnd.openxmlformats-officedocument.spreadsheetml.worksheet+xml"/>
  <Override PartName="/xl/styles.xml" ContentType="application/vnd.openxmlformats-officedocument.spreadsheetml.styles+xml"/>
  <Override PartName="/xl/worksheets/sheet16.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27.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externalLinks/externalLink2.xml" ContentType="application/vnd.openxmlformats-officedocument.spreadsheetml.externalLink+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7.xml" ContentType="application/vnd.openxmlformats-officedocument.spreadsheetml.externalLink+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4.xml" ContentType="application/vnd.openxmlformats-officedocument.spreadsheetml.comments+xml"/>
  <Override PartName="/xl/externalLinks/externalLink8.xml" ContentType="application/vnd.openxmlformats-officedocument.spreadsheetml.externalLink+xml"/>
  <Override PartName="/xl/comments15.xml" ContentType="application/vnd.openxmlformats-officedocument.spreadsheetml.comments+xml"/>
  <Override PartName="/xl/comments16.xml" ContentType="application/vnd.openxmlformats-officedocument.spreadsheetml.comments+xml"/>
  <Override PartName="/xl/externalLinks/externalLink9.xml" ContentType="application/vnd.openxmlformats-officedocument.spreadsheetml.externalLink+xml"/>
  <Override PartName="/xl/comments12.xml" ContentType="application/vnd.openxmlformats-officedocument.spreadsheetml.comments+xml"/>
  <Override PartName="/xl/externalLinks/externalLink10.xml" ContentType="application/vnd.openxmlformats-officedocument.spreadsheetml.externalLink+xml"/>
  <Override PartName="/xl/comments13.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2925" windowWidth="19440" windowHeight="7095" tabRatio="880" firstSheet="4" activeTab="8"/>
  </bookViews>
  <sheets>
    <sheet name="PL tong hop" sheetId="65" state="hidden" r:id="rId1"/>
    <sheet name="60-TT342" sheetId="88" state="hidden" r:id="rId2"/>
    <sheet name="61-TT342" sheetId="80" state="hidden" r:id="rId3"/>
    <sheet name="62-TT342" sheetId="92" state="hidden" r:id="rId4"/>
    <sheet name="B62CK" sheetId="93" r:id="rId5"/>
    <sheet name="B49" sheetId="78" state="hidden" r:id="rId6"/>
    <sheet name="B63CK" sheetId="94" r:id="rId7"/>
    <sheet name="B51" sheetId="51" state="hidden" r:id="rId8"/>
    <sheet name="B64CK" sheetId="95" r:id="rId9"/>
    <sheet name="B65CK" sheetId="96" r:id="rId10"/>
    <sheet name="B53a" sheetId="82" state="hidden" r:id="rId11"/>
    <sheet name="B66CK" sheetId="97" r:id="rId12"/>
    <sheet name="B55" sheetId="70" state="hidden" r:id="rId13"/>
    <sheet name="B56" sheetId="71" state="hidden" r:id="rId14"/>
    <sheet name="B57" sheetId="72" state="hidden" r:id="rId15"/>
    <sheet name="B58" sheetId="73" state="hidden" r:id="rId16"/>
    <sheet name="B67CK" sheetId="98" r:id="rId17"/>
    <sheet name="B60" sheetId="75" state="hidden" r:id="rId18"/>
    <sheet name="B68CK" sheetId="99" r:id="rId19"/>
    <sheet name="B61.01 CTMTQG cấp tỉnh" sheetId="69" state="hidden" r:id="rId20"/>
    <sheet name="B 61.02 CTMTQG huyện" sheetId="67" state="hidden" r:id="rId21"/>
    <sheet name="B62.QTVĐT" sheetId="91" state="hidden" r:id="rId22"/>
    <sheet name="B64" sheetId="83" state="hidden" r:id="rId23"/>
    <sheet name="TM Các CT, nhiệm vụ của Huyện" sheetId="79" state="hidden" r:id="rId24"/>
    <sheet name="TM KDNS Tinh" sheetId="89" state="hidden" r:id="rId25"/>
    <sheet name="Tổng hợp CN 2017-2018" sheetId="87" state="hidden" r:id="rId26"/>
    <sheet name="CN 2017-2018 cấp tỉnh" sheetId="85" state="hidden" r:id="rId27"/>
    <sheet name="TMCN 2017-2018 NS huyện" sheetId="86" state="hidden" r:id="rId28"/>
  </sheets>
  <externalReferences>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20" hidden="1">'B 61.02 CTMTQG huyện'!$A$8:$BM$106</definedName>
    <definedName name="_xlnm._FilterDatabase" localSheetId="12" hidden="1">'B55'!$B$1:$B$49</definedName>
    <definedName name="_xlnm._FilterDatabase" localSheetId="21" hidden="1">B62.QTVĐT!$A$13:$XEK$578</definedName>
    <definedName name="_xlnm._FilterDatabase" localSheetId="26" hidden="1">'CN 2017-2018 cấp tỉnh'!$D$2:$D$202</definedName>
    <definedName name="_xlnm._FilterDatabase" localSheetId="23" hidden="1">'TM Các CT, nhiệm vụ của Huyện'!$A$8:$AY$37</definedName>
    <definedName name="_xlnm._FilterDatabase" localSheetId="24" hidden="1">'TM KDNS Tinh'!$B$2:$B$84</definedName>
    <definedName name="_xlnm._FilterDatabase" localSheetId="27" hidden="1">'TMCN 2017-2018 NS huyện'!$B$2:$B$103</definedName>
    <definedName name="chuong_phuluc_1_name" localSheetId="0">'PL tong hop'!$A$1</definedName>
    <definedName name="chuong_phuluc_48" localSheetId="4">B62CK!$E$1</definedName>
    <definedName name="chuong_phuluc_48_name" localSheetId="4">B62CK!$A$2</definedName>
    <definedName name="chuong_phuluc_49" localSheetId="5">'B49'!$E$1</definedName>
    <definedName name="chuong_phuluc_49_name" localSheetId="5">'B49'!$A$2</definedName>
    <definedName name="chuong_phuluc_50" localSheetId="6">B63CK!$G$1</definedName>
    <definedName name="chuong_phuluc_50_name" localSheetId="6">B63CK!$A$2</definedName>
    <definedName name="chuong_phuluc_51" localSheetId="7">'B51'!$D$1</definedName>
    <definedName name="chuong_phuluc_51_name" localSheetId="7">'B51'!$A$2</definedName>
    <definedName name="chuong_phuluc_52" localSheetId="9">B65CK!$D$1</definedName>
    <definedName name="chuong_phuluc_52_name" localSheetId="9">B65CK!$A$2</definedName>
    <definedName name="chuong_phuluc_53" localSheetId="10">B53a!$I$1</definedName>
    <definedName name="chuong_phuluc_53" localSheetId="8">B64CK!$I$1</definedName>
    <definedName name="chuong_phuluc_53_name" localSheetId="10">B53a!$A$2</definedName>
    <definedName name="chuong_phuluc_53_name" localSheetId="8">B64CK!$A$2</definedName>
    <definedName name="chuong_phuluc_54" localSheetId="11">B66CK!$V$1</definedName>
    <definedName name="chuong_phuluc_54_name" localSheetId="11">B66CK!$A$2</definedName>
    <definedName name="chuong_phuluc_64" localSheetId="22">'B64'!$D$1</definedName>
    <definedName name="chuong_phuluc_64_name" localSheetId="22">'B64'!$A$2</definedName>
    <definedName name="donvi" localSheetId="24">'[1]Minh tuấn'!$A$4:$B$170</definedName>
    <definedName name="donvi">'[1]Minh tuấn'!$A$4:$B$170</definedName>
    <definedName name="_xlnm.Print_Area" localSheetId="1">'60-TT342'!$A$1:$J$27</definedName>
    <definedName name="_xlnm.Print_Area" localSheetId="3">'62-TT342'!$A$1:$J$55</definedName>
    <definedName name="_xlnm.Print_Area" localSheetId="5">'B49'!$A$1:$E$51</definedName>
    <definedName name="_xlnm.Print_Area" localSheetId="7">'B51'!$A$1:$E$119</definedName>
    <definedName name="_xlnm.Print_Area" localSheetId="10">B53a!$A$1:$K$78</definedName>
    <definedName name="_xlnm.Print_Area" localSheetId="12">'B55'!$A$1:$T$49</definedName>
    <definedName name="_xlnm.Print_Area" localSheetId="13">'B56'!$A$1:$U$93</definedName>
    <definedName name="_xlnm.Print_Area" localSheetId="14">'B57'!$A$1:$L$91</definedName>
    <definedName name="_xlnm.Print_Area" localSheetId="15">'B58'!$A$1:$W$24</definedName>
    <definedName name="_xlnm.Print_Area" localSheetId="17">'B60'!$A$1:$K$22</definedName>
    <definedName name="_xlnm.Print_Area" localSheetId="4">B62CK!$A$1:$F$42</definedName>
    <definedName name="_xlnm.Print_Area" localSheetId="6">B63CK!$A$1:$I$62</definedName>
    <definedName name="_xlnm.Print_Area" localSheetId="8">B64CK!$A$1:$K$105</definedName>
    <definedName name="_xlnm.Print_Area" localSheetId="9">B65CK!$A$1:$F$50</definedName>
    <definedName name="_xlnm.Print_Area" localSheetId="11">B66CK!$A$1:$AC$120</definedName>
    <definedName name="_xlnm.Print_Area" localSheetId="18">B68CK!$A$1:$Y$37</definedName>
    <definedName name="_xlnm.Print_Area" localSheetId="26">'CN 2017-2018 cấp tỉnh'!$A$1:$E$192</definedName>
    <definedName name="_xlnm.Print_Area" localSheetId="24">'TM KDNS Tinh'!$A$1:$F$76</definedName>
    <definedName name="_xlnm.Print_Area" localSheetId="27">'TMCN 2017-2018 NS huyện'!$A$1:$U$100</definedName>
    <definedName name="_xlnm.Print_Area" localSheetId="25">'Tổng hợp CN 2017-2018'!$A$1:$I$19</definedName>
    <definedName name="_xlnm.Print_Titles" localSheetId="2">'61-TT342'!$6:$9</definedName>
    <definedName name="_xlnm.Print_Titles" localSheetId="20">'B 61.02 CTMTQG huyện'!$5:$8</definedName>
    <definedName name="_xlnm.Print_Titles" localSheetId="5">'B49'!$6:$7</definedName>
    <definedName name="_xlnm.Print_Titles" localSheetId="7">'B51'!$6:$7</definedName>
    <definedName name="_xlnm.Print_Titles" localSheetId="10">B53a!$5:$7</definedName>
    <definedName name="_xlnm.Print_Titles" localSheetId="12">'B55'!$5:$7</definedName>
    <definedName name="_xlnm.Print_Titles" localSheetId="13">'B56'!$5:$8</definedName>
    <definedName name="_xlnm.Print_Titles" localSheetId="14">'B57'!$5:$7</definedName>
    <definedName name="_xlnm.Print_Titles" localSheetId="21">B62.QTVĐT!$5:$9</definedName>
    <definedName name="_xlnm.Print_Titles" localSheetId="6">B63CK!$6:$8</definedName>
    <definedName name="_xlnm.Print_Titles" localSheetId="8">B64CK!$6:$8</definedName>
    <definedName name="_xlnm.Print_Titles" localSheetId="9">B65CK!$6:$8</definedName>
    <definedName name="_xlnm.Print_Titles" localSheetId="11">B66CK!$6:$8</definedName>
    <definedName name="_xlnm.Print_Titles" localSheetId="18">B68CK!$6:$11</definedName>
    <definedName name="_xlnm.Print_Titles" localSheetId="26">'CN 2017-2018 cấp tỉnh'!$5:$6</definedName>
    <definedName name="_xlnm.Print_Titles" localSheetId="23">'TM Các CT, nhiệm vụ của Huyện'!$5:$8</definedName>
    <definedName name="_xlnm.Print_Titles" localSheetId="24">'TM KDNS Tinh'!$5:$5</definedName>
    <definedName name="_xlnm.Print_Titles" localSheetId="27">'TMCN 2017-2018 NS huyện'!$5:$7</definedName>
    <definedName name="_xlnm.Print_Titles">#N/A</definedName>
  </definedNames>
  <calcPr calcId="144525"/>
</workbook>
</file>

<file path=xl/calcChain.xml><?xml version="1.0" encoding="utf-8"?>
<calcChain xmlns="http://schemas.openxmlformats.org/spreadsheetml/2006/main">
  <c r="A4" i="99" l="1"/>
  <c r="A3" i="99"/>
  <c r="T36" i="99"/>
  <c r="Q36" i="99"/>
  <c r="P36" i="99" s="1"/>
  <c r="M36" i="99"/>
  <c r="H36" i="99" s="1"/>
  <c r="Y36" i="99" s="1"/>
  <c r="J36" i="99"/>
  <c r="I36" i="99"/>
  <c r="G36" i="99"/>
  <c r="X36" i="99" s="1"/>
  <c r="C36" i="99"/>
  <c r="T35" i="99"/>
  <c r="Q35" i="99"/>
  <c r="P35" i="99"/>
  <c r="M35" i="99"/>
  <c r="J35" i="99"/>
  <c r="I35" i="99" s="1"/>
  <c r="H35" i="99"/>
  <c r="Y35" i="99" s="1"/>
  <c r="C35" i="99"/>
  <c r="T34" i="99"/>
  <c r="Q34" i="99"/>
  <c r="P34" i="99" s="1"/>
  <c r="M34" i="99"/>
  <c r="H34" i="99" s="1"/>
  <c r="Y34" i="99" s="1"/>
  <c r="J34" i="99"/>
  <c r="I34" i="99"/>
  <c r="G34" i="99"/>
  <c r="X34" i="99" s="1"/>
  <c r="C34" i="99"/>
  <c r="T33" i="99"/>
  <c r="Q33" i="99"/>
  <c r="P33" i="99"/>
  <c r="M33" i="99"/>
  <c r="J33" i="99"/>
  <c r="I33" i="99" s="1"/>
  <c r="H33" i="99"/>
  <c r="Y33" i="99" s="1"/>
  <c r="C33" i="99"/>
  <c r="T32" i="99"/>
  <c r="Q32" i="99"/>
  <c r="P32" i="99" s="1"/>
  <c r="M32" i="99"/>
  <c r="H32" i="99" s="1"/>
  <c r="Y32" i="99" s="1"/>
  <c r="J32" i="99"/>
  <c r="I32" i="99"/>
  <c r="G32" i="99"/>
  <c r="X32" i="99" s="1"/>
  <c r="C32" i="99"/>
  <c r="T31" i="99"/>
  <c r="Q31" i="99"/>
  <c r="P31" i="99"/>
  <c r="M31" i="99"/>
  <c r="J31" i="99"/>
  <c r="I31" i="99" s="1"/>
  <c r="H31" i="99"/>
  <c r="Y31" i="99" s="1"/>
  <c r="C31" i="99"/>
  <c r="T30" i="99"/>
  <c r="Q30" i="99"/>
  <c r="P30" i="99" s="1"/>
  <c r="M30" i="99"/>
  <c r="H30" i="99" s="1"/>
  <c r="Y30" i="99" s="1"/>
  <c r="J30" i="99"/>
  <c r="I30" i="99"/>
  <c r="G30" i="99"/>
  <c r="X30" i="99" s="1"/>
  <c r="C30" i="99"/>
  <c r="T29" i="99"/>
  <c r="Q29" i="99"/>
  <c r="P29" i="99"/>
  <c r="P28" i="99" s="1"/>
  <c r="M29" i="99"/>
  <c r="J29" i="99"/>
  <c r="I29" i="99" s="1"/>
  <c r="I28" i="99" s="1"/>
  <c r="H29" i="99"/>
  <c r="Y29" i="99" s="1"/>
  <c r="C29" i="99"/>
  <c r="V28" i="99"/>
  <c r="U28" i="99"/>
  <c r="T28" i="99" s="1"/>
  <c r="S28" i="99"/>
  <c r="R28" i="99"/>
  <c r="Q28" i="99"/>
  <c r="O28" i="99"/>
  <c r="N28" i="99"/>
  <c r="M28" i="99"/>
  <c r="L28" i="99"/>
  <c r="K28" i="99"/>
  <c r="J28" i="99" s="1"/>
  <c r="J13" i="99" s="1"/>
  <c r="E28" i="99"/>
  <c r="D28" i="99"/>
  <c r="C28" i="99"/>
  <c r="M27" i="99"/>
  <c r="H27" i="99" s="1"/>
  <c r="Y27" i="99" s="1"/>
  <c r="G27" i="99"/>
  <c r="F27" i="99" s="1"/>
  <c r="C27" i="99"/>
  <c r="M26" i="99"/>
  <c r="H26" i="99" s="1"/>
  <c r="Y26" i="99" s="1"/>
  <c r="G26" i="99"/>
  <c r="C26" i="99"/>
  <c r="M25" i="99"/>
  <c r="H25" i="99" s="1"/>
  <c r="Y25" i="99" s="1"/>
  <c r="G25" i="99"/>
  <c r="F25" i="99" s="1"/>
  <c r="C25" i="99"/>
  <c r="M24" i="99"/>
  <c r="H24" i="99" s="1"/>
  <c r="Y24" i="99" s="1"/>
  <c r="G24" i="99"/>
  <c r="C24" i="99"/>
  <c r="M23" i="99"/>
  <c r="I23" i="99" s="1"/>
  <c r="H23" i="99"/>
  <c r="Y23" i="99" s="1"/>
  <c r="G23" i="99"/>
  <c r="F23" i="99"/>
  <c r="C23" i="99"/>
  <c r="T22" i="99"/>
  <c r="M22" i="99"/>
  <c r="H22" i="99"/>
  <c r="Y22" i="99" s="1"/>
  <c r="G22" i="99"/>
  <c r="F22" i="99"/>
  <c r="W22" i="99" s="1"/>
  <c r="C22" i="99"/>
  <c r="T21" i="99"/>
  <c r="M21" i="99"/>
  <c r="H21" i="99"/>
  <c r="Y21" i="99" s="1"/>
  <c r="G21" i="99"/>
  <c r="F21" i="99"/>
  <c r="W21" i="99" s="1"/>
  <c r="C21" i="99"/>
  <c r="M20" i="99"/>
  <c r="H20" i="99" s="1"/>
  <c r="Y20" i="99" s="1"/>
  <c r="G20" i="99"/>
  <c r="C20" i="99"/>
  <c r="M19" i="99"/>
  <c r="H19" i="99" s="1"/>
  <c r="Y19" i="99" s="1"/>
  <c r="G19" i="99"/>
  <c r="F19" i="99" s="1"/>
  <c r="C19" i="99"/>
  <c r="T18" i="99"/>
  <c r="M18" i="99"/>
  <c r="H18" i="99" s="1"/>
  <c r="Y18" i="99" s="1"/>
  <c r="G18" i="99"/>
  <c r="F18" i="99" s="1"/>
  <c r="W18" i="99" s="1"/>
  <c r="C18" i="99"/>
  <c r="T17" i="99"/>
  <c r="M17" i="99"/>
  <c r="H17" i="99" s="1"/>
  <c r="Y17" i="99" s="1"/>
  <c r="G17" i="99"/>
  <c r="F17" i="99" s="1"/>
  <c r="W17" i="99" s="1"/>
  <c r="C17" i="99"/>
  <c r="M16" i="99"/>
  <c r="H16" i="99"/>
  <c r="Y16" i="99" s="1"/>
  <c r="G16" i="99"/>
  <c r="F16" i="99"/>
  <c r="W16" i="99" s="1"/>
  <c r="C16" i="99"/>
  <c r="T15" i="99"/>
  <c r="M15" i="99"/>
  <c r="H15" i="99"/>
  <c r="Y15" i="99" s="1"/>
  <c r="G15" i="99"/>
  <c r="F15" i="99"/>
  <c r="W15" i="99" s="1"/>
  <c r="C15" i="99"/>
  <c r="U14" i="99"/>
  <c r="T14" i="99" s="1"/>
  <c r="N14" i="99"/>
  <c r="M14" i="99"/>
  <c r="I14" i="99" s="1"/>
  <c r="I13" i="99" s="1"/>
  <c r="G14" i="99"/>
  <c r="E14" i="99"/>
  <c r="D14" i="99"/>
  <c r="C14" i="99" s="1"/>
  <c r="C13" i="99" s="1"/>
  <c r="V13" i="99"/>
  <c r="U13" i="99"/>
  <c r="S13" i="99"/>
  <c r="R13" i="99"/>
  <c r="Q13" i="99"/>
  <c r="O13" i="99"/>
  <c r="N13" i="99"/>
  <c r="M13" i="99"/>
  <c r="L13" i="99"/>
  <c r="K13" i="99"/>
  <c r="E13" i="99"/>
  <c r="A4" i="98"/>
  <c r="A3" i="98"/>
  <c r="V19" i="98"/>
  <c r="AD19" i="98" s="1"/>
  <c r="U19" i="98"/>
  <c r="T19" i="98"/>
  <c r="K19" i="98"/>
  <c r="I19" i="98" s="1"/>
  <c r="E19" i="98" s="1"/>
  <c r="G19" i="98" s="1"/>
  <c r="D19" i="98"/>
  <c r="C19" i="98" s="1"/>
  <c r="V18" i="98"/>
  <c r="AD18" i="98" s="1"/>
  <c r="U18" i="98"/>
  <c r="T18" i="98"/>
  <c r="Q18" i="98"/>
  <c r="K18" i="98"/>
  <c r="I18" i="98"/>
  <c r="E18" i="98" s="1"/>
  <c r="D18" i="98"/>
  <c r="P18" i="98" s="1"/>
  <c r="V17" i="98"/>
  <c r="AD17" i="98" s="1"/>
  <c r="U17" i="98"/>
  <c r="T17" i="98"/>
  <c r="K17" i="98"/>
  <c r="I17" i="98" s="1"/>
  <c r="E17" i="98" s="1"/>
  <c r="G17" i="98" s="1"/>
  <c r="D17" i="98"/>
  <c r="C17" i="98" s="1"/>
  <c r="V16" i="98"/>
  <c r="AD16" i="98" s="1"/>
  <c r="U16" i="98"/>
  <c r="T16" i="98"/>
  <c r="Q16" i="98"/>
  <c r="K16" i="98"/>
  <c r="I16" i="98"/>
  <c r="E16" i="98" s="1"/>
  <c r="D16" i="98"/>
  <c r="P16" i="98" s="1"/>
  <c r="V15" i="98"/>
  <c r="AD15" i="98" s="1"/>
  <c r="U15" i="98"/>
  <c r="T15" i="98"/>
  <c r="K15" i="98"/>
  <c r="I15" i="98" s="1"/>
  <c r="E15" i="98" s="1"/>
  <c r="G15" i="98" s="1"/>
  <c r="D15" i="98"/>
  <c r="C15" i="98" s="1"/>
  <c r="V14" i="98"/>
  <c r="AD14" i="98" s="1"/>
  <c r="U14" i="98"/>
  <c r="T14" i="98"/>
  <c r="Q14" i="98"/>
  <c r="K14" i="98"/>
  <c r="I14" i="98"/>
  <c r="E14" i="98" s="1"/>
  <c r="D14" i="98"/>
  <c r="P14" i="98" s="1"/>
  <c r="V13" i="98"/>
  <c r="AD13" i="98" s="1"/>
  <c r="U13" i="98"/>
  <c r="T13" i="98"/>
  <c r="K13" i="98"/>
  <c r="I13" i="98" s="1"/>
  <c r="D13" i="98"/>
  <c r="V12" i="98"/>
  <c r="U12" i="98"/>
  <c r="T12" i="98"/>
  <c r="Q12" i="98"/>
  <c r="K12" i="98"/>
  <c r="I12" i="98"/>
  <c r="E12" i="98" s="1"/>
  <c r="D12" i="98"/>
  <c r="P12" i="98" s="1"/>
  <c r="U11" i="98"/>
  <c r="R11" i="98"/>
  <c r="N11" i="98"/>
  <c r="M11" i="98"/>
  <c r="L11" i="98"/>
  <c r="K11" i="98"/>
  <c r="J11" i="98"/>
  <c r="H11" i="98"/>
  <c r="F11" i="98"/>
  <c r="A4" i="97"/>
  <c r="A3" i="97"/>
  <c r="U119" i="97"/>
  <c r="K119" i="97" s="1"/>
  <c r="S118" i="97"/>
  <c r="K118" i="97"/>
  <c r="J118" i="97"/>
  <c r="AB118" i="97" s="1"/>
  <c r="C118" i="97"/>
  <c r="T117" i="97"/>
  <c r="K117" i="97"/>
  <c r="K115" i="97"/>
  <c r="I115" i="97"/>
  <c r="C115" i="97" s="1"/>
  <c r="O114" i="97"/>
  <c r="H114" i="97"/>
  <c r="C114" i="97" s="1"/>
  <c r="N113" i="97"/>
  <c r="G113" i="97"/>
  <c r="C113" i="97" s="1"/>
  <c r="M112" i="97"/>
  <c r="K112" i="97" s="1"/>
  <c r="C112" i="97"/>
  <c r="L111" i="97"/>
  <c r="K111" i="97"/>
  <c r="D111" i="97"/>
  <c r="C111" i="97"/>
  <c r="L110" i="97"/>
  <c r="K110" i="97"/>
  <c r="D110" i="97"/>
  <c r="C110" i="97"/>
  <c r="L109" i="97"/>
  <c r="K109" i="97"/>
  <c r="D109" i="97"/>
  <c r="C109" i="97"/>
  <c r="L108" i="97"/>
  <c r="K108" i="97"/>
  <c r="D108" i="97"/>
  <c r="C108" i="97"/>
  <c r="L107" i="97"/>
  <c r="K107" i="97"/>
  <c r="D107" i="97"/>
  <c r="C107" i="97"/>
  <c r="L106" i="97"/>
  <c r="D106" i="97"/>
  <c r="C106" i="97" s="1"/>
  <c r="L105" i="97"/>
  <c r="W105" i="97" s="1"/>
  <c r="D105" i="97"/>
  <c r="C105" i="97" s="1"/>
  <c r="L104" i="97"/>
  <c r="W104" i="97" s="1"/>
  <c r="D104" i="97"/>
  <c r="C104" i="97" s="1"/>
  <c r="W103" i="97"/>
  <c r="L103" i="97"/>
  <c r="K103" i="97"/>
  <c r="D103" i="97"/>
  <c r="C103" i="97"/>
  <c r="L102" i="97"/>
  <c r="D102" i="97"/>
  <c r="C102" i="97" s="1"/>
  <c r="L101" i="97"/>
  <c r="W101" i="97" s="1"/>
  <c r="D101" i="97"/>
  <c r="C101" i="97" s="1"/>
  <c r="L100" i="97"/>
  <c r="W100" i="97" s="1"/>
  <c r="D100" i="97"/>
  <c r="C100" i="97" s="1"/>
  <c r="W99" i="97"/>
  <c r="L99" i="97"/>
  <c r="K99" i="97"/>
  <c r="D99" i="97"/>
  <c r="C99" i="97"/>
  <c r="J98" i="97"/>
  <c r="I98" i="97"/>
  <c r="H98" i="97"/>
  <c r="G98" i="97"/>
  <c r="F98" i="97"/>
  <c r="E98" i="97"/>
  <c r="D98" i="97"/>
  <c r="L97" i="97"/>
  <c r="K97" i="97" s="1"/>
  <c r="D97" i="97"/>
  <c r="C97" i="97" s="1"/>
  <c r="L96" i="97"/>
  <c r="K96" i="97" s="1"/>
  <c r="D96" i="97"/>
  <c r="C96" i="97" s="1"/>
  <c r="M95" i="97"/>
  <c r="K95" i="97" s="1"/>
  <c r="C95" i="97"/>
  <c r="M94" i="97"/>
  <c r="K94" i="97"/>
  <c r="C94" i="97"/>
  <c r="M93" i="97"/>
  <c r="K93" i="97" s="1"/>
  <c r="C93" i="97"/>
  <c r="M92" i="97"/>
  <c r="K92" i="97" s="1"/>
  <c r="C92" i="97"/>
  <c r="M91" i="97"/>
  <c r="K91" i="97" s="1"/>
  <c r="C91" i="97"/>
  <c r="M90" i="97"/>
  <c r="K90" i="97"/>
  <c r="C90" i="97"/>
  <c r="M89" i="97"/>
  <c r="K89" i="97" s="1"/>
  <c r="C89" i="97"/>
  <c r="M88" i="97"/>
  <c r="K88" i="97" s="1"/>
  <c r="C88" i="97"/>
  <c r="M87" i="97"/>
  <c r="K87" i="97" s="1"/>
  <c r="C87" i="97"/>
  <c r="M86" i="97"/>
  <c r="K86" i="97"/>
  <c r="C86" i="97"/>
  <c r="M85" i="97"/>
  <c r="K85" i="97" s="1"/>
  <c r="C85" i="97"/>
  <c r="M84" i="97"/>
  <c r="K84" i="97" s="1"/>
  <c r="C84" i="97"/>
  <c r="M83" i="97"/>
  <c r="K83" i="97" s="1"/>
  <c r="C83" i="97"/>
  <c r="M82" i="97"/>
  <c r="K82" i="97"/>
  <c r="C82" i="97"/>
  <c r="M81" i="97"/>
  <c r="K81" i="97" s="1"/>
  <c r="C81" i="97"/>
  <c r="M80" i="97"/>
  <c r="X80" i="97" s="1"/>
  <c r="C80" i="97"/>
  <c r="M79" i="97"/>
  <c r="X79" i="97" s="1"/>
  <c r="C79" i="97"/>
  <c r="M78" i="97"/>
  <c r="X78" i="97" s="1"/>
  <c r="C78" i="97"/>
  <c r="M77" i="97"/>
  <c r="X77" i="97" s="1"/>
  <c r="C77" i="97"/>
  <c r="M76" i="97"/>
  <c r="X76" i="97" s="1"/>
  <c r="C76" i="97"/>
  <c r="M75" i="97"/>
  <c r="X75" i="97" s="1"/>
  <c r="L75" i="97"/>
  <c r="K75" i="97"/>
  <c r="D75" i="97"/>
  <c r="C75" i="97"/>
  <c r="M74" i="97"/>
  <c r="K74" i="97" s="1"/>
  <c r="V74" i="97" s="1"/>
  <c r="C74" i="97"/>
  <c r="M73" i="97"/>
  <c r="K73" i="97" s="1"/>
  <c r="V73" i="97" s="1"/>
  <c r="C73" i="97"/>
  <c r="M72" i="97"/>
  <c r="K72" i="97" s="1"/>
  <c r="C72" i="97"/>
  <c r="C71" i="97" s="1"/>
  <c r="L71" i="97"/>
  <c r="E71" i="97"/>
  <c r="D71" i="97"/>
  <c r="W71" i="97" s="1"/>
  <c r="M70" i="97"/>
  <c r="X70" i="97" s="1"/>
  <c r="L70" i="97"/>
  <c r="D70" i="97"/>
  <c r="R69" i="97"/>
  <c r="P69" i="97" s="1"/>
  <c r="P68" i="97" s="1"/>
  <c r="M69" i="97"/>
  <c r="K69" i="97" s="1"/>
  <c r="V69" i="97" s="1"/>
  <c r="C69" i="97"/>
  <c r="R68" i="97"/>
  <c r="F68" i="97"/>
  <c r="E68" i="97"/>
  <c r="M67" i="97"/>
  <c r="X67" i="97" s="1"/>
  <c r="C67" i="97"/>
  <c r="M66" i="97"/>
  <c r="K66" i="97" s="1"/>
  <c r="V66" i="97" s="1"/>
  <c r="C66" i="97"/>
  <c r="M65" i="97"/>
  <c r="X65" i="97" s="1"/>
  <c r="K65" i="97"/>
  <c r="V65" i="97" s="1"/>
  <c r="C65" i="97"/>
  <c r="X64" i="97"/>
  <c r="M64" i="97"/>
  <c r="K64" i="97" s="1"/>
  <c r="C64" i="97"/>
  <c r="M63" i="97"/>
  <c r="X63" i="97" s="1"/>
  <c r="K63" i="97"/>
  <c r="V63" i="97" s="1"/>
  <c r="C63" i="97"/>
  <c r="M62" i="97"/>
  <c r="K62" i="97" s="1"/>
  <c r="V62" i="97" s="1"/>
  <c r="C62" i="97"/>
  <c r="M61" i="97"/>
  <c r="X61" i="97" s="1"/>
  <c r="C61" i="97"/>
  <c r="M60" i="97"/>
  <c r="K60" i="97" s="1"/>
  <c r="C60" i="97"/>
  <c r="M59" i="97"/>
  <c r="X59" i="97" s="1"/>
  <c r="C59" i="97"/>
  <c r="M58" i="97"/>
  <c r="K58" i="97" s="1"/>
  <c r="V58" i="97" s="1"/>
  <c r="C58" i="97"/>
  <c r="M57" i="97"/>
  <c r="X57" i="97" s="1"/>
  <c r="K57" i="97"/>
  <c r="V57" i="97" s="1"/>
  <c r="C57" i="97"/>
  <c r="R56" i="97"/>
  <c r="P56" i="97"/>
  <c r="AA56" i="97" s="1"/>
  <c r="M56" i="97"/>
  <c r="X56" i="97" s="1"/>
  <c r="K56" i="97"/>
  <c r="V56" i="97" s="1"/>
  <c r="C56" i="97"/>
  <c r="M55" i="97"/>
  <c r="X55" i="97" s="1"/>
  <c r="C55" i="97"/>
  <c r="M54" i="97"/>
  <c r="X54" i="97" s="1"/>
  <c r="C54" i="97"/>
  <c r="R53" i="97"/>
  <c r="P53" i="97"/>
  <c r="L53" i="97"/>
  <c r="F53" i="97"/>
  <c r="E53" i="97"/>
  <c r="D53" i="97"/>
  <c r="C53" i="97"/>
  <c r="M52" i="97"/>
  <c r="X52" i="97" s="1"/>
  <c r="K52" i="97"/>
  <c r="V52" i="97" s="1"/>
  <c r="C52" i="97"/>
  <c r="R51" i="97"/>
  <c r="M51" i="97"/>
  <c r="X51" i="97" s="1"/>
  <c r="C51" i="97"/>
  <c r="M50" i="97"/>
  <c r="X50" i="97" s="1"/>
  <c r="C50" i="97"/>
  <c r="R49" i="97"/>
  <c r="M49" i="97"/>
  <c r="X49" i="97" s="1"/>
  <c r="C49" i="97"/>
  <c r="R48" i="97"/>
  <c r="M48" i="97"/>
  <c r="X48" i="97" s="1"/>
  <c r="L48" i="97"/>
  <c r="K48" i="97" s="1"/>
  <c r="V48" i="97" s="1"/>
  <c r="D48" i="97"/>
  <c r="C48" i="97" s="1"/>
  <c r="C47" i="97" s="1"/>
  <c r="L47" i="97"/>
  <c r="F47" i="97"/>
  <c r="E47" i="97"/>
  <c r="X46" i="97"/>
  <c r="M46" i="97"/>
  <c r="L46" i="97"/>
  <c r="W46" i="97" s="1"/>
  <c r="D46" i="97"/>
  <c r="C46" i="97" s="1"/>
  <c r="X45" i="97"/>
  <c r="M45" i="97"/>
  <c r="L45" i="97"/>
  <c r="W45" i="97" s="1"/>
  <c r="D45" i="97"/>
  <c r="C45" i="97" s="1"/>
  <c r="C44" i="97" s="1"/>
  <c r="M44" i="97"/>
  <c r="E44" i="97"/>
  <c r="X44" i="97" s="1"/>
  <c r="L43" i="97"/>
  <c r="K43" i="97"/>
  <c r="D43" i="97"/>
  <c r="C43" i="97"/>
  <c r="P42" i="97"/>
  <c r="M42" i="97"/>
  <c r="X42" i="97" s="1"/>
  <c r="L42" i="97"/>
  <c r="D42" i="97"/>
  <c r="C42" i="97" s="1"/>
  <c r="P41" i="97"/>
  <c r="M41" i="97"/>
  <c r="K41" i="97" s="1"/>
  <c r="C41" i="97"/>
  <c r="R40" i="97"/>
  <c r="P40" i="97" s="1"/>
  <c r="M40" i="97" s="1"/>
  <c r="C40" i="97"/>
  <c r="P39" i="97"/>
  <c r="M39" i="97"/>
  <c r="X39" i="97" s="1"/>
  <c r="L39" i="97"/>
  <c r="D39" i="97"/>
  <c r="C39" i="97" s="1"/>
  <c r="P38" i="97"/>
  <c r="M38" i="97"/>
  <c r="K38" i="97" s="1"/>
  <c r="C38" i="97"/>
  <c r="P37" i="97"/>
  <c r="M37" i="97"/>
  <c r="X37" i="97" s="1"/>
  <c r="K37" i="97"/>
  <c r="V37" i="97" s="1"/>
  <c r="C37" i="97"/>
  <c r="P36" i="97"/>
  <c r="M36" i="97"/>
  <c r="X36" i="97" s="1"/>
  <c r="L36" i="97"/>
  <c r="D36" i="97"/>
  <c r="C36" i="97" s="1"/>
  <c r="R35" i="97"/>
  <c r="P35" i="97"/>
  <c r="AA35" i="97" s="1"/>
  <c r="C35" i="97"/>
  <c r="P34" i="97"/>
  <c r="M34" i="97"/>
  <c r="X34" i="97" s="1"/>
  <c r="C34" i="97"/>
  <c r="P33" i="97"/>
  <c r="M33" i="97"/>
  <c r="X33" i="97" s="1"/>
  <c r="L33" i="97"/>
  <c r="K33" i="97"/>
  <c r="D33" i="97"/>
  <c r="C33" i="97"/>
  <c r="P32" i="97"/>
  <c r="M32" i="97"/>
  <c r="X32" i="97" s="1"/>
  <c r="L32" i="97"/>
  <c r="D32" i="97"/>
  <c r="C32" i="97" s="1"/>
  <c r="P31" i="97"/>
  <c r="M31" i="97"/>
  <c r="X31" i="97" s="1"/>
  <c r="K31" i="97"/>
  <c r="V31" i="97" s="1"/>
  <c r="C31" i="97"/>
  <c r="P30" i="97"/>
  <c r="M30" i="97"/>
  <c r="X30" i="97" s="1"/>
  <c r="C30" i="97"/>
  <c r="R29" i="97"/>
  <c r="P29" i="97" s="1"/>
  <c r="L29" i="97"/>
  <c r="W29" i="97" s="1"/>
  <c r="D29" i="97"/>
  <c r="C29" i="97" s="1"/>
  <c r="R28" i="97"/>
  <c r="P28" i="97" s="1"/>
  <c r="AA28" i="97" s="1"/>
  <c r="L28" i="97"/>
  <c r="W28" i="97" s="1"/>
  <c r="D28" i="97"/>
  <c r="C28" i="97" s="1"/>
  <c r="R27" i="97"/>
  <c r="P27" i="97" s="1"/>
  <c r="M27" i="97" s="1"/>
  <c r="X27" i="97" s="1"/>
  <c r="L27" i="97"/>
  <c r="W27" i="97" s="1"/>
  <c r="D27" i="97"/>
  <c r="C27" i="97" s="1"/>
  <c r="P26" i="97"/>
  <c r="M26" i="97"/>
  <c r="X26" i="97" s="1"/>
  <c r="C26" i="97"/>
  <c r="R25" i="97"/>
  <c r="P25" i="97" s="1"/>
  <c r="L25" i="97"/>
  <c r="W25" i="97" s="1"/>
  <c r="D25" i="97"/>
  <c r="C25" i="97" s="1"/>
  <c r="P24" i="97"/>
  <c r="M24" i="97"/>
  <c r="X24" i="97" s="1"/>
  <c r="L24" i="97"/>
  <c r="W24" i="97" s="1"/>
  <c r="D24" i="97"/>
  <c r="C24" i="97" s="1"/>
  <c r="R23" i="97"/>
  <c r="P23" i="97" s="1"/>
  <c r="AA23" i="97" s="1"/>
  <c r="C23" i="97"/>
  <c r="P22" i="97"/>
  <c r="M22" i="97"/>
  <c r="X22" i="97" s="1"/>
  <c r="L22" i="97"/>
  <c r="K22" i="97"/>
  <c r="D22" i="97"/>
  <c r="C22" i="97"/>
  <c r="P21" i="97"/>
  <c r="M21" i="97"/>
  <c r="X21" i="97" s="1"/>
  <c r="C21" i="97"/>
  <c r="P20" i="97"/>
  <c r="M20" i="97"/>
  <c r="X20" i="97" s="1"/>
  <c r="L20" i="97"/>
  <c r="W20" i="97" s="1"/>
  <c r="D20" i="97"/>
  <c r="C20" i="97" s="1"/>
  <c r="P19" i="97"/>
  <c r="M19" i="97"/>
  <c r="X19" i="97" s="1"/>
  <c r="L19" i="97"/>
  <c r="K19" i="97" s="1"/>
  <c r="V19" i="97" s="1"/>
  <c r="D19" i="97"/>
  <c r="C19" i="97" s="1"/>
  <c r="P18" i="97"/>
  <c r="M18" i="97"/>
  <c r="X18" i="97" s="1"/>
  <c r="C18" i="97"/>
  <c r="P17" i="97"/>
  <c r="M17" i="97"/>
  <c r="X17" i="97" s="1"/>
  <c r="C17" i="97"/>
  <c r="P16" i="97"/>
  <c r="M16" i="97"/>
  <c r="X16" i="97" s="1"/>
  <c r="L16" i="97"/>
  <c r="W16" i="97" s="1"/>
  <c r="D16" i="97"/>
  <c r="C16" i="97" s="1"/>
  <c r="R15" i="97"/>
  <c r="P15" i="97" s="1"/>
  <c r="C15" i="97"/>
  <c r="P14" i="97"/>
  <c r="M14" i="97"/>
  <c r="X14" i="97" s="1"/>
  <c r="C14" i="97"/>
  <c r="P13" i="97"/>
  <c r="M13" i="97"/>
  <c r="X13" i="97" s="1"/>
  <c r="C13" i="97"/>
  <c r="R12" i="97"/>
  <c r="R11" i="97" s="1"/>
  <c r="R10" i="97" s="1"/>
  <c r="Q12" i="97"/>
  <c r="O12" i="97"/>
  <c r="N12" i="97"/>
  <c r="N11" i="97" s="1"/>
  <c r="N10" i="97" s="1"/>
  <c r="L12" i="97"/>
  <c r="W12" i="97" s="1"/>
  <c r="F12" i="97"/>
  <c r="F11" i="97" s="1"/>
  <c r="F10" i="97" s="1"/>
  <c r="E12" i="97"/>
  <c r="D12" i="97"/>
  <c r="U11" i="97"/>
  <c r="T11" i="97"/>
  <c r="S11" i="97"/>
  <c r="Q11" i="97"/>
  <c r="O11" i="97"/>
  <c r="E11" i="97"/>
  <c r="U10" i="97"/>
  <c r="T10" i="97"/>
  <c r="S10" i="97"/>
  <c r="AB10" i="97" s="1"/>
  <c r="Q10" i="97"/>
  <c r="O10" i="97"/>
  <c r="Z10" i="97" s="1"/>
  <c r="J10" i="97"/>
  <c r="I10" i="97"/>
  <c r="H10" i="97"/>
  <c r="G10" i="97"/>
  <c r="E10" i="97"/>
  <c r="A4" i="96"/>
  <c r="A3" i="96"/>
  <c r="D49" i="96"/>
  <c r="C49" i="96"/>
  <c r="D48" i="96"/>
  <c r="C48" i="96"/>
  <c r="D47" i="96"/>
  <c r="C47" i="96"/>
  <c r="D46" i="96"/>
  <c r="C46" i="96"/>
  <c r="D45" i="96"/>
  <c r="C45" i="96"/>
  <c r="D44" i="96"/>
  <c r="C44" i="96"/>
  <c r="C11" i="96" s="1"/>
  <c r="C9" i="96" s="1"/>
  <c r="D43" i="96"/>
  <c r="E43" i="96" s="1"/>
  <c r="E42" i="96"/>
  <c r="D42" i="96"/>
  <c r="F42" i="96" s="1"/>
  <c r="D41" i="96"/>
  <c r="E41" i="96" s="1"/>
  <c r="D40" i="96"/>
  <c r="F40" i="96" s="1"/>
  <c r="D39" i="96"/>
  <c r="E39" i="96" s="1"/>
  <c r="E38" i="96"/>
  <c r="D38" i="96"/>
  <c r="F38" i="96" s="1"/>
  <c r="D37" i="96"/>
  <c r="E37" i="96" s="1"/>
  <c r="D36" i="96"/>
  <c r="F36" i="96" s="1"/>
  <c r="D35" i="96"/>
  <c r="E35" i="96" s="1"/>
  <c r="E34" i="96"/>
  <c r="D34" i="96"/>
  <c r="F34" i="96" s="1"/>
  <c r="D33" i="96"/>
  <c r="E33" i="96" s="1"/>
  <c r="D32" i="96"/>
  <c r="F32" i="96" s="1"/>
  <c r="D31" i="96"/>
  <c r="E31" i="96" s="1"/>
  <c r="E30" i="96"/>
  <c r="D30" i="96"/>
  <c r="F30" i="96" s="1"/>
  <c r="D29" i="96"/>
  <c r="E29" i="96" s="1"/>
  <c r="C29" i="96"/>
  <c r="E28" i="96"/>
  <c r="E27" i="96"/>
  <c r="E26" i="96"/>
  <c r="D26" i="96"/>
  <c r="E25" i="96"/>
  <c r="D25" i="96"/>
  <c r="E24" i="96"/>
  <c r="D24" i="96"/>
  <c r="E23" i="96"/>
  <c r="D23" i="96"/>
  <c r="E22" i="96"/>
  <c r="D22" i="96"/>
  <c r="E21" i="96"/>
  <c r="D21" i="96"/>
  <c r="E20" i="96"/>
  <c r="D20" i="96"/>
  <c r="E19" i="96"/>
  <c r="D19" i="96"/>
  <c r="E18" i="96"/>
  <c r="D18" i="96"/>
  <c r="E17" i="96"/>
  <c r="D17" i="96"/>
  <c r="E16" i="96"/>
  <c r="D16" i="96"/>
  <c r="E15" i="96"/>
  <c r="D15" i="96"/>
  <c r="E14" i="96"/>
  <c r="E13" i="96" s="1"/>
  <c r="D14" i="96"/>
  <c r="D13" i="96"/>
  <c r="F13" i="96" s="1"/>
  <c r="C13" i="96"/>
  <c r="D12" i="96"/>
  <c r="E12" i="96" s="1"/>
  <c r="C12" i="96"/>
  <c r="D11" i="96"/>
  <c r="D10" i="96"/>
  <c r="E10" i="96" s="1"/>
  <c r="C10" i="96"/>
  <c r="D9" i="96"/>
  <c r="A4" i="95"/>
  <c r="A3" i="95"/>
  <c r="F105" i="95"/>
  <c r="C105" i="95"/>
  <c r="F104" i="95"/>
  <c r="F103" i="95"/>
  <c r="F102" i="95"/>
  <c r="F101" i="95"/>
  <c r="F100" i="95"/>
  <c r="H99" i="95"/>
  <c r="F99" i="95" s="1"/>
  <c r="F98" i="95"/>
  <c r="F97" i="95"/>
  <c r="F96" i="95"/>
  <c r="F95" i="95"/>
  <c r="F94" i="95"/>
  <c r="H93" i="95"/>
  <c r="G93" i="95"/>
  <c r="F93" i="95" s="1"/>
  <c r="F92" i="95"/>
  <c r="F91" i="95"/>
  <c r="F90" i="95"/>
  <c r="C90" i="95"/>
  <c r="F89" i="95"/>
  <c r="C89" i="95"/>
  <c r="F88" i="95"/>
  <c r="C88" i="95"/>
  <c r="G87" i="95"/>
  <c r="F87" i="95" s="1"/>
  <c r="C87" i="95"/>
  <c r="H86" i="95"/>
  <c r="F86" i="95"/>
  <c r="C86" i="95"/>
  <c r="F85" i="95"/>
  <c r="C85" i="95"/>
  <c r="F84" i="95"/>
  <c r="C84" i="95"/>
  <c r="G83" i="95"/>
  <c r="F83" i="95" s="1"/>
  <c r="C83" i="95"/>
  <c r="G82" i="95"/>
  <c r="F82" i="95"/>
  <c r="C82" i="95"/>
  <c r="F81" i="95"/>
  <c r="C81" i="95"/>
  <c r="F80" i="95"/>
  <c r="C80" i="95"/>
  <c r="F79" i="95"/>
  <c r="C79" i="95"/>
  <c r="F78" i="95"/>
  <c r="C78" i="95"/>
  <c r="F77" i="95"/>
  <c r="C77" i="95"/>
  <c r="F76" i="95"/>
  <c r="C76" i="95"/>
  <c r="F75" i="95"/>
  <c r="C75" i="95"/>
  <c r="F74" i="95"/>
  <c r="C74" i="95"/>
  <c r="F73" i="95"/>
  <c r="C73" i="95"/>
  <c r="F72" i="95"/>
  <c r="C72" i="95"/>
  <c r="F71" i="95"/>
  <c r="C71" i="95"/>
  <c r="F70" i="95"/>
  <c r="C70" i="95"/>
  <c r="F69" i="95"/>
  <c r="C69" i="95"/>
  <c r="F68" i="95"/>
  <c r="C68" i="95"/>
  <c r="F67" i="95"/>
  <c r="C67" i="95"/>
  <c r="F66" i="95"/>
  <c r="C66" i="95"/>
  <c r="F65" i="95"/>
  <c r="C65" i="95"/>
  <c r="F64" i="95"/>
  <c r="C64" i="95"/>
  <c r="F63" i="95"/>
  <c r="D63" i="95"/>
  <c r="C63" i="95"/>
  <c r="F62" i="95"/>
  <c r="C62" i="95"/>
  <c r="C61" i="95" s="1"/>
  <c r="H61" i="95"/>
  <c r="K61" i="95" s="1"/>
  <c r="E61" i="95"/>
  <c r="D61" i="95"/>
  <c r="F60" i="95"/>
  <c r="C60" i="95"/>
  <c r="G59" i="95"/>
  <c r="F59" i="95" s="1"/>
  <c r="C59" i="95"/>
  <c r="C57" i="95" s="1"/>
  <c r="C56" i="95" s="1"/>
  <c r="G58" i="95"/>
  <c r="F58" i="95"/>
  <c r="C58" i="95"/>
  <c r="H57" i="95"/>
  <c r="H56" i="95" s="1"/>
  <c r="E57" i="95"/>
  <c r="D57" i="95"/>
  <c r="D56" i="95" s="1"/>
  <c r="E56" i="95"/>
  <c r="F55" i="95"/>
  <c r="C55" i="95"/>
  <c r="F54" i="95"/>
  <c r="C54" i="95"/>
  <c r="J53" i="95"/>
  <c r="F53" i="95"/>
  <c r="C53" i="95"/>
  <c r="I53" i="95" s="1"/>
  <c r="F52" i="95"/>
  <c r="C52" i="95"/>
  <c r="F51" i="95"/>
  <c r="C51" i="95"/>
  <c r="F50" i="95"/>
  <c r="C50" i="95"/>
  <c r="F49" i="95"/>
  <c r="C49" i="95"/>
  <c r="F48" i="95"/>
  <c r="C48" i="95"/>
  <c r="F47" i="95"/>
  <c r="C47" i="95"/>
  <c r="F46" i="95"/>
  <c r="C46" i="95"/>
  <c r="F45" i="95"/>
  <c r="C45" i="95"/>
  <c r="F44" i="95"/>
  <c r="C44" i="95"/>
  <c r="F43" i="95"/>
  <c r="C43" i="95"/>
  <c r="F42" i="95"/>
  <c r="C42" i="95"/>
  <c r="F41" i="95"/>
  <c r="C41" i="95"/>
  <c r="H40" i="95"/>
  <c r="G40" i="95"/>
  <c r="J40" i="95" s="1"/>
  <c r="E40" i="95"/>
  <c r="E39" i="95" s="1"/>
  <c r="E38" i="95" s="1"/>
  <c r="D40" i="95"/>
  <c r="C40" i="95"/>
  <c r="C39" i="95" s="1"/>
  <c r="H39" i="95"/>
  <c r="K39" i="95" s="1"/>
  <c r="D39" i="95"/>
  <c r="H37" i="95"/>
  <c r="G37" i="95"/>
  <c r="C37" i="95"/>
  <c r="H36" i="95"/>
  <c r="G36" i="95"/>
  <c r="F36" i="95" s="1"/>
  <c r="C36" i="95"/>
  <c r="C35" i="95" s="1"/>
  <c r="H35" i="95"/>
  <c r="K35" i="95" s="1"/>
  <c r="E35" i="95"/>
  <c r="D35" i="95"/>
  <c r="H34" i="95"/>
  <c r="G34" i="95"/>
  <c r="F34" i="95" s="1"/>
  <c r="C34" i="95"/>
  <c r="H33" i="95"/>
  <c r="H32" i="95" s="1"/>
  <c r="G33" i="95"/>
  <c r="F33" i="95" s="1"/>
  <c r="C33" i="95"/>
  <c r="E32" i="95"/>
  <c r="E31" i="95" s="1"/>
  <c r="E30" i="95" s="1"/>
  <c r="D32" i="95"/>
  <c r="C32" i="95"/>
  <c r="C31" i="95" s="1"/>
  <c r="D31" i="95"/>
  <c r="H29" i="95"/>
  <c r="F29" i="95" s="1"/>
  <c r="C29" i="95"/>
  <c r="F28" i="95"/>
  <c r="C28" i="95"/>
  <c r="K27" i="95"/>
  <c r="J27" i="95"/>
  <c r="F27" i="95"/>
  <c r="I27" i="95" s="1"/>
  <c r="C27" i="95"/>
  <c r="J26" i="95"/>
  <c r="F26" i="95"/>
  <c r="I26" i="95" s="1"/>
  <c r="C26" i="95"/>
  <c r="J25" i="95"/>
  <c r="F25" i="95"/>
  <c r="I25" i="95" s="1"/>
  <c r="C25" i="95"/>
  <c r="F24" i="95"/>
  <c r="C24" i="95"/>
  <c r="F23" i="95"/>
  <c r="C23" i="95"/>
  <c r="K21" i="95"/>
  <c r="J21" i="95"/>
  <c r="F21" i="95"/>
  <c r="C21" i="95"/>
  <c r="I21" i="95" s="1"/>
  <c r="C20" i="95"/>
  <c r="F19" i="95"/>
  <c r="C19" i="95"/>
  <c r="F18" i="95"/>
  <c r="C18" i="95"/>
  <c r="F17" i="95"/>
  <c r="C17" i="95"/>
  <c r="F15" i="95"/>
  <c r="C15" i="95"/>
  <c r="H14" i="95"/>
  <c r="F14" i="95" s="1"/>
  <c r="C14" i="95"/>
  <c r="J12" i="95"/>
  <c r="H12" i="95"/>
  <c r="K12" i="95" s="1"/>
  <c r="F12" i="95"/>
  <c r="E12" i="95"/>
  <c r="C12" i="95"/>
  <c r="H11" i="95"/>
  <c r="H10" i="95" s="1"/>
  <c r="G11" i="95"/>
  <c r="J11" i="95" s="1"/>
  <c r="E11" i="95"/>
  <c r="E10" i="95" s="1"/>
  <c r="E9" i="95" s="1"/>
  <c r="D11" i="95"/>
  <c r="C11" i="95"/>
  <c r="C10" i="95" s="1"/>
  <c r="D10" i="95"/>
  <c r="A4" i="94"/>
  <c r="A3" i="94"/>
  <c r="G61" i="94"/>
  <c r="F61" i="94"/>
  <c r="G60" i="94"/>
  <c r="F60" i="94"/>
  <c r="G58" i="94"/>
  <c r="F58" i="94"/>
  <c r="F56" i="94"/>
  <c r="D56" i="94"/>
  <c r="G54" i="94"/>
  <c r="F54" i="94"/>
  <c r="G53" i="94"/>
  <c r="F53" i="94"/>
  <c r="G52" i="94"/>
  <c r="F52" i="94"/>
  <c r="G51" i="94"/>
  <c r="F51" i="94"/>
  <c r="D51" i="94"/>
  <c r="E51" i="94" s="1"/>
  <c r="B51" i="94"/>
  <c r="G50" i="94"/>
  <c r="I50" i="94" s="1"/>
  <c r="F50" i="94"/>
  <c r="D50" i="94"/>
  <c r="G49" i="94"/>
  <c r="I49" i="94" s="1"/>
  <c r="F49" i="94"/>
  <c r="H49" i="94" s="1"/>
  <c r="D49" i="94"/>
  <c r="G48" i="94"/>
  <c r="F48" i="94"/>
  <c r="E48" i="94"/>
  <c r="D48" i="94"/>
  <c r="G47" i="94"/>
  <c r="F47" i="94"/>
  <c r="E47" i="94"/>
  <c r="G46" i="94"/>
  <c r="F46" i="94"/>
  <c r="H46" i="94" s="1"/>
  <c r="D46" i="94"/>
  <c r="E46" i="94" s="1"/>
  <c r="G45" i="94"/>
  <c r="F45" i="94"/>
  <c r="D45" i="94"/>
  <c r="E45" i="94" s="1"/>
  <c r="G44" i="94"/>
  <c r="F44" i="94"/>
  <c r="H44" i="94" s="1"/>
  <c r="D44" i="94"/>
  <c r="E44" i="94" s="1"/>
  <c r="G43" i="94"/>
  <c r="F43" i="94"/>
  <c r="D43" i="94"/>
  <c r="E43" i="94" s="1"/>
  <c r="E42" i="94"/>
  <c r="E41" i="94"/>
  <c r="G40" i="94"/>
  <c r="F40" i="94"/>
  <c r="H40" i="94" s="1"/>
  <c r="D40" i="94"/>
  <c r="E40" i="94" s="1"/>
  <c r="G39" i="94"/>
  <c r="F39" i="94"/>
  <c r="D39" i="94"/>
  <c r="E39" i="94" s="1"/>
  <c r="G38" i="94"/>
  <c r="I38" i="94" s="1"/>
  <c r="F38" i="94"/>
  <c r="H38" i="94" s="1"/>
  <c r="D38" i="94"/>
  <c r="G37" i="94"/>
  <c r="F37" i="94"/>
  <c r="E37" i="94"/>
  <c r="D37" i="94"/>
  <c r="E36" i="94"/>
  <c r="H35" i="94"/>
  <c r="E35" i="94"/>
  <c r="I35" i="94" s="1"/>
  <c r="H34" i="94"/>
  <c r="E34" i="94"/>
  <c r="I34" i="94" s="1"/>
  <c r="H33" i="94"/>
  <c r="E33" i="94"/>
  <c r="I33" i="94" s="1"/>
  <c r="H32" i="94"/>
  <c r="E32" i="94"/>
  <c r="I32" i="94" s="1"/>
  <c r="G31" i="94"/>
  <c r="F31" i="94"/>
  <c r="H31" i="94" s="1"/>
  <c r="D31" i="94"/>
  <c r="E30" i="94"/>
  <c r="E29" i="94"/>
  <c r="E28" i="94"/>
  <c r="E27" i="94"/>
  <c r="H26" i="94"/>
  <c r="E26" i="94"/>
  <c r="I26" i="94" s="1"/>
  <c r="H25" i="94"/>
  <c r="E25" i="94"/>
  <c r="I25" i="94" s="1"/>
  <c r="G24" i="94"/>
  <c r="F24" i="94"/>
  <c r="H24" i="94" s="1"/>
  <c r="D24" i="94"/>
  <c r="E23" i="94"/>
  <c r="H22" i="94"/>
  <c r="E22" i="94"/>
  <c r="I22" i="94" s="1"/>
  <c r="E21" i="94"/>
  <c r="H20" i="94"/>
  <c r="E20" i="94"/>
  <c r="I20" i="94" s="1"/>
  <c r="H19" i="94"/>
  <c r="E19" i="94"/>
  <c r="I19" i="94" s="1"/>
  <c r="G18" i="94"/>
  <c r="I18" i="94" s="1"/>
  <c r="F18" i="94"/>
  <c r="H18" i="94" s="1"/>
  <c r="E18" i="94"/>
  <c r="D18" i="94"/>
  <c r="E17" i="94"/>
  <c r="H16" i="94"/>
  <c r="E16" i="94"/>
  <c r="I16" i="94" s="1"/>
  <c r="E15" i="94"/>
  <c r="H14" i="94"/>
  <c r="E14" i="94"/>
  <c r="I14" i="94" s="1"/>
  <c r="H13" i="94"/>
  <c r="E13" i="94"/>
  <c r="I13" i="94" s="1"/>
  <c r="G12" i="94"/>
  <c r="F12" i="94"/>
  <c r="H12" i="94" s="1"/>
  <c r="D12" i="94"/>
  <c r="G11" i="94"/>
  <c r="G10" i="94" s="1"/>
  <c r="G9" i="94" s="1"/>
  <c r="D11" i="94"/>
  <c r="D10" i="94" s="1"/>
  <c r="D9" i="94" s="1"/>
  <c r="F41" i="93"/>
  <c r="E41" i="93"/>
  <c r="F40" i="93"/>
  <c r="E40" i="93"/>
  <c r="D39" i="93"/>
  <c r="F39" i="93" s="1"/>
  <c r="C39" i="93"/>
  <c r="D38" i="93"/>
  <c r="D37" i="93"/>
  <c r="E37" i="93" s="1"/>
  <c r="C36" i="93"/>
  <c r="D34" i="93"/>
  <c r="C34" i="93"/>
  <c r="D33" i="93"/>
  <c r="E33" i="93" s="1"/>
  <c r="C33" i="93"/>
  <c r="D32" i="93"/>
  <c r="E32" i="93" s="1"/>
  <c r="C32" i="93"/>
  <c r="D31" i="93"/>
  <c r="E31" i="93" s="1"/>
  <c r="C31" i="93"/>
  <c r="D30" i="93"/>
  <c r="C30" i="93"/>
  <c r="D29" i="93"/>
  <c r="C29" i="93"/>
  <c r="D28" i="93"/>
  <c r="C28" i="93"/>
  <c r="D27" i="93"/>
  <c r="E27" i="93" s="1"/>
  <c r="C27" i="93"/>
  <c r="D26" i="93"/>
  <c r="E26" i="93" s="1"/>
  <c r="C26" i="93"/>
  <c r="D25" i="93"/>
  <c r="E25" i="93" s="1"/>
  <c r="C25" i="93"/>
  <c r="D24" i="93"/>
  <c r="E24" i="93" s="1"/>
  <c r="C24" i="93"/>
  <c r="D23" i="93"/>
  <c r="E23" i="93" s="1"/>
  <c r="C23" i="93"/>
  <c r="D22" i="93"/>
  <c r="F22" i="93" s="1"/>
  <c r="C22" i="93"/>
  <c r="D21" i="93"/>
  <c r="D20" i="93"/>
  <c r="D19" i="93"/>
  <c r="D18" i="93"/>
  <c r="D17" i="93"/>
  <c r="D15" i="93"/>
  <c r="F15" i="93" s="1"/>
  <c r="C15" i="93"/>
  <c r="D14" i="93"/>
  <c r="F14" i="93" s="1"/>
  <c r="C14" i="93"/>
  <c r="D13" i="93"/>
  <c r="F13" i="93" s="1"/>
  <c r="C13" i="93"/>
  <c r="F12" i="93"/>
  <c r="E12" i="93"/>
  <c r="D11" i="93"/>
  <c r="F11" i="93" s="1"/>
  <c r="C10" i="93"/>
  <c r="C9" i="93"/>
  <c r="P14" i="99" l="1"/>
  <c r="P13" i="99" s="1"/>
  <c r="H14" i="99"/>
  <c r="T13" i="99"/>
  <c r="F20" i="99"/>
  <c r="W20" i="99" s="1"/>
  <c r="F24" i="99"/>
  <c r="F26" i="99"/>
  <c r="D13" i="99"/>
  <c r="H28" i="99"/>
  <c r="Y28" i="99" s="1"/>
  <c r="G29" i="99"/>
  <c r="F30" i="99"/>
  <c r="W30" i="99" s="1"/>
  <c r="G31" i="99"/>
  <c r="F32" i="99"/>
  <c r="W32" i="99" s="1"/>
  <c r="G33" i="99"/>
  <c r="F34" i="99"/>
  <c r="W34" i="99" s="1"/>
  <c r="G35" i="99"/>
  <c r="F36" i="99"/>
  <c r="W36" i="99" s="1"/>
  <c r="G12" i="98"/>
  <c r="C12" i="98"/>
  <c r="G14" i="98"/>
  <c r="C14" i="98"/>
  <c r="G16" i="98"/>
  <c r="C16" i="98"/>
  <c r="G18" i="98"/>
  <c r="C18" i="98"/>
  <c r="T11" i="98"/>
  <c r="V11" i="98"/>
  <c r="AD11" i="98" s="1"/>
  <c r="Q13" i="98"/>
  <c r="S13" i="98" s="1"/>
  <c r="Q15" i="98"/>
  <c r="Q17" i="98"/>
  <c r="Y17" i="98" s="1"/>
  <c r="Q19" i="98"/>
  <c r="Y12" i="98"/>
  <c r="AC12" i="98"/>
  <c r="Y14" i="98"/>
  <c r="AC14" i="98"/>
  <c r="Y16" i="98"/>
  <c r="AC16" i="98"/>
  <c r="Y18" i="98"/>
  <c r="AC18" i="98"/>
  <c r="E13" i="98"/>
  <c r="I11" i="98"/>
  <c r="Y13" i="98"/>
  <c r="Q11" i="98"/>
  <c r="Y15" i="98"/>
  <c r="S15" i="98"/>
  <c r="AA15" i="98" s="1"/>
  <c r="S17" i="98"/>
  <c r="AA17" i="98" s="1"/>
  <c r="Y19" i="98"/>
  <c r="S19" i="98"/>
  <c r="AA19" i="98" s="1"/>
  <c r="AC11" i="98"/>
  <c r="X12" i="98"/>
  <c r="O12" i="98"/>
  <c r="C13" i="98"/>
  <c r="C11" i="98" s="1"/>
  <c r="X14" i="98"/>
  <c r="O14" i="98"/>
  <c r="W14" i="98" s="1"/>
  <c r="X16" i="98"/>
  <c r="O16" i="98"/>
  <c r="W16" i="98" s="1"/>
  <c r="X18" i="98"/>
  <c r="O18" i="98"/>
  <c r="W18" i="98" s="1"/>
  <c r="AD12" i="98"/>
  <c r="P13" i="98"/>
  <c r="P11" i="98" s="1"/>
  <c r="X11" i="98" s="1"/>
  <c r="AC13" i="98"/>
  <c r="P15" i="98"/>
  <c r="AC15" i="98"/>
  <c r="P17" i="98"/>
  <c r="AC17" i="98"/>
  <c r="P19" i="98"/>
  <c r="AC19" i="98"/>
  <c r="D11" i="98"/>
  <c r="S12" i="98"/>
  <c r="S14" i="98"/>
  <c r="AA14" i="98" s="1"/>
  <c r="S16" i="98"/>
  <c r="S18" i="98"/>
  <c r="AA18" i="98" s="1"/>
  <c r="Y10" i="97"/>
  <c r="C12" i="97"/>
  <c r="W22" i="97"/>
  <c r="K26" i="97"/>
  <c r="V26" i="97" s="1"/>
  <c r="K30" i="97"/>
  <c r="V30" i="97" s="1"/>
  <c r="W32" i="97"/>
  <c r="W33" i="97"/>
  <c r="K34" i="97"/>
  <c r="V34" i="97" s="1"/>
  <c r="K36" i="97"/>
  <c r="W39" i="97"/>
  <c r="W42" i="97"/>
  <c r="L44" i="97"/>
  <c r="D47" i="97"/>
  <c r="K51" i="97"/>
  <c r="V51" i="97" s="1"/>
  <c r="M53" i="97"/>
  <c r="X53" i="97" s="1"/>
  <c r="K54" i="97"/>
  <c r="V54" i="97" s="1"/>
  <c r="K59" i="97"/>
  <c r="V59" i="97" s="1"/>
  <c r="X60" i="97"/>
  <c r="K61" i="97"/>
  <c r="V61" i="97" s="1"/>
  <c r="K67" i="97"/>
  <c r="V67" i="97" s="1"/>
  <c r="M68" i="97"/>
  <c r="M71" i="97"/>
  <c r="X71" i="97" s="1"/>
  <c r="L98" i="97"/>
  <c r="W98" i="97" s="1"/>
  <c r="K101" i="97"/>
  <c r="W102" i="97"/>
  <c r="K105" i="97"/>
  <c r="W106" i="97"/>
  <c r="Y113" i="97"/>
  <c r="Z114" i="97"/>
  <c r="W19" i="97"/>
  <c r="V22" i="97"/>
  <c r="V33" i="97"/>
  <c r="C98" i="97"/>
  <c r="V36" i="97"/>
  <c r="X40" i="97"/>
  <c r="K40" i="97"/>
  <c r="V40" i="97" s="1"/>
  <c r="M15" i="97"/>
  <c r="P12" i="97"/>
  <c r="P11" i="97" s="1"/>
  <c r="AA25" i="97"/>
  <c r="M25" i="97"/>
  <c r="AA29" i="97"/>
  <c r="M29" i="97"/>
  <c r="K13" i="97"/>
  <c r="K14" i="97"/>
  <c r="V14" i="97" s="1"/>
  <c r="K16" i="97"/>
  <c r="V16" i="97" s="1"/>
  <c r="K17" i="97"/>
  <c r="V17" i="97" s="1"/>
  <c r="K18" i="97"/>
  <c r="V18" i="97" s="1"/>
  <c r="K20" i="97"/>
  <c r="V20" i="97" s="1"/>
  <c r="K21" i="97"/>
  <c r="V21" i="97" s="1"/>
  <c r="M23" i="97"/>
  <c r="K24" i="97"/>
  <c r="V24" i="97" s="1"/>
  <c r="K27" i="97"/>
  <c r="V27" i="97" s="1"/>
  <c r="M28" i="97"/>
  <c r="X28" i="97" s="1"/>
  <c r="K32" i="97"/>
  <c r="V32" i="97" s="1"/>
  <c r="M35" i="97"/>
  <c r="K39" i="97"/>
  <c r="V39" i="97" s="1"/>
  <c r="K42" i="97"/>
  <c r="V42" i="97" s="1"/>
  <c r="D44" i="97"/>
  <c r="K45" i="97"/>
  <c r="K46" i="97"/>
  <c r="V46" i="97" s="1"/>
  <c r="M47" i="97"/>
  <c r="X47" i="97" s="1"/>
  <c r="K49" i="97"/>
  <c r="V49" i="97" s="1"/>
  <c r="K50" i="97"/>
  <c r="V50" i="97" s="1"/>
  <c r="K55" i="97"/>
  <c r="X58" i="97"/>
  <c r="V60" i="97"/>
  <c r="X62" i="97"/>
  <c r="V64" i="97"/>
  <c r="X66" i="97"/>
  <c r="C70" i="97"/>
  <c r="C68" i="97" s="1"/>
  <c r="C11" i="97" s="1"/>
  <c r="C10" i="97" s="1"/>
  <c r="D68" i="97"/>
  <c r="V72" i="97"/>
  <c r="X68" i="97"/>
  <c r="X69" i="97"/>
  <c r="W70" i="97"/>
  <c r="K70" i="97"/>
  <c r="L68" i="97"/>
  <c r="K76" i="97"/>
  <c r="K77" i="97"/>
  <c r="K78" i="97"/>
  <c r="K79" i="97"/>
  <c r="K80" i="97"/>
  <c r="K100" i="97"/>
  <c r="K102" i="97"/>
  <c r="K104" i="97"/>
  <c r="K106" i="97"/>
  <c r="K113" i="97"/>
  <c r="V113" i="97" s="1"/>
  <c r="K114" i="97"/>
  <c r="V114" i="97" s="1"/>
  <c r="E9" i="96"/>
  <c r="E11" i="96"/>
  <c r="E32" i="96"/>
  <c r="E36" i="96"/>
  <c r="E40" i="96"/>
  <c r="E44" i="96"/>
  <c r="E45" i="96"/>
  <c r="E46" i="96"/>
  <c r="E47" i="96"/>
  <c r="F9" i="96"/>
  <c r="F10" i="96"/>
  <c r="F11" i="96"/>
  <c r="F12" i="96"/>
  <c r="F29" i="96"/>
  <c r="F31" i="96"/>
  <c r="F33" i="96"/>
  <c r="F35" i="96"/>
  <c r="F37" i="96"/>
  <c r="F39" i="96"/>
  <c r="F41" i="96"/>
  <c r="F43" i="96"/>
  <c r="F44" i="96"/>
  <c r="F45" i="96"/>
  <c r="F46" i="96"/>
  <c r="G32" i="95"/>
  <c r="J32" i="95" s="1"/>
  <c r="F37" i="95"/>
  <c r="I12" i="95"/>
  <c r="K56" i="95"/>
  <c r="K10" i="95"/>
  <c r="K32" i="95"/>
  <c r="H31" i="95"/>
  <c r="D38" i="95"/>
  <c r="D30" i="95" s="1"/>
  <c r="C30" i="95" s="1"/>
  <c r="C38" i="95"/>
  <c r="K11" i="95"/>
  <c r="G10" i="95"/>
  <c r="F11" i="95"/>
  <c r="F32" i="95"/>
  <c r="I32" i="95" s="1"/>
  <c r="G35" i="95"/>
  <c r="H38" i="95"/>
  <c r="K38" i="95" s="1"/>
  <c r="G39" i="95"/>
  <c r="F40" i="95"/>
  <c r="I40" i="95" s="1"/>
  <c r="G57" i="95"/>
  <c r="G61" i="95"/>
  <c r="F11" i="94"/>
  <c r="H37" i="94"/>
  <c r="H39" i="94"/>
  <c r="H43" i="94"/>
  <c r="H45" i="94"/>
  <c r="H48" i="94"/>
  <c r="H50" i="94"/>
  <c r="H51" i="94"/>
  <c r="H56" i="94"/>
  <c r="I37" i="94"/>
  <c r="I48" i="94"/>
  <c r="I31" i="94"/>
  <c r="I40" i="94"/>
  <c r="I44" i="94"/>
  <c r="I46" i="94"/>
  <c r="I39" i="94"/>
  <c r="I43" i="94"/>
  <c r="I45" i="94"/>
  <c r="I51" i="94"/>
  <c r="E12" i="94"/>
  <c r="E24" i="94"/>
  <c r="I24" i="94" s="1"/>
  <c r="E31" i="94"/>
  <c r="D10" i="93"/>
  <c r="E11" i="93"/>
  <c r="E13" i="93"/>
  <c r="E14" i="93"/>
  <c r="E15" i="93"/>
  <c r="E22" i="93"/>
  <c r="F23" i="93"/>
  <c r="F24" i="93"/>
  <c r="F25" i="93"/>
  <c r="F26" i="93"/>
  <c r="F27" i="93"/>
  <c r="F31" i="93"/>
  <c r="F32" i="93"/>
  <c r="F33" i="93"/>
  <c r="F37" i="93"/>
  <c r="E39" i="93"/>
  <c r="D36" i="93"/>
  <c r="X35" i="99" l="1"/>
  <c r="F35" i="99"/>
  <c r="W35" i="99" s="1"/>
  <c r="X33" i="99"/>
  <c r="F33" i="99"/>
  <c r="W33" i="99" s="1"/>
  <c r="X31" i="99"/>
  <c r="F31" i="99"/>
  <c r="W31" i="99" s="1"/>
  <c r="X29" i="99"/>
  <c r="F29" i="99"/>
  <c r="W29" i="99" s="1"/>
  <c r="G28" i="99"/>
  <c r="Y14" i="99"/>
  <c r="F14" i="99"/>
  <c r="H13" i="99"/>
  <c r="Y13" i="99" s="1"/>
  <c r="AA16" i="98"/>
  <c r="X17" i="98"/>
  <c r="O17" i="98"/>
  <c r="W17" i="98" s="1"/>
  <c r="AA12" i="98"/>
  <c r="S11" i="98"/>
  <c r="W12" i="98"/>
  <c r="G13" i="98"/>
  <c r="G11" i="98" s="1"/>
  <c r="E11" i="98"/>
  <c r="Y11" i="98" s="1"/>
  <c r="X19" i="98"/>
  <c r="O19" i="98"/>
  <c r="W19" i="98" s="1"/>
  <c r="X15" i="98"/>
  <c r="O15" i="98"/>
  <c r="W15" i="98" s="1"/>
  <c r="X13" i="98"/>
  <c r="O13" i="98"/>
  <c r="W13" i="98" s="1"/>
  <c r="AA13" i="98"/>
  <c r="K98" i="97"/>
  <c r="K71" i="97"/>
  <c r="V71" i="97" s="1"/>
  <c r="D11" i="97"/>
  <c r="D10" i="97" s="1"/>
  <c r="K28" i="97"/>
  <c r="V28" i="97" s="1"/>
  <c r="M12" i="97"/>
  <c r="M11" i="97" s="1"/>
  <c r="X12" i="97"/>
  <c r="W68" i="97"/>
  <c r="V55" i="97"/>
  <c r="K53" i="97"/>
  <c r="V53" i="97" s="1"/>
  <c r="K47" i="97"/>
  <c r="V47" i="97" s="1"/>
  <c r="V45" i="97"/>
  <c r="K44" i="97"/>
  <c r="V44" i="97" s="1"/>
  <c r="K35" i="97"/>
  <c r="V35" i="97" s="1"/>
  <c r="X35" i="97"/>
  <c r="K23" i="97"/>
  <c r="V23" i="97" s="1"/>
  <c r="X23" i="97"/>
  <c r="K29" i="97"/>
  <c r="V29" i="97" s="1"/>
  <c r="X29" i="97"/>
  <c r="K25" i="97"/>
  <c r="V25" i="97" s="1"/>
  <c r="X25" i="97"/>
  <c r="AA11" i="97"/>
  <c r="P10" i="97"/>
  <c r="AA10" i="97" s="1"/>
  <c r="W44" i="97"/>
  <c r="V70" i="97"/>
  <c r="K68" i="97"/>
  <c r="V68" i="97" s="1"/>
  <c r="V13" i="97"/>
  <c r="L11" i="97"/>
  <c r="X15" i="97"/>
  <c r="K15" i="97"/>
  <c r="V15" i="97" s="1"/>
  <c r="J57" i="95"/>
  <c r="F57" i="95"/>
  <c r="G56" i="95"/>
  <c r="J39" i="95"/>
  <c r="F39" i="95"/>
  <c r="J35" i="95"/>
  <c r="F35" i="95"/>
  <c r="I35" i="95" s="1"/>
  <c r="G31" i="95"/>
  <c r="I11" i="95"/>
  <c r="F10" i="95"/>
  <c r="D9" i="95"/>
  <c r="C9" i="95" s="1"/>
  <c r="J61" i="95"/>
  <c r="F61" i="95"/>
  <c r="I61" i="95" s="1"/>
  <c r="J10" i="95"/>
  <c r="K31" i="95"/>
  <c r="H30" i="95"/>
  <c r="H11" i="94"/>
  <c r="F10" i="94"/>
  <c r="E11" i="94"/>
  <c r="I12" i="94"/>
  <c r="E10" i="93"/>
  <c r="F10" i="93"/>
  <c r="D9" i="93"/>
  <c r="F36" i="93"/>
  <c r="E36" i="93"/>
  <c r="F19" i="89"/>
  <c r="W14" i="99" l="1"/>
  <c r="G13" i="99"/>
  <c r="X13" i="99" s="1"/>
  <c r="X28" i="99"/>
  <c r="F28" i="99"/>
  <c r="W28" i="99" s="1"/>
  <c r="O11" i="98"/>
  <c r="W11" i="98" s="1"/>
  <c r="AA11" i="98"/>
  <c r="K12" i="97"/>
  <c r="K11" i="97" s="1"/>
  <c r="W11" i="97"/>
  <c r="L10" i="97"/>
  <c r="W10" i="97" s="1"/>
  <c r="V12" i="97"/>
  <c r="M10" i="97"/>
  <c r="X10" i="97" s="1"/>
  <c r="X11" i="97"/>
  <c r="K30" i="95"/>
  <c r="H9" i="95"/>
  <c r="K9" i="95" s="1"/>
  <c r="I10" i="95"/>
  <c r="J31" i="95"/>
  <c r="F31" i="95"/>
  <c r="G30" i="95"/>
  <c r="I39" i="95"/>
  <c r="F38" i="95"/>
  <c r="I38" i="95" s="1"/>
  <c r="J56" i="95"/>
  <c r="G38" i="95"/>
  <c r="J38" i="95" s="1"/>
  <c r="I57" i="95"/>
  <c r="F56" i="95"/>
  <c r="I56" i="95" s="1"/>
  <c r="H10" i="94"/>
  <c r="F9" i="94"/>
  <c r="H9" i="94" s="1"/>
  <c r="E10" i="94"/>
  <c r="I11" i="94"/>
  <c r="D35" i="93"/>
  <c r="E9" i="93"/>
  <c r="F9" i="93"/>
  <c r="F13" i="99" l="1"/>
  <c r="W13" i="99" s="1"/>
  <c r="K10" i="97"/>
  <c r="V10" i="97" s="1"/>
  <c r="V11" i="97"/>
  <c r="J30" i="95"/>
  <c r="G9" i="95"/>
  <c r="J9" i="95" s="1"/>
  <c r="I31" i="95"/>
  <c r="F30" i="95"/>
  <c r="E9" i="94"/>
  <c r="I9" i="94" s="1"/>
  <c r="I10" i="94"/>
  <c r="I30" i="95" l="1"/>
  <c r="F9" i="95"/>
  <c r="I9" i="95" s="1"/>
  <c r="C8" i="70" l="1"/>
  <c r="C44" i="70" s="1"/>
  <c r="S44" i="70"/>
  <c r="R44" i="70"/>
  <c r="Q44" i="70"/>
  <c r="O44" i="70"/>
  <c r="M44" i="70"/>
  <c r="L44" i="70"/>
  <c r="K44" i="70"/>
  <c r="J44" i="70"/>
  <c r="I44" i="70"/>
  <c r="H44" i="70"/>
  <c r="G44" i="70"/>
  <c r="F44" i="70"/>
  <c r="T43" i="70"/>
  <c r="C9" i="70"/>
  <c r="C34" i="70"/>
  <c r="C22" i="78" l="1"/>
  <c r="A3" i="89" l="1"/>
  <c r="E11" i="85"/>
  <c r="C18" i="85"/>
  <c r="E13" i="87"/>
  <c r="C25" i="51"/>
  <c r="F28" i="82" l="1"/>
  <c r="H11" i="82" l="1"/>
  <c r="E63" i="82"/>
  <c r="E11" i="82"/>
  <c r="F38" i="82" l="1"/>
  <c r="F44" i="92"/>
  <c r="H15" i="88"/>
  <c r="H66" i="80"/>
  <c r="C34" i="78" l="1"/>
  <c r="C13" i="78"/>
  <c r="C10" i="78"/>
  <c r="E50" i="92" l="1"/>
  <c r="G47" i="92"/>
  <c r="F47" i="92"/>
  <c r="E47" i="92"/>
  <c r="E46" i="92"/>
  <c r="H45" i="92"/>
  <c r="G45" i="92"/>
  <c r="F45" i="92"/>
  <c r="E45" i="92"/>
  <c r="E44" i="92"/>
  <c r="E42" i="92"/>
  <c r="J42" i="92" s="1"/>
  <c r="E41" i="92"/>
  <c r="J41" i="92" s="1"/>
  <c r="E40" i="92"/>
  <c r="J40" i="92" s="1"/>
  <c r="E39" i="92"/>
  <c r="J39" i="92" s="1"/>
  <c r="E38" i="92"/>
  <c r="J38" i="92" s="1"/>
  <c r="I37" i="92"/>
  <c r="E37" i="92"/>
  <c r="J37" i="92" s="1"/>
  <c r="J36" i="92"/>
  <c r="E36" i="92"/>
  <c r="J35" i="92"/>
  <c r="E35" i="92"/>
  <c r="J34" i="92"/>
  <c r="E34" i="92"/>
  <c r="J33" i="92"/>
  <c r="E33" i="92"/>
  <c r="E32" i="92"/>
  <c r="J32" i="92" s="1"/>
  <c r="I31" i="92"/>
  <c r="E31" i="92"/>
  <c r="J31" i="92" s="1"/>
  <c r="J30" i="92"/>
  <c r="E30" i="92"/>
  <c r="J29" i="92"/>
  <c r="E29" i="92"/>
  <c r="H28" i="92"/>
  <c r="G28" i="92"/>
  <c r="F28" i="92"/>
  <c r="E28" i="92"/>
  <c r="J28" i="92" s="1"/>
  <c r="D28" i="92"/>
  <c r="I27" i="92"/>
  <c r="E27" i="92"/>
  <c r="J27" i="92" s="1"/>
  <c r="E26" i="92"/>
  <c r="E25" i="92"/>
  <c r="J25" i="92" s="1"/>
  <c r="E24" i="92"/>
  <c r="J24" i="92" s="1"/>
  <c r="E23" i="92"/>
  <c r="J22" i="92"/>
  <c r="E22" i="92"/>
  <c r="J21" i="92"/>
  <c r="E21" i="92"/>
  <c r="J20" i="92"/>
  <c r="E20" i="92"/>
  <c r="J19" i="92"/>
  <c r="E19" i="92"/>
  <c r="J18" i="92"/>
  <c r="E18" i="92"/>
  <c r="J17" i="92"/>
  <c r="E17" i="92"/>
  <c r="J16" i="92"/>
  <c r="E16" i="92"/>
  <c r="J15" i="92"/>
  <c r="E15" i="92"/>
  <c r="J14" i="92"/>
  <c r="E14" i="92"/>
  <c r="E13" i="92"/>
  <c r="E12" i="92"/>
  <c r="J12" i="92" s="1"/>
  <c r="H11" i="92"/>
  <c r="G11" i="92"/>
  <c r="F11" i="92"/>
  <c r="E11" i="92" s="1"/>
  <c r="J11" i="92" s="1"/>
  <c r="D11" i="92"/>
  <c r="H10" i="92"/>
  <c r="G10" i="92"/>
  <c r="F10" i="92"/>
  <c r="E10" i="92"/>
  <c r="I10" i="92" s="1"/>
  <c r="D10" i="92"/>
  <c r="C10" i="92"/>
  <c r="H9" i="92"/>
  <c r="H51" i="92" s="1"/>
  <c r="G9" i="92"/>
  <c r="G51" i="92" s="1"/>
  <c r="F9" i="92"/>
  <c r="F51" i="92" s="1"/>
  <c r="E9" i="92"/>
  <c r="I9" i="92" s="1"/>
  <c r="D9" i="92"/>
  <c r="D51" i="92" s="1"/>
  <c r="C9" i="92"/>
  <c r="C51" i="92" s="1"/>
  <c r="J9" i="92" l="1"/>
  <c r="J10" i="92"/>
  <c r="I28" i="92"/>
  <c r="I32" i="92"/>
  <c r="I42" i="92"/>
  <c r="E51" i="92"/>
  <c r="J51" i="92" l="1"/>
  <c r="I51" i="92"/>
  <c r="E11" i="80" l="1"/>
  <c r="I7" i="89" l="1"/>
  <c r="A3" i="82" l="1"/>
  <c r="BZ578" i="91" l="1"/>
  <c r="CQ578" i="91" s="1"/>
  <c r="BX578" i="91"/>
  <c r="BO578" i="91" s="1"/>
  <c r="BK578" i="91"/>
  <c r="BF578" i="91"/>
  <c r="CM578" i="91" s="1"/>
  <c r="BC578" i="91"/>
  <c r="T578" i="91"/>
  <c r="T576" i="91" s="1"/>
  <c r="T575" i="91" s="1"/>
  <c r="H578" i="91"/>
  <c r="CA577" i="91"/>
  <c r="CA576" i="91" s="1"/>
  <c r="CA575" i="91" s="1"/>
  <c r="BZ577" i="91"/>
  <c r="BX577" i="91"/>
  <c r="BX576" i="91" s="1"/>
  <c r="BX575" i="91" s="1"/>
  <c r="BX571" i="91" s="1"/>
  <c r="BK577" i="91"/>
  <c r="BJ577" i="91"/>
  <c r="BJ576" i="91" s="1"/>
  <c r="BJ575" i="91" s="1"/>
  <c r="BJ571" i="91" s="1"/>
  <c r="BF577" i="91"/>
  <c r="CM577" i="91" s="1"/>
  <c r="AI577" i="91"/>
  <c r="AI576" i="91" s="1"/>
  <c r="AI575" i="91" s="1"/>
  <c r="T577" i="91"/>
  <c r="H577" i="91"/>
  <c r="CE576" i="91"/>
  <c r="CD576" i="91"/>
  <c r="CC576" i="91"/>
  <c r="CB576" i="91"/>
  <c r="BY576" i="91"/>
  <c r="BY575" i="91" s="1"/>
  <c r="BW576" i="91"/>
  <c r="BW575" i="91" s="1"/>
  <c r="BV576" i="91"/>
  <c r="BU576" i="91"/>
  <c r="BT576" i="91"/>
  <c r="BS576" i="91"/>
  <c r="BS575" i="91" s="1"/>
  <c r="BR576" i="91"/>
  <c r="BQ576" i="91"/>
  <c r="BP576" i="91"/>
  <c r="BN576" i="91"/>
  <c r="BN575" i="91" s="1"/>
  <c r="BM576" i="91"/>
  <c r="BL576" i="91"/>
  <c r="BL575" i="91" s="1"/>
  <c r="BI576" i="91"/>
  <c r="BH576" i="91"/>
  <c r="BG576" i="91"/>
  <c r="BE576" i="91"/>
  <c r="BD576" i="91"/>
  <c r="BC576" i="91"/>
  <c r="BC575" i="91" s="1"/>
  <c r="BB576" i="91"/>
  <c r="BA576" i="91"/>
  <c r="AZ576" i="91"/>
  <c r="AX576" i="91"/>
  <c r="AX575" i="91" s="1"/>
  <c r="AW576" i="91"/>
  <c r="AV576" i="91"/>
  <c r="AV575" i="91" s="1"/>
  <c r="AU576" i="91"/>
  <c r="AT576" i="91"/>
  <c r="AT575" i="91" s="1"/>
  <c r="AR576" i="91"/>
  <c r="AQ576" i="91"/>
  <c r="AQ575" i="91" s="1"/>
  <c r="AP576" i="91"/>
  <c r="AO576" i="91"/>
  <c r="AO575" i="91" s="1"/>
  <c r="AN576" i="91"/>
  <c r="AM576" i="91"/>
  <c r="AM575" i="91" s="1"/>
  <c r="AL576" i="91"/>
  <c r="AK576" i="91"/>
  <c r="AK575" i="91" s="1"/>
  <c r="AJ576" i="91"/>
  <c r="AH576" i="91"/>
  <c r="AG576" i="91"/>
  <c r="AG575" i="91" s="1"/>
  <c r="AF576" i="91"/>
  <c r="AC576" i="91"/>
  <c r="AC575" i="91" s="1"/>
  <c r="AB576" i="91"/>
  <c r="AA576" i="91"/>
  <c r="AA575" i="91" s="1"/>
  <c r="Z576" i="91"/>
  <c r="Y576" i="91"/>
  <c r="Y575" i="91" s="1"/>
  <c r="X576" i="91"/>
  <c r="W576" i="91"/>
  <c r="W575" i="91" s="1"/>
  <c r="V576" i="91"/>
  <c r="U576" i="91"/>
  <c r="U575" i="91" s="1"/>
  <c r="S576" i="91"/>
  <c r="S575" i="91" s="1"/>
  <c r="Q576" i="91"/>
  <c r="P576" i="91"/>
  <c r="P575" i="91" s="1"/>
  <c r="O576" i="91"/>
  <c r="N576" i="91"/>
  <c r="N575" i="91" s="1"/>
  <c r="M576" i="91"/>
  <c r="L576" i="91"/>
  <c r="L575" i="91" s="1"/>
  <c r="K576" i="91"/>
  <c r="J576" i="91"/>
  <c r="J575" i="91" s="1"/>
  <c r="I576" i="91"/>
  <c r="H576" i="91"/>
  <c r="H575" i="91" s="1"/>
  <c r="E576" i="91"/>
  <c r="D576" i="91"/>
  <c r="D575" i="91" s="1"/>
  <c r="CE575" i="91"/>
  <c r="CD575" i="91"/>
  <c r="CC575" i="91"/>
  <c r="CB575" i="91"/>
  <c r="BV575" i="91"/>
  <c r="BT575" i="91"/>
  <c r="BP575" i="91"/>
  <c r="BP571" i="91" s="1"/>
  <c r="BM575" i="91"/>
  <c r="BM571" i="91" s="1"/>
  <c r="BI575" i="91"/>
  <c r="BH575" i="91"/>
  <c r="BH571" i="91" s="1"/>
  <c r="BG575" i="91"/>
  <c r="BD575" i="91"/>
  <c r="AZ575" i="91"/>
  <c r="AZ571" i="91" s="1"/>
  <c r="AW575" i="91"/>
  <c r="AW571" i="91" s="1"/>
  <c r="AU575" i="91"/>
  <c r="AU571" i="91" s="1"/>
  <c r="AR575" i="91"/>
  <c r="AR571" i="91" s="1"/>
  <c r="AP575" i="91"/>
  <c r="AP571" i="91" s="1"/>
  <c r="AN575" i="91"/>
  <c r="AN571" i="91" s="1"/>
  <c r="AL575" i="91"/>
  <c r="AL571" i="91" s="1"/>
  <c r="AJ575" i="91"/>
  <c r="AJ571" i="91" s="1"/>
  <c r="AH575" i="91"/>
  <c r="AH571" i="91" s="1"/>
  <c r="AF575" i="91"/>
  <c r="AF571" i="91" s="1"/>
  <c r="AB575" i="91"/>
  <c r="AB571" i="91" s="1"/>
  <c r="Z575" i="91"/>
  <c r="Z571" i="91" s="1"/>
  <c r="X575" i="91"/>
  <c r="X571" i="91" s="1"/>
  <c r="V575" i="91"/>
  <c r="V571" i="91" s="1"/>
  <c r="Q575" i="91"/>
  <c r="Q571" i="91" s="1"/>
  <c r="O575" i="91"/>
  <c r="O571" i="91" s="1"/>
  <c r="M575" i="91"/>
  <c r="M571" i="91" s="1"/>
  <c r="K575" i="91"/>
  <c r="K571" i="91" s="1"/>
  <c r="I575" i="91"/>
  <c r="I571" i="91" s="1"/>
  <c r="E575" i="91"/>
  <c r="E571" i="91" s="1"/>
  <c r="CA574" i="91"/>
  <c r="BS574" i="91"/>
  <c r="BS573" i="91" s="1"/>
  <c r="BK574" i="91"/>
  <c r="BK573" i="91" s="1"/>
  <c r="BK572" i="91" s="1"/>
  <c r="BC574" i="91"/>
  <c r="T574" i="91"/>
  <c r="T573" i="91" s="1"/>
  <c r="T572" i="91" s="1"/>
  <c r="H574" i="91"/>
  <c r="CE573" i="91"/>
  <c r="CE572" i="91" s="1"/>
  <c r="CD573" i="91"/>
  <c r="CC573" i="91"/>
  <c r="CC572" i="91" s="1"/>
  <c r="CC571" i="91" s="1"/>
  <c r="CB573" i="91"/>
  <c r="CA573" i="91"/>
  <c r="CA572" i="91" s="1"/>
  <c r="BZ573" i="91"/>
  <c r="BY573" i="91"/>
  <c r="BY572" i="91" s="1"/>
  <c r="BY571" i="91" s="1"/>
  <c r="BX573" i="91"/>
  <c r="BW573" i="91"/>
  <c r="BW572" i="91" s="1"/>
  <c r="BW571" i="91" s="1"/>
  <c r="BV573" i="91"/>
  <c r="BT573" i="91"/>
  <c r="BT572" i="91" s="1"/>
  <c r="BT571" i="91" s="1"/>
  <c r="BP573" i="91"/>
  <c r="BN573" i="91"/>
  <c r="BN572" i="91" s="1"/>
  <c r="BN571" i="91" s="1"/>
  <c r="BM573" i="91"/>
  <c r="BL573" i="91"/>
  <c r="BL572" i="91" s="1"/>
  <c r="BL571" i="91" s="1"/>
  <c r="BJ573" i="91"/>
  <c r="BI573" i="91"/>
  <c r="BI572" i="91" s="1"/>
  <c r="BI571" i="91" s="1"/>
  <c r="BH573" i="91"/>
  <c r="BG573" i="91"/>
  <c r="BG572" i="91" s="1"/>
  <c r="BG571" i="91" s="1"/>
  <c r="BF573" i="91"/>
  <c r="BD573" i="91"/>
  <c r="BD572" i="91" s="1"/>
  <c r="BD571" i="91" s="1"/>
  <c r="AZ573" i="91"/>
  <c r="AX573" i="91"/>
  <c r="AX572" i="91" s="1"/>
  <c r="AX571" i="91" s="1"/>
  <c r="AW573" i="91"/>
  <c r="AV573" i="91"/>
  <c r="AV572" i="91" s="1"/>
  <c r="AV571" i="91" s="1"/>
  <c r="AU573" i="91"/>
  <c r="AT573" i="91"/>
  <c r="AT572" i="91" s="1"/>
  <c r="AT571" i="91" s="1"/>
  <c r="AR573" i="91"/>
  <c r="AQ573" i="91"/>
  <c r="AQ572" i="91" s="1"/>
  <c r="AQ571" i="91" s="1"/>
  <c r="AP573" i="91"/>
  <c r="AO573" i="91"/>
  <c r="AO572" i="91" s="1"/>
  <c r="AO571" i="91" s="1"/>
  <c r="AN573" i="91"/>
  <c r="AM573" i="91"/>
  <c r="AM572" i="91" s="1"/>
  <c r="AM571" i="91" s="1"/>
  <c r="AL573" i="91"/>
  <c r="AK573" i="91"/>
  <c r="AK572" i="91" s="1"/>
  <c r="AK571" i="91" s="1"/>
  <c r="AJ573" i="91"/>
  <c r="AI573" i="91"/>
  <c r="AI572" i="91" s="1"/>
  <c r="AI571" i="91" s="1"/>
  <c r="AH573" i="91"/>
  <c r="AG573" i="91"/>
  <c r="AG572" i="91" s="1"/>
  <c r="AG571" i="91" s="1"/>
  <c r="AF573" i="91"/>
  <c r="AC573" i="91"/>
  <c r="AC572" i="91" s="1"/>
  <c r="AC571" i="91" s="1"/>
  <c r="AB573" i="91"/>
  <c r="AA573" i="91"/>
  <c r="AA572" i="91" s="1"/>
  <c r="AA571" i="91" s="1"/>
  <c r="Z573" i="91"/>
  <c r="Y573" i="91"/>
  <c r="Y572" i="91" s="1"/>
  <c r="Y571" i="91" s="1"/>
  <c r="X573" i="91"/>
  <c r="W573" i="91"/>
  <c r="W572" i="91" s="1"/>
  <c r="W571" i="91" s="1"/>
  <c r="V573" i="91"/>
  <c r="U573" i="91"/>
  <c r="U572" i="91" s="1"/>
  <c r="U571" i="91" s="1"/>
  <c r="S573" i="91"/>
  <c r="Q573" i="91"/>
  <c r="P573" i="91"/>
  <c r="O573" i="91"/>
  <c r="N573" i="91"/>
  <c r="M573" i="91"/>
  <c r="L573" i="91"/>
  <c r="K573" i="91"/>
  <c r="J573" i="91"/>
  <c r="I573" i="91"/>
  <c r="H573" i="91"/>
  <c r="E573" i="91"/>
  <c r="D573" i="91"/>
  <c r="CD572" i="91"/>
  <c r="CD571" i="91" s="1"/>
  <c r="CB572" i="91"/>
  <c r="BZ572" i="91"/>
  <c r="BX572" i="91"/>
  <c r="BV572" i="91"/>
  <c r="BP572" i="91"/>
  <c r="BM572" i="91"/>
  <c r="BJ572" i="91"/>
  <c r="BH572" i="91"/>
  <c r="BF572" i="91"/>
  <c r="AZ572" i="91"/>
  <c r="AW572" i="91"/>
  <c r="AU572" i="91"/>
  <c r="AR572" i="91"/>
  <c r="AP572" i="91"/>
  <c r="AN572" i="91"/>
  <c r="AL572" i="91"/>
  <c r="AJ572" i="91"/>
  <c r="AH572" i="91"/>
  <c r="AF572" i="91"/>
  <c r="AB572" i="91"/>
  <c r="Z572" i="91"/>
  <c r="X572" i="91"/>
  <c r="V572" i="91"/>
  <c r="S572" i="91"/>
  <c r="Q572" i="91"/>
  <c r="P572" i="91"/>
  <c r="P571" i="91" s="1"/>
  <c r="O572" i="91"/>
  <c r="N572" i="91"/>
  <c r="M572" i="91"/>
  <c r="L572" i="91"/>
  <c r="L571" i="91" s="1"/>
  <c r="K572" i="91"/>
  <c r="J572" i="91"/>
  <c r="I572" i="91"/>
  <c r="H572" i="91"/>
  <c r="H571" i="91" s="1"/>
  <c r="E572" i="91"/>
  <c r="D572" i="91"/>
  <c r="CS571" i="91"/>
  <c r="CE571" i="91"/>
  <c r="BV571" i="91"/>
  <c r="BU571" i="91"/>
  <c r="BR571" i="91"/>
  <c r="BQ571" i="91"/>
  <c r="BE571" i="91"/>
  <c r="BB571" i="91"/>
  <c r="BA571" i="91"/>
  <c r="S571" i="91"/>
  <c r="N571" i="91"/>
  <c r="J571" i="91"/>
  <c r="D571" i="91"/>
  <c r="CA570" i="91"/>
  <c r="CA569" i="91" s="1"/>
  <c r="BS570" i="91"/>
  <c r="BK570" i="91"/>
  <c r="CR570" i="91" s="1"/>
  <c r="BC570" i="91"/>
  <c r="AY570" i="91" s="1"/>
  <c r="AY569" i="91" s="1"/>
  <c r="AY568" i="91" s="1"/>
  <c r="AI570" i="91"/>
  <c r="T570" i="91"/>
  <c r="H570" i="91"/>
  <c r="CS569" i="91"/>
  <c r="CE569" i="91"/>
  <c r="CD569" i="91"/>
  <c r="CD568" i="91" s="1"/>
  <c r="CC569" i="91"/>
  <c r="CB569" i="91"/>
  <c r="CB568" i="91" s="1"/>
  <c r="BZ569" i="91"/>
  <c r="BY569" i="91"/>
  <c r="BY568" i="91" s="1"/>
  <c r="BX569" i="91"/>
  <c r="BW569" i="91"/>
  <c r="BW568" i="91" s="1"/>
  <c r="BV569" i="91"/>
  <c r="BU569" i="91"/>
  <c r="BU568" i="91" s="1"/>
  <c r="BT569" i="91"/>
  <c r="BS569" i="91"/>
  <c r="BS568" i="91" s="1"/>
  <c r="BR569" i="91"/>
  <c r="BQ569" i="91"/>
  <c r="BQ568" i="91" s="1"/>
  <c r="BP569" i="91"/>
  <c r="BN569" i="91"/>
  <c r="BN568" i="91" s="1"/>
  <c r="BM569" i="91"/>
  <c r="BL569" i="91"/>
  <c r="BL568" i="91" s="1"/>
  <c r="BJ569" i="91"/>
  <c r="BI569" i="91"/>
  <c r="BI568" i="91" s="1"/>
  <c r="BH569" i="91"/>
  <c r="BG569" i="91"/>
  <c r="BG568" i="91" s="1"/>
  <c r="BF569" i="91"/>
  <c r="BE569" i="91"/>
  <c r="BD569" i="91"/>
  <c r="BC569" i="91"/>
  <c r="BB569" i="91"/>
  <c r="BA569" i="91"/>
  <c r="AZ569" i="91"/>
  <c r="AX569" i="91"/>
  <c r="AW569" i="91"/>
  <c r="AV569" i="91"/>
  <c r="AU569" i="91"/>
  <c r="AT569" i="91"/>
  <c r="AR569" i="91"/>
  <c r="AQ569" i="91"/>
  <c r="AP569" i="91"/>
  <c r="AO569" i="91"/>
  <c r="AN569" i="91"/>
  <c r="AM569" i="91"/>
  <c r="AL569" i="91"/>
  <c r="AK569" i="91"/>
  <c r="AJ569" i="91"/>
  <c r="AI569" i="91"/>
  <c r="AH569" i="91"/>
  <c r="AG569" i="91"/>
  <c r="AF569" i="91"/>
  <c r="AD569" i="91"/>
  <c r="AC569" i="91"/>
  <c r="AB569" i="91"/>
  <c r="AA569" i="91"/>
  <c r="Z569" i="91"/>
  <c r="Y569" i="91"/>
  <c r="X569" i="91"/>
  <c r="W569" i="91"/>
  <c r="V569" i="91"/>
  <c r="U569" i="91"/>
  <c r="T569" i="91"/>
  <c r="S569" i="91"/>
  <c r="Q569" i="91"/>
  <c r="P569" i="91"/>
  <c r="O569" i="91"/>
  <c r="N569" i="91"/>
  <c r="M569" i="91"/>
  <c r="L569" i="91"/>
  <c r="K569" i="91"/>
  <c r="J569" i="91"/>
  <c r="I569" i="91"/>
  <c r="H569" i="91" s="1"/>
  <c r="H568" i="91" s="1"/>
  <c r="E569" i="91"/>
  <c r="D569" i="91"/>
  <c r="CE568" i="91"/>
  <c r="CC568" i="91"/>
  <c r="BZ568" i="91"/>
  <c r="BX568" i="91"/>
  <c r="BV568" i="91"/>
  <c r="BT568" i="91"/>
  <c r="BR568" i="91"/>
  <c r="BP568" i="91"/>
  <c r="BM568" i="91"/>
  <c r="BJ568" i="91"/>
  <c r="BH568" i="91"/>
  <c r="BF568" i="91"/>
  <c r="BD568" i="91"/>
  <c r="BC568" i="91"/>
  <c r="AZ568" i="91"/>
  <c r="AX568" i="91"/>
  <c r="AW568" i="91"/>
  <c r="AV568" i="91"/>
  <c r="AU568" i="91"/>
  <c r="AT568" i="91"/>
  <c r="AR568" i="91"/>
  <c r="AQ568" i="91"/>
  <c r="AP568" i="91"/>
  <c r="AO568" i="91"/>
  <c r="AN568" i="91"/>
  <c r="AM568" i="91"/>
  <c r="AL568" i="91"/>
  <c r="AK568" i="91"/>
  <c r="AJ568" i="91"/>
  <c r="AI568" i="91"/>
  <c r="AH568" i="91"/>
  <c r="AG568" i="91"/>
  <c r="AF568" i="91"/>
  <c r="AD568" i="91"/>
  <c r="AC568" i="91"/>
  <c r="AB568" i="91"/>
  <c r="AA568" i="91"/>
  <c r="Z568" i="91"/>
  <c r="Y568" i="91"/>
  <c r="X568" i="91"/>
  <c r="W568" i="91"/>
  <c r="V568" i="91"/>
  <c r="U568" i="91"/>
  <c r="T568" i="91"/>
  <c r="S568" i="91"/>
  <c r="Q568" i="91"/>
  <c r="P568" i="91"/>
  <c r="O568" i="91"/>
  <c r="N568" i="91"/>
  <c r="M568" i="91"/>
  <c r="L568" i="91"/>
  <c r="K568" i="91"/>
  <c r="J568" i="91"/>
  <c r="I568" i="91"/>
  <c r="E568" i="91"/>
  <c r="D568" i="91"/>
  <c r="BO567" i="91"/>
  <c r="AY567" i="91"/>
  <c r="AI567" i="91"/>
  <c r="T567" i="91"/>
  <c r="H567" i="91"/>
  <c r="BO566" i="91"/>
  <c r="AY566" i="91"/>
  <c r="AL566" i="91"/>
  <c r="AI566" i="91"/>
  <c r="T566" i="91"/>
  <c r="H566" i="91"/>
  <c r="BO565" i="91"/>
  <c r="AY565" i="91"/>
  <c r="AI565" i="91"/>
  <c r="T565" i="91"/>
  <c r="H565" i="91"/>
  <c r="CE564" i="91"/>
  <c r="BN564" i="91"/>
  <c r="AY564" i="91" s="1"/>
  <c r="AL564" i="91"/>
  <c r="T564" i="91"/>
  <c r="H564" i="91"/>
  <c r="H563" i="91" s="1"/>
  <c r="CS563" i="91"/>
  <c r="CD563" i="91"/>
  <c r="CD562" i="91" s="1"/>
  <c r="CC563" i="91"/>
  <c r="CB563" i="91"/>
  <c r="CB562" i="91" s="1"/>
  <c r="CA563" i="91"/>
  <c r="BZ563" i="91"/>
  <c r="BZ562" i="91" s="1"/>
  <c r="BY563" i="91"/>
  <c r="BX563" i="91"/>
  <c r="BW563" i="91"/>
  <c r="BV563" i="91"/>
  <c r="BU563" i="91"/>
  <c r="BT563" i="91"/>
  <c r="BS563" i="91"/>
  <c r="BR563" i="91"/>
  <c r="BQ563" i="91"/>
  <c r="BP563" i="91"/>
  <c r="BN563" i="91"/>
  <c r="BN562" i="91" s="1"/>
  <c r="BM563" i="91"/>
  <c r="BL563" i="91"/>
  <c r="BK563" i="91"/>
  <c r="BJ563" i="91"/>
  <c r="BI563" i="91"/>
  <c r="BH563" i="91"/>
  <c r="BG563" i="91"/>
  <c r="BF563" i="91"/>
  <c r="BE563" i="91"/>
  <c r="BD563" i="91"/>
  <c r="BC563" i="91"/>
  <c r="BB563" i="91"/>
  <c r="BA563" i="91"/>
  <c r="AZ563" i="91"/>
  <c r="AX563" i="91"/>
  <c r="AW563" i="91"/>
  <c r="AV563" i="91"/>
  <c r="AU563" i="91"/>
  <c r="AT563" i="91"/>
  <c r="AR563" i="91"/>
  <c r="AQ563" i="91"/>
  <c r="AP563" i="91"/>
  <c r="AO563" i="91"/>
  <c r="AN563" i="91"/>
  <c r="AM563" i="91"/>
  <c r="AK563" i="91"/>
  <c r="AJ563" i="91"/>
  <c r="AH563" i="91"/>
  <c r="AG563" i="91"/>
  <c r="AF563" i="91"/>
  <c r="AC563" i="91"/>
  <c r="AB563" i="91"/>
  <c r="AB562" i="91" s="1"/>
  <c r="AA563" i="91"/>
  <c r="Z563" i="91"/>
  <c r="Z562" i="91" s="1"/>
  <c r="Y563" i="91"/>
  <c r="X563" i="91"/>
  <c r="X562" i="91" s="1"/>
  <c r="W563" i="91"/>
  <c r="V563" i="91"/>
  <c r="V562" i="91" s="1"/>
  <c r="U563" i="91"/>
  <c r="T563" i="91"/>
  <c r="T562" i="91" s="1"/>
  <c r="S563" i="91"/>
  <c r="Q563" i="91"/>
  <c r="Q562" i="91" s="1"/>
  <c r="P563" i="91"/>
  <c r="O563" i="91"/>
  <c r="O562" i="91" s="1"/>
  <c r="N563" i="91"/>
  <c r="M563" i="91"/>
  <c r="M562" i="91" s="1"/>
  <c r="L563" i="91"/>
  <c r="K563" i="91"/>
  <c r="K562" i="91" s="1"/>
  <c r="J563" i="91"/>
  <c r="I563" i="91"/>
  <c r="I562" i="91" s="1"/>
  <c r="H562" i="91" s="1"/>
  <c r="E563" i="91"/>
  <c r="D563" i="91"/>
  <c r="CS562" i="91"/>
  <c r="CC562" i="91"/>
  <c r="CA562" i="91"/>
  <c r="BY562" i="91"/>
  <c r="BX562" i="91"/>
  <c r="BW562" i="91"/>
  <c r="BV562" i="91"/>
  <c r="BU562" i="91"/>
  <c r="BT562" i="91"/>
  <c r="BS562" i="91"/>
  <c r="BR562" i="91"/>
  <c r="BQ562" i="91"/>
  <c r="BP562" i="91"/>
  <c r="BM562" i="91"/>
  <c r="BL562" i="91"/>
  <c r="BK562" i="91"/>
  <c r="BJ562" i="91"/>
  <c r="BI562" i="91"/>
  <c r="BH562" i="91"/>
  <c r="BG562" i="91"/>
  <c r="BF562" i="91"/>
  <c r="BE562" i="91"/>
  <c r="BD562" i="91"/>
  <c r="BC562" i="91"/>
  <c r="BB562" i="91"/>
  <c r="BA562" i="91"/>
  <c r="AZ562" i="91"/>
  <c r="AX562" i="91"/>
  <c r="AW562" i="91"/>
  <c r="AV562" i="91"/>
  <c r="AU562" i="91"/>
  <c r="AT562" i="91"/>
  <c r="AR562" i="91"/>
  <c r="AQ562" i="91"/>
  <c r="AP562" i="91"/>
  <c r="AO562" i="91"/>
  <c r="AN562" i="91"/>
  <c r="AM562" i="91"/>
  <c r="AK562" i="91"/>
  <c r="AJ562" i="91"/>
  <c r="AH562" i="91"/>
  <c r="AG562" i="91"/>
  <c r="AF562" i="91"/>
  <c r="AD562" i="91"/>
  <c r="AC562" i="91"/>
  <c r="AA562" i="91"/>
  <c r="Y562" i="91"/>
  <c r="W562" i="91"/>
  <c r="U562" i="91"/>
  <c r="S562" i="91"/>
  <c r="P562" i="91"/>
  <c r="N562" i="91"/>
  <c r="L562" i="91"/>
  <c r="J562" i="91"/>
  <c r="E562" i="91"/>
  <c r="D562" i="91"/>
  <c r="BO561" i="91"/>
  <c r="AY561" i="91"/>
  <c r="AI561" i="91"/>
  <c r="T561" i="91"/>
  <c r="H561" i="91"/>
  <c r="CS560" i="91"/>
  <c r="CE560" i="91"/>
  <c r="CD560" i="91"/>
  <c r="CC560" i="91"/>
  <c r="CB560" i="91"/>
  <c r="CA560" i="91"/>
  <c r="BZ560" i="91"/>
  <c r="BY560" i="91"/>
  <c r="BX560" i="91"/>
  <c r="BW560" i="91"/>
  <c r="BV560" i="91"/>
  <c r="BU560" i="91"/>
  <c r="BT560" i="91"/>
  <c r="BS560" i="91"/>
  <c r="BR560" i="91"/>
  <c r="BQ560" i="91"/>
  <c r="BP560" i="91"/>
  <c r="BO560" i="91" s="1"/>
  <c r="BN560" i="91"/>
  <c r="BM560" i="91"/>
  <c r="BL560" i="91"/>
  <c r="BK560" i="91"/>
  <c r="BJ560" i="91"/>
  <c r="BI560" i="91"/>
  <c r="BH560" i="91"/>
  <c r="BG560" i="91"/>
  <c r="BF560" i="91"/>
  <c r="BE560" i="91"/>
  <c r="BE557" i="91" s="1"/>
  <c r="BD560" i="91"/>
  <c r="BC560" i="91"/>
  <c r="BC557" i="91" s="1"/>
  <c r="BB560" i="91"/>
  <c r="BA560" i="91"/>
  <c r="BA557" i="91" s="1"/>
  <c r="AZ560" i="91"/>
  <c r="AY560" i="91"/>
  <c r="AX560" i="91"/>
  <c r="AW560" i="91"/>
  <c r="AV560" i="91"/>
  <c r="AU560" i="91"/>
  <c r="AT560" i="91"/>
  <c r="AR560" i="91"/>
  <c r="AQ560" i="91"/>
  <c r="AP560" i="91"/>
  <c r="AO560" i="91"/>
  <c r="AN560" i="91"/>
  <c r="AM560" i="91"/>
  <c r="AL560" i="91"/>
  <c r="AK560" i="91"/>
  <c r="AJ560" i="91"/>
  <c r="AI560" i="91"/>
  <c r="AH560" i="91"/>
  <c r="AG560" i="91"/>
  <c r="AF560" i="91"/>
  <c r="AC560" i="91"/>
  <c r="AB560" i="91"/>
  <c r="AA560" i="91"/>
  <c r="Z560" i="91"/>
  <c r="Y560" i="91"/>
  <c r="X560" i="91"/>
  <c r="W560" i="91"/>
  <c r="V560" i="91"/>
  <c r="U560" i="91"/>
  <c r="T560" i="91"/>
  <c r="S560" i="91"/>
  <c r="Q560" i="91"/>
  <c r="P560" i="91"/>
  <c r="O560" i="91"/>
  <c r="N560" i="91"/>
  <c r="M560" i="91"/>
  <c r="L560" i="91"/>
  <c r="K560" i="91"/>
  <c r="J560" i="91"/>
  <c r="I560" i="91"/>
  <c r="H560" i="91" s="1"/>
  <c r="E560" i="91"/>
  <c r="D560" i="91"/>
  <c r="CW559" i="91"/>
  <c r="BO559" i="91"/>
  <c r="AY559" i="91"/>
  <c r="CF559" i="91" s="1"/>
  <c r="AX559" i="91"/>
  <c r="AI559" i="91"/>
  <c r="AI558" i="91" s="1"/>
  <c r="AI557" i="91" s="1"/>
  <c r="T559" i="91"/>
  <c r="H559" i="91"/>
  <c r="CE558" i="91"/>
  <c r="CD558" i="91"/>
  <c r="CC558" i="91"/>
  <c r="CB558" i="91"/>
  <c r="CA558" i="91"/>
  <c r="BZ558" i="91"/>
  <c r="BY558" i="91"/>
  <c r="BX558" i="91"/>
  <c r="BW558" i="91"/>
  <c r="BV558" i="91"/>
  <c r="BT558" i="91"/>
  <c r="BS558" i="91"/>
  <c r="BS557" i="91" s="1"/>
  <c r="BP558" i="91"/>
  <c r="BO558" i="91"/>
  <c r="BN558" i="91"/>
  <c r="BM558" i="91"/>
  <c r="BM557" i="91" s="1"/>
  <c r="BL558" i="91"/>
  <c r="BK558" i="91"/>
  <c r="BK557" i="91" s="1"/>
  <c r="BJ558" i="91"/>
  <c r="BI558" i="91"/>
  <c r="BI557" i="91" s="1"/>
  <c r="BH558" i="91"/>
  <c r="BG558" i="91"/>
  <c r="BG557" i="91" s="1"/>
  <c r="BF558" i="91"/>
  <c r="BD558" i="91"/>
  <c r="BC558" i="91"/>
  <c r="AZ558" i="91"/>
  <c r="AX558" i="91"/>
  <c r="AW558" i="91"/>
  <c r="AV558" i="91"/>
  <c r="AU558" i="91"/>
  <c r="AT558" i="91"/>
  <c r="AR558" i="91"/>
  <c r="AQ558" i="91"/>
  <c r="AP558" i="91"/>
  <c r="AO558" i="91"/>
  <c r="AN558" i="91"/>
  <c r="AM558" i="91"/>
  <c r="AL558" i="91"/>
  <c r="AK558" i="91"/>
  <c r="AJ558" i="91"/>
  <c r="AH558" i="91"/>
  <c r="AG558" i="91"/>
  <c r="AF558" i="91"/>
  <c r="AC558" i="91"/>
  <c r="AB558" i="91"/>
  <c r="AA558" i="91"/>
  <c r="Z558" i="91"/>
  <c r="Y558" i="91"/>
  <c r="X558" i="91"/>
  <c r="W558" i="91"/>
  <c r="V558" i="91"/>
  <c r="U558" i="91"/>
  <c r="T558" i="91"/>
  <c r="S558" i="91"/>
  <c r="Q558" i="91"/>
  <c r="P558" i="91"/>
  <c r="O558" i="91"/>
  <c r="N558" i="91"/>
  <c r="M558" i="91"/>
  <c r="L558" i="91"/>
  <c r="K558" i="91"/>
  <c r="J558" i="91"/>
  <c r="I558" i="91"/>
  <c r="H558" i="91" s="1"/>
  <c r="E558" i="91"/>
  <c r="E557" i="91" s="1"/>
  <c r="D558" i="91"/>
  <c r="CS557" i="91"/>
  <c r="CE557" i="91"/>
  <c r="CD557" i="91"/>
  <c r="CC557" i="91"/>
  <c r="CB557" i="91"/>
  <c r="CA557" i="91"/>
  <c r="BZ557" i="91"/>
  <c r="BY557" i="91"/>
  <c r="BX557" i="91"/>
  <c r="BW557" i="91"/>
  <c r="BV557" i="91"/>
  <c r="BU557" i="91"/>
  <c r="BT557" i="91"/>
  <c r="BR557" i="91"/>
  <c r="BQ557" i="91"/>
  <c r="BP557" i="91"/>
  <c r="BN557" i="91"/>
  <c r="BL557" i="91"/>
  <c r="BJ557" i="91"/>
  <c r="BH557" i="91"/>
  <c r="BF557" i="91"/>
  <c r="BD557" i="91"/>
  <c r="BB557" i="91"/>
  <c r="AZ557" i="91"/>
  <c r="AX557" i="91"/>
  <c r="AW557" i="91"/>
  <c r="AV557" i="91"/>
  <c r="AU557" i="91"/>
  <c r="AT557" i="91"/>
  <c r="AR557" i="91"/>
  <c r="AQ557" i="91"/>
  <c r="AP557" i="91"/>
  <c r="AO557" i="91"/>
  <c r="AN557" i="91"/>
  <c r="AM557" i="91"/>
  <c r="AL557" i="91"/>
  <c r="AK557" i="91"/>
  <c r="AJ557" i="91"/>
  <c r="AH557" i="91"/>
  <c r="AG557" i="91"/>
  <c r="AF557" i="91"/>
  <c r="AC557" i="91"/>
  <c r="AB557" i="91"/>
  <c r="AA557" i="91"/>
  <c r="Z557" i="91"/>
  <c r="Y557" i="91"/>
  <c r="X557" i="91"/>
  <c r="W557" i="91"/>
  <c r="V557" i="91"/>
  <c r="U557" i="91"/>
  <c r="T557" i="91"/>
  <c r="S557" i="91"/>
  <c r="Q557" i="91"/>
  <c r="P557" i="91"/>
  <c r="O557" i="91"/>
  <c r="N557" i="91"/>
  <c r="M557" i="91"/>
  <c r="L557" i="91"/>
  <c r="K557" i="91"/>
  <c r="J557" i="91"/>
  <c r="I557" i="91"/>
  <c r="H557" i="91" s="1"/>
  <c r="D557" i="91"/>
  <c r="CW556" i="91"/>
  <c r="BO556" i="91"/>
  <c r="CF556" i="91" s="1"/>
  <c r="AY556" i="91"/>
  <c r="T556" i="91"/>
  <c r="H556" i="91"/>
  <c r="CE555" i="91"/>
  <c r="CW555" i="91" s="1"/>
  <c r="CD555" i="91"/>
  <c r="CC555" i="91"/>
  <c r="CB555" i="91"/>
  <c r="CA555" i="91"/>
  <c r="BZ555" i="91"/>
  <c r="BY555" i="91"/>
  <c r="BX555" i="91"/>
  <c r="BW555" i="91"/>
  <c r="BV555" i="91"/>
  <c r="BU555" i="91"/>
  <c r="BT555" i="91"/>
  <c r="BS555" i="91"/>
  <c r="BR555" i="91"/>
  <c r="BQ555" i="91"/>
  <c r="BP555" i="91"/>
  <c r="BO555" i="91"/>
  <c r="BN555" i="91"/>
  <c r="BM555" i="91"/>
  <c r="BM554" i="91" s="1"/>
  <c r="BL555" i="91"/>
  <c r="BK555" i="91"/>
  <c r="BK554" i="91" s="1"/>
  <c r="BJ555" i="91"/>
  <c r="BI555" i="91"/>
  <c r="BI554" i="91" s="1"/>
  <c r="BH555" i="91"/>
  <c r="BG555" i="91"/>
  <c r="BG554" i="91" s="1"/>
  <c r="BF555" i="91"/>
  <c r="BE555" i="91"/>
  <c r="BE554" i="91" s="1"/>
  <c r="BD555" i="91"/>
  <c r="BC555" i="91"/>
  <c r="BC554" i="91" s="1"/>
  <c r="BB555" i="91"/>
  <c r="BA555" i="91"/>
  <c r="BA554" i="91" s="1"/>
  <c r="AZ555" i="91"/>
  <c r="AY555" i="91"/>
  <c r="AY554" i="91" s="1"/>
  <c r="AX555" i="91"/>
  <c r="AW555" i="91"/>
  <c r="AW554" i="91" s="1"/>
  <c r="AV555" i="91"/>
  <c r="AU555" i="91"/>
  <c r="AU554" i="91" s="1"/>
  <c r="AT555" i="91"/>
  <c r="AR555" i="91"/>
  <c r="AR554" i="91" s="1"/>
  <c r="AQ555" i="91"/>
  <c r="AP555" i="91"/>
  <c r="AP554" i="91" s="1"/>
  <c r="AO555" i="91"/>
  <c r="AN555" i="91"/>
  <c r="AN554" i="91" s="1"/>
  <c r="AM555" i="91"/>
  <c r="AL555" i="91"/>
  <c r="AL554" i="91" s="1"/>
  <c r="AK555" i="91"/>
  <c r="AJ555" i="91"/>
  <c r="AJ554" i="91" s="1"/>
  <c r="AI555" i="91"/>
  <c r="AH555" i="91"/>
  <c r="AH554" i="91" s="1"/>
  <c r="AG555" i="91"/>
  <c r="AF555" i="91"/>
  <c r="AF554" i="91" s="1"/>
  <c r="AC555" i="91"/>
  <c r="AB555" i="91"/>
  <c r="AB554" i="91" s="1"/>
  <c r="AA555" i="91"/>
  <c r="Z555" i="91"/>
  <c r="Z554" i="91" s="1"/>
  <c r="Y555" i="91"/>
  <c r="X555" i="91"/>
  <c r="X554" i="91" s="1"/>
  <c r="W555" i="91"/>
  <c r="V555" i="91"/>
  <c r="V554" i="91" s="1"/>
  <c r="U555" i="91"/>
  <c r="T555" i="91"/>
  <c r="T554" i="91" s="1"/>
  <c r="S555" i="91"/>
  <c r="Q555" i="91"/>
  <c r="Q554" i="91" s="1"/>
  <c r="P555" i="91"/>
  <c r="O555" i="91"/>
  <c r="O554" i="91" s="1"/>
  <c r="N555" i="91"/>
  <c r="M555" i="91"/>
  <c r="M554" i="91" s="1"/>
  <c r="L555" i="91"/>
  <c r="K555" i="91"/>
  <c r="K554" i="91" s="1"/>
  <c r="J555" i="91"/>
  <c r="I555" i="91"/>
  <c r="H555" i="91" s="1"/>
  <c r="E555" i="91"/>
  <c r="D555" i="91"/>
  <c r="CS554" i="91"/>
  <c r="CE554" i="91"/>
  <c r="CD554" i="91"/>
  <c r="CC554" i="91"/>
  <c r="CB554" i="91"/>
  <c r="CA554" i="91"/>
  <c r="BZ554" i="91"/>
  <c r="BY554" i="91"/>
  <c r="BX554" i="91"/>
  <c r="BW554" i="91"/>
  <c r="BV554" i="91"/>
  <c r="BU554" i="91"/>
  <c r="BT554" i="91"/>
  <c r="BS554" i="91"/>
  <c r="BR554" i="91"/>
  <c r="BQ554" i="91"/>
  <c r="BP554" i="91"/>
  <c r="BN554" i="91"/>
  <c r="CW554" i="91" s="1"/>
  <c r="BL554" i="91"/>
  <c r="BJ554" i="91"/>
  <c r="BH554" i="91"/>
  <c r="BF554" i="91"/>
  <c r="BD554" i="91"/>
  <c r="BB554" i="91"/>
  <c r="AZ554" i="91"/>
  <c r="AX554" i="91"/>
  <c r="AV554" i="91"/>
  <c r="AT554" i="91"/>
  <c r="AQ554" i="91"/>
  <c r="AO554" i="91"/>
  <c r="AM554" i="91"/>
  <c r="AK554" i="91"/>
  <c r="AI554" i="91"/>
  <c r="AG554" i="91"/>
  <c r="AC554" i="91"/>
  <c r="AA554" i="91"/>
  <c r="Y554" i="91"/>
  <c r="W554" i="91"/>
  <c r="U554" i="91"/>
  <c r="S554" i="91"/>
  <c r="P554" i="91"/>
  <c r="N554" i="91"/>
  <c r="L554" i="91"/>
  <c r="J554" i="91"/>
  <c r="E554" i="91"/>
  <c r="D554" i="91"/>
  <c r="CR553" i="91"/>
  <c r="BO553" i="91"/>
  <c r="AY553" i="91"/>
  <c r="AI553" i="91"/>
  <c r="AI552" i="91" s="1"/>
  <c r="T553" i="91"/>
  <c r="H553" i="91"/>
  <c r="CE552" i="91"/>
  <c r="CD552" i="91"/>
  <c r="CC552" i="91"/>
  <c r="CB552" i="91"/>
  <c r="CA552" i="91"/>
  <c r="BZ552" i="91"/>
  <c r="BY552" i="91"/>
  <c r="BX552" i="91"/>
  <c r="BW552" i="91"/>
  <c r="BV552" i="91"/>
  <c r="BT552" i="91"/>
  <c r="BS552" i="91"/>
  <c r="BP552" i="91"/>
  <c r="BN552" i="91"/>
  <c r="BM552" i="91"/>
  <c r="BL552" i="91"/>
  <c r="BK552" i="91"/>
  <c r="BJ552" i="91"/>
  <c r="BI552" i="91"/>
  <c r="BH552" i="91"/>
  <c r="BG552" i="91"/>
  <c r="BF552" i="91"/>
  <c r="BD552" i="91"/>
  <c r="BC552" i="91"/>
  <c r="AZ552" i="91"/>
  <c r="AY552" i="91"/>
  <c r="AX552" i="91"/>
  <c r="AW552" i="91"/>
  <c r="AV552" i="91"/>
  <c r="AU552" i="91"/>
  <c r="AT552" i="91"/>
  <c r="AR552" i="91"/>
  <c r="AQ552" i="91"/>
  <c r="AP552" i="91"/>
  <c r="AO552" i="91"/>
  <c r="AN552" i="91"/>
  <c r="AM552" i="91"/>
  <c r="AL552" i="91"/>
  <c r="AK552" i="91"/>
  <c r="AJ552" i="91"/>
  <c r="AH552" i="91"/>
  <c r="AG552" i="91"/>
  <c r="AF552" i="91"/>
  <c r="AC552" i="91"/>
  <c r="AB552" i="91"/>
  <c r="AA552" i="91"/>
  <c r="Z552" i="91"/>
  <c r="Y552" i="91"/>
  <c r="X552" i="91"/>
  <c r="W552" i="91"/>
  <c r="V552" i="91"/>
  <c r="U552" i="91"/>
  <c r="T552" i="91"/>
  <c r="S552" i="91"/>
  <c r="Q552" i="91"/>
  <c r="P552" i="91"/>
  <c r="O552" i="91"/>
  <c r="N552" i="91"/>
  <c r="M552" i="91"/>
  <c r="L552" i="91"/>
  <c r="K552" i="91"/>
  <c r="J552" i="91"/>
  <c r="I552" i="91"/>
  <c r="H552" i="91" s="1"/>
  <c r="E552" i="91"/>
  <c r="D552" i="91"/>
  <c r="CE551" i="91"/>
  <c r="CW551" i="91" s="1"/>
  <c r="AY551" i="91"/>
  <c r="AI551" i="91"/>
  <c r="T551" i="91"/>
  <c r="H551" i="91"/>
  <c r="CE550" i="91"/>
  <c r="CW550" i="91" s="1"/>
  <c r="AY550" i="91"/>
  <c r="T550" i="91"/>
  <c r="H550" i="91"/>
  <c r="CE549" i="91"/>
  <c r="CW549" i="91" s="1"/>
  <c r="AY549" i="91"/>
  <c r="AI549" i="91"/>
  <c r="T549" i="91"/>
  <c r="H549" i="91"/>
  <c r="CE548" i="91"/>
  <c r="CW548" i="91" s="1"/>
  <c r="AY548" i="91"/>
  <c r="AY547" i="91" s="1"/>
  <c r="AY546" i="91" s="1"/>
  <c r="AJ548" i="91"/>
  <c r="AI548" i="91"/>
  <c r="AI547" i="91" s="1"/>
  <c r="T548" i="91"/>
  <c r="H548" i="91"/>
  <c r="CD547" i="91"/>
  <c r="CC547" i="91"/>
  <c r="CC546" i="91" s="1"/>
  <c r="CB547" i="91"/>
  <c r="CA547" i="91"/>
  <c r="CA546" i="91" s="1"/>
  <c r="CR546" i="91" s="1"/>
  <c r="BZ547" i="91"/>
  <c r="BY547" i="91"/>
  <c r="BY546" i="91" s="1"/>
  <c r="BY545" i="91" s="1"/>
  <c r="BX547" i="91"/>
  <c r="BW547" i="91"/>
  <c r="BW546" i="91" s="1"/>
  <c r="BW545" i="91" s="1"/>
  <c r="BV547" i="91"/>
  <c r="BU547" i="91"/>
  <c r="BU546" i="91" s="1"/>
  <c r="BU545" i="91" s="1"/>
  <c r="BT547" i="91"/>
  <c r="BS547" i="91"/>
  <c r="BS546" i="91" s="1"/>
  <c r="BR547" i="91"/>
  <c r="BQ547" i="91"/>
  <c r="BQ546" i="91" s="1"/>
  <c r="BQ545" i="91" s="1"/>
  <c r="BP547" i="91"/>
  <c r="BN547" i="91"/>
  <c r="BN546" i="91" s="1"/>
  <c r="BM547" i="91"/>
  <c r="BL547" i="91"/>
  <c r="BL546" i="91" s="1"/>
  <c r="BL545" i="91" s="1"/>
  <c r="BK547" i="91"/>
  <c r="BJ547" i="91"/>
  <c r="BJ546" i="91" s="1"/>
  <c r="BJ545" i="91" s="1"/>
  <c r="BI547" i="91"/>
  <c r="BH547" i="91"/>
  <c r="BH546" i="91" s="1"/>
  <c r="BH545" i="91" s="1"/>
  <c r="BG547" i="91"/>
  <c r="BF547" i="91"/>
  <c r="BF546" i="91" s="1"/>
  <c r="BF545" i="91" s="1"/>
  <c r="BE547" i="91"/>
  <c r="BD547" i="91"/>
  <c r="BD546" i="91" s="1"/>
  <c r="BC547" i="91"/>
  <c r="BB547" i="91"/>
  <c r="BB546" i="91" s="1"/>
  <c r="BB545" i="91" s="1"/>
  <c r="BA547" i="91"/>
  <c r="AZ547" i="91"/>
  <c r="AZ546" i="91" s="1"/>
  <c r="AX547" i="91"/>
  <c r="AW547" i="91"/>
  <c r="AW546" i="91" s="1"/>
  <c r="AW545" i="91" s="1"/>
  <c r="AV547" i="91"/>
  <c r="AU547" i="91"/>
  <c r="AU546" i="91" s="1"/>
  <c r="AT547" i="91"/>
  <c r="AR547" i="91"/>
  <c r="AR546" i="91" s="1"/>
  <c r="AR545" i="91" s="1"/>
  <c r="AQ547" i="91"/>
  <c r="AP547" i="91"/>
  <c r="AP546" i="91" s="1"/>
  <c r="AO547" i="91"/>
  <c r="AN547" i="91"/>
  <c r="AN546" i="91" s="1"/>
  <c r="AN545" i="91" s="1"/>
  <c r="AM547" i="91"/>
  <c r="AL547" i="91"/>
  <c r="AL546" i="91" s="1"/>
  <c r="AK547" i="91"/>
  <c r="AJ547" i="91"/>
  <c r="AJ546" i="91" s="1"/>
  <c r="AJ545" i="91" s="1"/>
  <c r="AH547" i="91"/>
  <c r="AH546" i="91" s="1"/>
  <c r="AH545" i="91" s="1"/>
  <c r="AG547" i="91"/>
  <c r="AF547" i="91"/>
  <c r="AF546" i="91" s="1"/>
  <c r="AF545" i="91" s="1"/>
  <c r="AD547" i="91"/>
  <c r="AC547" i="91"/>
  <c r="AC546" i="91" s="1"/>
  <c r="AC545" i="91" s="1"/>
  <c r="AB547" i="91"/>
  <c r="AA547" i="91"/>
  <c r="AA546" i="91" s="1"/>
  <c r="AA545" i="91" s="1"/>
  <c r="Z547" i="91"/>
  <c r="Y547" i="91"/>
  <c r="Y546" i="91" s="1"/>
  <c r="Y545" i="91" s="1"/>
  <c r="X547" i="91"/>
  <c r="W547" i="91"/>
  <c r="W546" i="91" s="1"/>
  <c r="W545" i="91" s="1"/>
  <c r="V547" i="91"/>
  <c r="U547" i="91"/>
  <c r="S547" i="91"/>
  <c r="S546" i="91" s="1"/>
  <c r="S545" i="91" s="1"/>
  <c r="Q547" i="91"/>
  <c r="P547" i="91"/>
  <c r="P546" i="91" s="1"/>
  <c r="P545" i="91" s="1"/>
  <c r="O547" i="91"/>
  <c r="N547" i="91"/>
  <c r="N546" i="91" s="1"/>
  <c r="N545" i="91" s="1"/>
  <c r="M547" i="91"/>
  <c r="L547" i="91"/>
  <c r="L546" i="91" s="1"/>
  <c r="L545" i="91" s="1"/>
  <c r="K547" i="91"/>
  <c r="J547" i="91"/>
  <c r="J546" i="91" s="1"/>
  <c r="J545" i="91" s="1"/>
  <c r="I547" i="91"/>
  <c r="E547" i="91"/>
  <c r="E546" i="91" s="1"/>
  <c r="E545" i="91" s="1"/>
  <c r="D547" i="91"/>
  <c r="CD546" i="91"/>
  <c r="CD545" i="91" s="1"/>
  <c r="CB546" i="91"/>
  <c r="CB545" i="91" s="1"/>
  <c r="BZ546" i="91"/>
  <c r="BZ545" i="91" s="1"/>
  <c r="BX546" i="91"/>
  <c r="BV546" i="91"/>
  <c r="BV545" i="91" s="1"/>
  <c r="BT546" i="91"/>
  <c r="BR546" i="91"/>
  <c r="BR545" i="91" s="1"/>
  <c r="BP546" i="91"/>
  <c r="BM546" i="91"/>
  <c r="BM545" i="91" s="1"/>
  <c r="BK546" i="91"/>
  <c r="BI546" i="91"/>
  <c r="BG546" i="91"/>
  <c r="BE546" i="91"/>
  <c r="BC546" i="91"/>
  <c r="BC545" i="91" s="1"/>
  <c r="BA546" i="91"/>
  <c r="BA545" i="91" s="1"/>
  <c r="AX546" i="91"/>
  <c r="AX545" i="91" s="1"/>
  <c r="AV546" i="91"/>
  <c r="AV545" i="91" s="1"/>
  <c r="AT546" i="91"/>
  <c r="AT545" i="91" s="1"/>
  <c r="AQ546" i="91"/>
  <c r="AQ545" i="91" s="1"/>
  <c r="AO546" i="91"/>
  <c r="AO545" i="91" s="1"/>
  <c r="AM546" i="91"/>
  <c r="AM545" i="91" s="1"/>
  <c r="AK546" i="91"/>
  <c r="AK545" i="91" s="1"/>
  <c r="AI546" i="91"/>
  <c r="AG546" i="91"/>
  <c r="AD546" i="91"/>
  <c r="AD545" i="91" s="1"/>
  <c r="AB546" i="91"/>
  <c r="Z546" i="91"/>
  <c r="Z545" i="91" s="1"/>
  <c r="X546" i="91"/>
  <c r="V546" i="91"/>
  <c r="V545" i="91" s="1"/>
  <c r="Q546" i="91"/>
  <c r="Q545" i="91" s="1"/>
  <c r="O546" i="91"/>
  <c r="M546" i="91"/>
  <c r="K546" i="91"/>
  <c r="I546" i="91"/>
  <c r="H546" i="91" s="1"/>
  <c r="D546" i="91"/>
  <c r="CC545" i="91"/>
  <c r="BX545" i="91"/>
  <c r="BT545" i="91"/>
  <c r="BP545" i="91"/>
  <c r="BI545" i="91"/>
  <c r="BG545" i="91"/>
  <c r="BD545" i="91"/>
  <c r="AZ545" i="91"/>
  <c r="AU545" i="91"/>
  <c r="AP545" i="91"/>
  <c r="AG545" i="91"/>
  <c r="AB545" i="91"/>
  <c r="X545" i="91"/>
  <c r="O545" i="91"/>
  <c r="M545" i="91"/>
  <c r="K545" i="91"/>
  <c r="D545" i="91"/>
  <c r="CW544" i="91"/>
  <c r="BO544" i="91"/>
  <c r="AY544" i="91"/>
  <c r="T544" i="91"/>
  <c r="H544" i="91"/>
  <c r="CE543" i="91"/>
  <c r="CD543" i="91"/>
  <c r="CC543" i="91"/>
  <c r="CC542" i="91" s="1"/>
  <c r="CC541" i="91" s="1"/>
  <c r="CB543" i="91"/>
  <c r="CA543" i="91"/>
  <c r="CA542" i="91" s="1"/>
  <c r="BZ543" i="91"/>
  <c r="BY543" i="91"/>
  <c r="BY542" i="91" s="1"/>
  <c r="BX543" i="91"/>
  <c r="BW543" i="91"/>
  <c r="BW542" i="91" s="1"/>
  <c r="BW541" i="91" s="1"/>
  <c r="BV543" i="91"/>
  <c r="BT543" i="91"/>
  <c r="BT542" i="91" s="1"/>
  <c r="BT541" i="91" s="1"/>
  <c r="BS543" i="91"/>
  <c r="BP543" i="91"/>
  <c r="BN543" i="91"/>
  <c r="BN542" i="91" s="1"/>
  <c r="BM543" i="91"/>
  <c r="BL543" i="91"/>
  <c r="BL542" i="91" s="1"/>
  <c r="BK543" i="91"/>
  <c r="BK542" i="91" s="1"/>
  <c r="BK541" i="91" s="1"/>
  <c r="BJ543" i="91"/>
  <c r="BJ542" i="91" s="1"/>
  <c r="BI543" i="91"/>
  <c r="BH543" i="91"/>
  <c r="BH542" i="91" s="1"/>
  <c r="BG543" i="91"/>
  <c r="BG542" i="91" s="1"/>
  <c r="BG541" i="91" s="1"/>
  <c r="BF543" i="91"/>
  <c r="BD543" i="91"/>
  <c r="BD542" i="91" s="1"/>
  <c r="BD541" i="91" s="1"/>
  <c r="BC543" i="91"/>
  <c r="AZ543" i="91"/>
  <c r="AZ542" i="91" s="1"/>
  <c r="AZ541" i="91" s="1"/>
  <c r="AY543" i="91"/>
  <c r="AX543" i="91"/>
  <c r="AX542" i="91" s="1"/>
  <c r="AX541" i="91" s="1"/>
  <c r="AW543" i="91"/>
  <c r="AV543" i="91"/>
  <c r="AV542" i="91" s="1"/>
  <c r="AV541" i="91" s="1"/>
  <c r="AU543" i="91"/>
  <c r="AT543" i="91"/>
  <c r="AT542" i="91" s="1"/>
  <c r="AT541" i="91" s="1"/>
  <c r="AR543" i="91"/>
  <c r="AQ543" i="91"/>
  <c r="AQ542" i="91" s="1"/>
  <c r="AQ541" i="91" s="1"/>
  <c r="AP543" i="91"/>
  <c r="AO543" i="91"/>
  <c r="AO542" i="91" s="1"/>
  <c r="AO541" i="91" s="1"/>
  <c r="AN543" i="91"/>
  <c r="AM543" i="91"/>
  <c r="AM542" i="91" s="1"/>
  <c r="AM541" i="91" s="1"/>
  <c r="AL543" i="91"/>
  <c r="AK543" i="91"/>
  <c r="AK542" i="91" s="1"/>
  <c r="AK541" i="91" s="1"/>
  <c r="AJ543" i="91"/>
  <c r="AI543" i="91"/>
  <c r="AI542" i="91" s="1"/>
  <c r="AI541" i="91" s="1"/>
  <c r="AH543" i="91"/>
  <c r="AG543" i="91"/>
  <c r="AG542" i="91" s="1"/>
  <c r="AG541" i="91" s="1"/>
  <c r="AF543" i="91"/>
  <c r="AC543" i="91"/>
  <c r="AB543" i="91"/>
  <c r="AA543" i="91"/>
  <c r="Z543" i="91"/>
  <c r="Y543" i="91"/>
  <c r="X543" i="91"/>
  <c r="W543" i="91"/>
  <c r="V543" i="91"/>
  <c r="U543" i="91"/>
  <c r="T543" i="91" s="1"/>
  <c r="T542" i="91" s="1"/>
  <c r="S543" i="91"/>
  <c r="Q543" i="91"/>
  <c r="P543" i="91"/>
  <c r="O543" i="91"/>
  <c r="N543" i="91"/>
  <c r="M543" i="91"/>
  <c r="L543" i="91"/>
  <c r="K543" i="91"/>
  <c r="J543" i="91"/>
  <c r="I543" i="91"/>
  <c r="E543" i="91"/>
  <c r="E542" i="91" s="1"/>
  <c r="E541" i="91" s="1"/>
  <c r="D543" i="91"/>
  <c r="CD542" i="91"/>
  <c r="CB542" i="91"/>
  <c r="CB541" i="91" s="1"/>
  <c r="BZ542" i="91"/>
  <c r="BZ541" i="91" s="1"/>
  <c r="BX542" i="91"/>
  <c r="BX541" i="91" s="1"/>
  <c r="BV542" i="91"/>
  <c r="BS542" i="91"/>
  <c r="BS541" i="91" s="1"/>
  <c r="BM542" i="91"/>
  <c r="BM541" i="91" s="1"/>
  <c r="BI542" i="91"/>
  <c r="BI541" i="91" s="1"/>
  <c r="BF542" i="91"/>
  <c r="BC542" i="91"/>
  <c r="AY542" i="91"/>
  <c r="AW542" i="91"/>
  <c r="AU542" i="91"/>
  <c r="AR542" i="91"/>
  <c r="AP542" i="91"/>
  <c r="AN542" i="91"/>
  <c r="AL542" i="91"/>
  <c r="AJ542" i="91"/>
  <c r="AH542" i="91"/>
  <c r="AF542" i="91"/>
  <c r="AD542" i="91"/>
  <c r="AC542" i="91"/>
  <c r="AC541" i="91" s="1"/>
  <c r="AB542" i="91"/>
  <c r="AA542" i="91"/>
  <c r="AA541" i="91" s="1"/>
  <c r="Z542" i="91"/>
  <c r="Y542" i="91"/>
  <c r="Y541" i="91" s="1"/>
  <c r="X542" i="91"/>
  <c r="W542" i="91"/>
  <c r="W541" i="91" s="1"/>
  <c r="V542" i="91"/>
  <c r="U542" i="91"/>
  <c r="U541" i="91" s="1"/>
  <c r="S542" i="91"/>
  <c r="S541" i="91" s="1"/>
  <c r="Q542" i="91"/>
  <c r="P542" i="91"/>
  <c r="P541" i="91" s="1"/>
  <c r="O542" i="91"/>
  <c r="N542" i="91"/>
  <c r="N541" i="91" s="1"/>
  <c r="M542" i="91"/>
  <c r="L542" i="91"/>
  <c r="L541" i="91" s="1"/>
  <c r="K542" i="91"/>
  <c r="J542" i="91"/>
  <c r="J541" i="91" s="1"/>
  <c r="I542" i="91"/>
  <c r="H542" i="91"/>
  <c r="D542" i="91"/>
  <c r="D541" i="91" s="1"/>
  <c r="CD541" i="91"/>
  <c r="CA541" i="91"/>
  <c r="BY541" i="91"/>
  <c r="BV541" i="91"/>
  <c r="BN541" i="91"/>
  <c r="BL541" i="91"/>
  <c r="BJ541" i="91"/>
  <c r="BH541" i="91"/>
  <c r="BF541" i="91"/>
  <c r="BC541" i="91"/>
  <c r="AY541" i="91"/>
  <c r="AW541" i="91"/>
  <c r="AU541" i="91"/>
  <c r="AR541" i="91"/>
  <c r="AP541" i="91"/>
  <c r="AN541" i="91"/>
  <c r="AL541" i="91"/>
  <c r="AJ541" i="91"/>
  <c r="AH541" i="91"/>
  <c r="AF541" i="91"/>
  <c r="AB541" i="91"/>
  <c r="Z541" i="91"/>
  <c r="X541" i="91"/>
  <c r="V541" i="91"/>
  <c r="Q541" i="91"/>
  <c r="O541" i="91"/>
  <c r="M541" i="91"/>
  <c r="K541" i="91"/>
  <c r="I541" i="91"/>
  <c r="CW540" i="91"/>
  <c r="BO540" i="91"/>
  <c r="AY540" i="91"/>
  <c r="AY539" i="91" s="1"/>
  <c r="AY538" i="91" s="1"/>
  <c r="T540" i="91"/>
  <c r="H540" i="91"/>
  <c r="CE539" i="91"/>
  <c r="CD539" i="91"/>
  <c r="CC539" i="91"/>
  <c r="CB539" i="91"/>
  <c r="CA539" i="91"/>
  <c r="BZ539" i="91"/>
  <c r="BY539" i="91"/>
  <c r="BX539" i="91"/>
  <c r="BW539" i="91"/>
  <c r="BV539" i="91"/>
  <c r="BU539" i="91"/>
  <c r="BT539" i="91"/>
  <c r="BS539" i="91"/>
  <c r="BR539" i="91"/>
  <c r="BQ539" i="91"/>
  <c r="BP539" i="91"/>
  <c r="BO539" i="91" s="1"/>
  <c r="BN539" i="91"/>
  <c r="BN538" i="91" s="1"/>
  <c r="BM539" i="91"/>
  <c r="BL539" i="91"/>
  <c r="BL538" i="91" s="1"/>
  <c r="BK539" i="91"/>
  <c r="BJ539" i="91"/>
  <c r="BJ538" i="91" s="1"/>
  <c r="BI539" i="91"/>
  <c r="BH539" i="91"/>
  <c r="BH538" i="91" s="1"/>
  <c r="BG539" i="91"/>
  <c r="BF539" i="91"/>
  <c r="BF538" i="91" s="1"/>
  <c r="BE539" i="91"/>
  <c r="BD539" i="91"/>
  <c r="BD538" i="91" s="1"/>
  <c r="BC539" i="91"/>
  <c r="BB539" i="91"/>
  <c r="BB538" i="91" s="1"/>
  <c r="BB446" i="91" s="1"/>
  <c r="BA539" i="91"/>
  <c r="AZ539" i="91"/>
  <c r="AZ538" i="91" s="1"/>
  <c r="AX539" i="91"/>
  <c r="AW539" i="91"/>
  <c r="AV539" i="91"/>
  <c r="AU539" i="91"/>
  <c r="AT539" i="91"/>
  <c r="AR539" i="91"/>
  <c r="AQ539" i="91"/>
  <c r="AP539" i="91"/>
  <c r="AO539" i="91"/>
  <c r="AN539" i="91"/>
  <c r="AM539" i="91"/>
  <c r="AL539" i="91"/>
  <c r="AK539" i="91"/>
  <c r="AJ539" i="91"/>
  <c r="AI539" i="91"/>
  <c r="AH539" i="91" s="1"/>
  <c r="S539" i="91"/>
  <c r="S538" i="91" s="1"/>
  <c r="Q539" i="91"/>
  <c r="P539" i="91"/>
  <c r="P538" i="91" s="1"/>
  <c r="O539" i="91"/>
  <c r="N539" i="91"/>
  <c r="N538" i="91" s="1"/>
  <c r="M539" i="91"/>
  <c r="L539" i="91"/>
  <c r="L538" i="91" s="1"/>
  <c r="K539" i="91"/>
  <c r="J539" i="91"/>
  <c r="J538" i="91" s="1"/>
  <c r="I539" i="91"/>
  <c r="H539" i="91"/>
  <c r="E539" i="91"/>
  <c r="D539" i="91"/>
  <c r="D538" i="91" s="1"/>
  <c r="CE538" i="91"/>
  <c r="CD538" i="91"/>
  <c r="CC538" i="91"/>
  <c r="CB538" i="91"/>
  <c r="CA538" i="91"/>
  <c r="BZ538" i="91"/>
  <c r="BY538" i="91"/>
  <c r="BX538" i="91"/>
  <c r="BW538" i="91"/>
  <c r="BV538" i="91"/>
  <c r="BU538" i="91"/>
  <c r="BT538" i="91"/>
  <c r="BS538" i="91"/>
  <c r="BR538" i="91"/>
  <c r="BQ538" i="91"/>
  <c r="BP538" i="91"/>
  <c r="BO538" i="91" s="1"/>
  <c r="BM538" i="91"/>
  <c r="BK538" i="91"/>
  <c r="BI538" i="91"/>
  <c r="BG538" i="91"/>
  <c r="BE538" i="91"/>
  <c r="BC538" i="91"/>
  <c r="BA538" i="91"/>
  <c r="AX538" i="91"/>
  <c r="AW538" i="91"/>
  <c r="AV538" i="91"/>
  <c r="AU538" i="91"/>
  <c r="AT538" i="91"/>
  <c r="AR538" i="91"/>
  <c r="AQ538" i="91"/>
  <c r="AP538" i="91"/>
  <c r="AO538" i="91"/>
  <c r="AN538" i="91"/>
  <c r="AM538" i="91"/>
  <c r="AL538" i="91"/>
  <c r="AK538" i="91"/>
  <c r="AJ538" i="91"/>
  <c r="AI538" i="91"/>
  <c r="Q538" i="91"/>
  <c r="O538" i="91"/>
  <c r="M538" i="91"/>
  <c r="K538" i="91"/>
  <c r="I538" i="91"/>
  <c r="E538" i="91"/>
  <c r="BO537" i="91"/>
  <c r="AY537" i="91"/>
  <c r="AI537" i="91"/>
  <c r="T537" i="91"/>
  <c r="H537" i="91"/>
  <c r="BO536" i="91"/>
  <c r="AY536" i="91"/>
  <c r="AI536" i="91"/>
  <c r="T536" i="91"/>
  <c r="H536" i="91"/>
  <c r="BO535" i="91"/>
  <c r="AY535" i="91"/>
  <c r="AI535" i="91"/>
  <c r="T535" i="91"/>
  <c r="H535" i="91"/>
  <c r="BO534" i="91"/>
  <c r="AY534" i="91"/>
  <c r="AI534" i="91"/>
  <c r="T534" i="91"/>
  <c r="H534" i="91"/>
  <c r="BO533" i="91"/>
  <c r="AY533" i="91"/>
  <c r="AI533" i="91"/>
  <c r="T533" i="91"/>
  <c r="H533" i="91"/>
  <c r="BO532" i="91"/>
  <c r="AY532" i="91"/>
  <c r="AI532" i="91"/>
  <c r="T532" i="91"/>
  <c r="H532" i="91"/>
  <c r="CW531" i="91"/>
  <c r="BO531" i="91"/>
  <c r="AY531" i="91"/>
  <c r="AI531" i="91"/>
  <c r="T531" i="91"/>
  <c r="H531" i="91"/>
  <c r="BO530" i="91"/>
  <c r="AY530" i="91"/>
  <c r="AI530" i="91"/>
  <c r="AI528" i="91" s="1"/>
  <c r="T530" i="91"/>
  <c r="H530" i="91"/>
  <c r="BO529" i="91"/>
  <c r="AY529" i="91"/>
  <c r="AI529" i="91"/>
  <c r="T529" i="91"/>
  <c r="H529" i="91"/>
  <c r="CE528" i="91"/>
  <c r="CD528" i="91"/>
  <c r="CC528" i="91"/>
  <c r="CC527" i="91" s="1"/>
  <c r="CB528" i="91"/>
  <c r="CA528" i="91"/>
  <c r="CA527" i="91" s="1"/>
  <c r="BZ528" i="91"/>
  <c r="BY528" i="91"/>
  <c r="BY527" i="91" s="1"/>
  <c r="BX528" i="91"/>
  <c r="BW528" i="91"/>
  <c r="BW527" i="91" s="1"/>
  <c r="BV528" i="91"/>
  <c r="BU528" i="91"/>
  <c r="BT528" i="91"/>
  <c r="BT527" i="91" s="1"/>
  <c r="BS528" i="91"/>
  <c r="BS527" i="91" s="1"/>
  <c r="BR528" i="91"/>
  <c r="BR527" i="91" s="1"/>
  <c r="BQ528" i="91"/>
  <c r="BP528" i="91"/>
  <c r="BN528" i="91"/>
  <c r="BN527" i="91" s="1"/>
  <c r="BM528" i="91"/>
  <c r="BL528" i="91"/>
  <c r="BL527" i="91" s="1"/>
  <c r="BK528" i="91"/>
  <c r="BJ528" i="91"/>
  <c r="BJ527" i="91" s="1"/>
  <c r="BI528" i="91"/>
  <c r="BH528" i="91"/>
  <c r="BH527" i="91" s="1"/>
  <c r="BG528" i="91"/>
  <c r="BF528" i="91"/>
  <c r="BF527" i="91" s="1"/>
  <c r="BE528" i="91"/>
  <c r="BD528" i="91"/>
  <c r="BD527" i="91" s="1"/>
  <c r="BC528" i="91"/>
  <c r="BB528" i="91"/>
  <c r="BA528" i="91"/>
  <c r="AZ528" i="91"/>
  <c r="AZ527" i="91" s="1"/>
  <c r="AX528" i="91"/>
  <c r="AW528" i="91"/>
  <c r="AW527" i="91" s="1"/>
  <c r="AV528" i="91"/>
  <c r="AU528" i="91"/>
  <c r="AU527" i="91" s="1"/>
  <c r="AT528" i="91"/>
  <c r="AR528" i="91"/>
  <c r="AR527" i="91" s="1"/>
  <c r="AQ528" i="91"/>
  <c r="AP528" i="91"/>
  <c r="AP527" i="91" s="1"/>
  <c r="AO528" i="91"/>
  <c r="AN528" i="91"/>
  <c r="AN527" i="91" s="1"/>
  <c r="AM528" i="91"/>
  <c r="AL528" i="91"/>
  <c r="AL527" i="91" s="1"/>
  <c r="AK528" i="91"/>
  <c r="AJ528" i="91"/>
  <c r="AJ527" i="91" s="1"/>
  <c r="AH528" i="91"/>
  <c r="AH527" i="91" s="1"/>
  <c r="AG528" i="91"/>
  <c r="AF528" i="91"/>
  <c r="AF527" i="91" s="1"/>
  <c r="AC528" i="91"/>
  <c r="AB528" i="91"/>
  <c r="AB527" i="91" s="1"/>
  <c r="AA528" i="91"/>
  <c r="Z528" i="91"/>
  <c r="Z527" i="91" s="1"/>
  <c r="Y528" i="91"/>
  <c r="X528" i="91"/>
  <c r="X527" i="91" s="1"/>
  <c r="W528" i="91"/>
  <c r="V528" i="91"/>
  <c r="V527" i="91" s="1"/>
  <c r="U528" i="91"/>
  <c r="S528" i="91"/>
  <c r="Q528" i="91"/>
  <c r="P528" i="91"/>
  <c r="O528" i="91"/>
  <c r="N528" i="91"/>
  <c r="M528" i="91"/>
  <c r="L528" i="91"/>
  <c r="K528" i="91"/>
  <c r="J528" i="91"/>
  <c r="I528" i="91"/>
  <c r="H528" i="91"/>
  <c r="E528" i="91"/>
  <c r="D528" i="91"/>
  <c r="CD527" i="91"/>
  <c r="CB527" i="91"/>
  <c r="BZ527" i="91"/>
  <c r="BX527" i="91"/>
  <c r="BV527" i="91"/>
  <c r="BQ527" i="91"/>
  <c r="BM527" i="91"/>
  <c r="BK527" i="91"/>
  <c r="BI527" i="91"/>
  <c r="BG527" i="91"/>
  <c r="BC527" i="91"/>
  <c r="AX527" i="91"/>
  <c r="AV527" i="91"/>
  <c r="AT527" i="91"/>
  <c r="AQ527" i="91"/>
  <c r="AO527" i="91"/>
  <c r="AM527" i="91"/>
  <c r="AK527" i="91"/>
  <c r="AI527" i="91"/>
  <c r="AG527" i="91"/>
  <c r="AC527" i="91"/>
  <c r="AA527" i="91"/>
  <c r="Y527" i="91"/>
  <c r="W527" i="91"/>
  <c r="U527" i="91"/>
  <c r="T527" i="91" s="1"/>
  <c r="S527" i="91"/>
  <c r="Q527" i="91"/>
  <c r="P527" i="91"/>
  <c r="O527" i="91"/>
  <c r="N527" i="91"/>
  <c r="M527" i="91"/>
  <c r="L527" i="91"/>
  <c r="K527" i="91"/>
  <c r="J527" i="91"/>
  <c r="I527" i="91"/>
  <c r="H527" i="91" s="1"/>
  <c r="E527" i="91"/>
  <c r="D527" i="91"/>
  <c r="BO526" i="91"/>
  <c r="BD526" i="91"/>
  <c r="CK526" i="91" s="1"/>
  <c r="T526" i="91"/>
  <c r="H526" i="91"/>
  <c r="BO525" i="91"/>
  <c r="AY525" i="91"/>
  <c r="AI525" i="91"/>
  <c r="T525" i="91"/>
  <c r="H525" i="91"/>
  <c r="CW524" i="91"/>
  <c r="BO524" i="91"/>
  <c r="AY524" i="91"/>
  <c r="T524" i="91"/>
  <c r="H524" i="91"/>
  <c r="CN523" i="91"/>
  <c r="BT523" i="91"/>
  <c r="BD523" i="91"/>
  <c r="AY523" i="91" s="1"/>
  <c r="AI523" i="91"/>
  <c r="T523" i="91"/>
  <c r="H523" i="91"/>
  <c r="CE522" i="91"/>
  <c r="CD522" i="91"/>
  <c r="CC522" i="91"/>
  <c r="CB522" i="91"/>
  <c r="CA522" i="91"/>
  <c r="BZ522" i="91"/>
  <c r="BY522" i="91"/>
  <c r="BX522" i="91"/>
  <c r="BW522" i="91"/>
  <c r="CN522" i="91" s="1"/>
  <c r="BV522" i="91"/>
  <c r="BU522" i="91"/>
  <c r="BS522" i="91"/>
  <c r="BR522" i="91"/>
  <c r="BQ522" i="91"/>
  <c r="BP522" i="91"/>
  <c r="BN522" i="91"/>
  <c r="BM522" i="91"/>
  <c r="BL522" i="91"/>
  <c r="BK522" i="91"/>
  <c r="BJ522" i="91"/>
  <c r="BI522" i="91"/>
  <c r="BH522" i="91"/>
  <c r="BG522" i="91"/>
  <c r="BF522" i="91"/>
  <c r="BE522" i="91"/>
  <c r="BD522" i="91"/>
  <c r="BC522" i="91"/>
  <c r="BB522" i="91"/>
  <c r="BA522" i="91"/>
  <c r="AZ522" i="91"/>
  <c r="AX522" i="91"/>
  <c r="AW522" i="91"/>
  <c r="AV522" i="91"/>
  <c r="AU522" i="91"/>
  <c r="AT522" i="91"/>
  <c r="AR522" i="91"/>
  <c r="AQ522" i="91"/>
  <c r="AP522" i="91"/>
  <c r="AO522" i="91"/>
  <c r="AN522" i="91"/>
  <c r="AM522" i="91"/>
  <c r="AL522" i="91"/>
  <c r="AK522" i="91"/>
  <c r="AJ522" i="91"/>
  <c r="AI522" i="91"/>
  <c r="AH522" i="91"/>
  <c r="AG522" i="91"/>
  <c r="AF522" i="91"/>
  <c r="AC522" i="91"/>
  <c r="AB522" i="91"/>
  <c r="AA522" i="91"/>
  <c r="Z522" i="91"/>
  <c r="Y522" i="91"/>
  <c r="X522" i="91"/>
  <c r="W522" i="91"/>
  <c r="V522" i="91"/>
  <c r="U522" i="91"/>
  <c r="T522" i="91" s="1"/>
  <c r="S522" i="91"/>
  <c r="Q522" i="91"/>
  <c r="P522" i="91"/>
  <c r="O522" i="91"/>
  <c r="N522" i="91"/>
  <c r="M522" i="91"/>
  <c r="L522" i="91"/>
  <c r="K522" i="91"/>
  <c r="J522" i="91"/>
  <c r="I522" i="91"/>
  <c r="H522" i="91" s="1"/>
  <c r="E522" i="91"/>
  <c r="D522" i="91"/>
  <c r="BT521" i="91"/>
  <c r="BO521" i="91" s="1"/>
  <c r="BD521" i="91"/>
  <c r="AY521" i="91" s="1"/>
  <c r="AY520" i="91" s="1"/>
  <c r="AI521" i="91"/>
  <c r="T521" i="91"/>
  <c r="H521" i="91"/>
  <c r="CE520" i="91"/>
  <c r="CE519" i="91" s="1"/>
  <c r="CD520" i="91"/>
  <c r="CC520" i="91"/>
  <c r="CC519" i="91" s="1"/>
  <c r="CB520" i="91"/>
  <c r="CA520" i="91"/>
  <c r="CA519" i="91" s="1"/>
  <c r="BZ520" i="91"/>
  <c r="BY520" i="91"/>
  <c r="BY519" i="91" s="1"/>
  <c r="BX520" i="91"/>
  <c r="BW520" i="91"/>
  <c r="BW519" i="91" s="1"/>
  <c r="BV520" i="91"/>
  <c r="BS520" i="91"/>
  <c r="BP520" i="91"/>
  <c r="BN520" i="91"/>
  <c r="BN519" i="91" s="1"/>
  <c r="BM520" i="91"/>
  <c r="BL520" i="91"/>
  <c r="BL519" i="91" s="1"/>
  <c r="BK520" i="91"/>
  <c r="BJ520" i="91"/>
  <c r="BJ519" i="91" s="1"/>
  <c r="BI520" i="91"/>
  <c r="BH520" i="91"/>
  <c r="BH519" i="91" s="1"/>
  <c r="BG520" i="91"/>
  <c r="BF520" i="91"/>
  <c r="BF519" i="91" s="1"/>
  <c r="BD520" i="91"/>
  <c r="BC520" i="91"/>
  <c r="BC519" i="91" s="1"/>
  <c r="AZ520" i="91"/>
  <c r="AX520" i="91"/>
  <c r="AW520" i="91"/>
  <c r="AW519" i="91" s="1"/>
  <c r="AV520" i="91"/>
  <c r="AU520" i="91"/>
  <c r="AU519" i="91" s="1"/>
  <c r="AT520" i="91"/>
  <c r="AR520" i="91"/>
  <c r="AR519" i="91" s="1"/>
  <c r="AQ520" i="91"/>
  <c r="AP520" i="91"/>
  <c r="AP519" i="91" s="1"/>
  <c r="AO520" i="91"/>
  <c r="AN520" i="91"/>
  <c r="AN519" i="91" s="1"/>
  <c r="AM520" i="91"/>
  <c r="AL520" i="91"/>
  <c r="AL519" i="91" s="1"/>
  <c r="AK520" i="91"/>
  <c r="AJ520" i="91"/>
  <c r="AJ519" i="91" s="1"/>
  <c r="AI520" i="91"/>
  <c r="AH520" i="91"/>
  <c r="AH519" i="91" s="1"/>
  <c r="AG520" i="91"/>
  <c r="AF520" i="91"/>
  <c r="AF519" i="91" s="1"/>
  <c r="AC520" i="91"/>
  <c r="AB520" i="91"/>
  <c r="AA520" i="91"/>
  <c r="Z520" i="91"/>
  <c r="Y520" i="91"/>
  <c r="X520" i="91"/>
  <c r="W520" i="91"/>
  <c r="V520" i="91"/>
  <c r="U520" i="91"/>
  <c r="T520" i="91"/>
  <c r="S520" i="91"/>
  <c r="Q520" i="91"/>
  <c r="Q519" i="91" s="1"/>
  <c r="P520" i="91"/>
  <c r="O520" i="91"/>
  <c r="O519" i="91" s="1"/>
  <c r="N520" i="91"/>
  <c r="M520" i="91"/>
  <c r="M519" i="91" s="1"/>
  <c r="L520" i="91"/>
  <c r="K520" i="91"/>
  <c r="K519" i="91" s="1"/>
  <c r="J520" i="91"/>
  <c r="I520" i="91"/>
  <c r="H520" i="91" s="1"/>
  <c r="E520" i="91"/>
  <c r="E519" i="91" s="1"/>
  <c r="D520" i="91"/>
  <c r="CD519" i="91"/>
  <c r="CB519" i="91"/>
  <c r="BZ519" i="91"/>
  <c r="BX519" i="91"/>
  <c r="BV519" i="91"/>
  <c r="BS519" i="91"/>
  <c r="BM519" i="91"/>
  <c r="BK519" i="91"/>
  <c r="BI519" i="91"/>
  <c r="BG519" i="91"/>
  <c r="AZ519" i="91"/>
  <c r="AX519" i="91"/>
  <c r="AV519" i="91"/>
  <c r="AT519" i="91"/>
  <c r="AQ519" i="91"/>
  <c r="AO519" i="91"/>
  <c r="AM519" i="91"/>
  <c r="AK519" i="91"/>
  <c r="AI519" i="91"/>
  <c r="AG519" i="91"/>
  <c r="AD519" i="91"/>
  <c r="AB519" i="91"/>
  <c r="Z519" i="91"/>
  <c r="X519" i="91"/>
  <c r="U519" i="91"/>
  <c r="S519" i="91"/>
  <c r="P519" i="91"/>
  <c r="N519" i="91"/>
  <c r="L519" i="91"/>
  <c r="J519" i="91"/>
  <c r="D519" i="91"/>
  <c r="CE518" i="91"/>
  <c r="CW518" i="91" s="1"/>
  <c r="AY518" i="91"/>
  <c r="T518" i="91"/>
  <c r="H518" i="91"/>
  <c r="BO517" i="91"/>
  <c r="BN517" i="91"/>
  <c r="CW517" i="91" s="1"/>
  <c r="T517" i="91"/>
  <c r="H517" i="91"/>
  <c r="BO516" i="91"/>
  <c r="BD516" i="91"/>
  <c r="AY516" i="91" s="1"/>
  <c r="T516" i="91"/>
  <c r="H516" i="91"/>
  <c r="CE515" i="91"/>
  <c r="CD515" i="91"/>
  <c r="CC515" i="91"/>
  <c r="CB515" i="91"/>
  <c r="CA515" i="91"/>
  <c r="BZ515" i="91"/>
  <c r="BY515" i="91"/>
  <c r="BX515" i="91"/>
  <c r="BW515" i="91"/>
  <c r="BV515" i="91"/>
  <c r="BT515" i="91"/>
  <c r="BS515" i="91"/>
  <c r="BP515" i="91"/>
  <c r="BO515" i="91" s="1"/>
  <c r="BN515" i="91"/>
  <c r="BN512" i="91" s="1"/>
  <c r="BM515" i="91"/>
  <c r="BL515" i="91"/>
  <c r="BK515" i="91"/>
  <c r="BJ515" i="91"/>
  <c r="BI515" i="91"/>
  <c r="BH515" i="91"/>
  <c r="BG515" i="91"/>
  <c r="BF515" i="91"/>
  <c r="BC515" i="91"/>
  <c r="AZ515" i="91"/>
  <c r="AX515" i="91"/>
  <c r="AU515" i="91"/>
  <c r="AT515" i="91"/>
  <c r="AR515" i="91"/>
  <c r="AQ515" i="91"/>
  <c r="AP515" i="91"/>
  <c r="AO515" i="91"/>
  <c r="AN515" i="91"/>
  <c r="AM515" i="91"/>
  <c r="AL515" i="91"/>
  <c r="AK515" i="91"/>
  <c r="AJ515" i="91"/>
  <c r="AI515" i="91"/>
  <c r="AH515" i="91"/>
  <c r="AG515" i="91"/>
  <c r="AF515" i="91"/>
  <c r="AC515" i="91"/>
  <c r="AB515" i="91"/>
  <c r="AA515" i="91"/>
  <c r="Z515" i="91"/>
  <c r="Y515" i="91"/>
  <c r="X515" i="91"/>
  <c r="W515" i="91"/>
  <c r="V515" i="91"/>
  <c r="U515" i="91"/>
  <c r="T515" i="91"/>
  <c r="S515" i="91"/>
  <c r="Q515" i="91"/>
  <c r="P515" i="91"/>
  <c r="O515" i="91"/>
  <c r="N515" i="91"/>
  <c r="M515" i="91"/>
  <c r="L515" i="91"/>
  <c r="K515" i="91"/>
  <c r="J515" i="91"/>
  <c r="I515" i="91"/>
  <c r="H515" i="91" s="1"/>
  <c r="E515" i="91"/>
  <c r="D515" i="91"/>
  <c r="BO514" i="91"/>
  <c r="BD514" i="91"/>
  <c r="CK514" i="91" s="1"/>
  <c r="AI514" i="91"/>
  <c r="T514" i="91"/>
  <c r="H514" i="91"/>
  <c r="CE513" i="91"/>
  <c r="CD513" i="91"/>
  <c r="CC513" i="91"/>
  <c r="CB513" i="91"/>
  <c r="CA513" i="91"/>
  <c r="BZ513" i="91"/>
  <c r="BY513" i="91"/>
  <c r="BX513" i="91"/>
  <c r="BW513" i="91"/>
  <c r="BV513" i="91"/>
  <c r="BT513" i="91"/>
  <c r="BS513" i="91"/>
  <c r="BP513" i="91"/>
  <c r="BO513" i="91" s="1"/>
  <c r="BN513" i="91"/>
  <c r="BM513" i="91"/>
  <c r="BL513" i="91"/>
  <c r="BK513" i="91"/>
  <c r="BJ513" i="91"/>
  <c r="BI513" i="91"/>
  <c r="BH513" i="91"/>
  <c r="BG513" i="91"/>
  <c r="BF513" i="91"/>
  <c r="BD513" i="91"/>
  <c r="BC513" i="91"/>
  <c r="AZ513" i="91"/>
  <c r="AX513" i="91"/>
  <c r="AW513" i="91"/>
  <c r="AV513" i="91"/>
  <c r="AU513" i="91"/>
  <c r="AT513" i="91"/>
  <c r="AR513" i="91"/>
  <c r="AQ513" i="91"/>
  <c r="AP513" i="91"/>
  <c r="AO513" i="91"/>
  <c r="AN513" i="91"/>
  <c r="AM513" i="91"/>
  <c r="AL513" i="91"/>
  <c r="AK513" i="91"/>
  <c r="AJ513" i="91"/>
  <c r="AI513" i="91"/>
  <c r="AH513" i="91"/>
  <c r="AG513" i="91"/>
  <c r="AF513" i="91"/>
  <c r="AD513" i="91"/>
  <c r="AC513" i="91"/>
  <c r="AB513" i="91"/>
  <c r="AA513" i="91"/>
  <c r="Z513" i="91"/>
  <c r="Y513" i="91"/>
  <c r="X513" i="91"/>
  <c r="W513" i="91"/>
  <c r="V513" i="91"/>
  <c r="U513" i="91"/>
  <c r="T513" i="91" s="1"/>
  <c r="S513" i="91"/>
  <c r="Q513" i="91"/>
  <c r="P513" i="91"/>
  <c r="O513" i="91"/>
  <c r="N513" i="91"/>
  <c r="M513" i="91"/>
  <c r="L513" i="91"/>
  <c r="K513" i="91"/>
  <c r="J513" i="91"/>
  <c r="I513" i="91"/>
  <c r="H513" i="91" s="1"/>
  <c r="E513" i="91"/>
  <c r="D513" i="91"/>
  <c r="CE512" i="91"/>
  <c r="CD512" i="91"/>
  <c r="CC512" i="91"/>
  <c r="CB512" i="91"/>
  <c r="CA512" i="91"/>
  <c r="BZ512" i="91"/>
  <c r="BY512" i="91"/>
  <c r="BX512" i="91"/>
  <c r="BW512" i="91"/>
  <c r="BV512" i="91"/>
  <c r="BT512" i="91"/>
  <c r="BS512" i="91"/>
  <c r="BP512" i="91"/>
  <c r="BO512" i="91" s="1"/>
  <c r="BM512" i="91"/>
  <c r="BL512" i="91"/>
  <c r="BK512" i="91"/>
  <c r="BJ512" i="91"/>
  <c r="BI512" i="91"/>
  <c r="BH512" i="91"/>
  <c r="BG512" i="91"/>
  <c r="BF512" i="91"/>
  <c r="BC512" i="91"/>
  <c r="AZ512" i="91"/>
  <c r="AX512" i="91"/>
  <c r="AW512" i="91"/>
  <c r="AV512" i="91"/>
  <c r="AU512" i="91"/>
  <c r="AT512" i="91"/>
  <c r="AR512" i="91"/>
  <c r="AQ512" i="91"/>
  <c r="AP512" i="91"/>
  <c r="AO512" i="91"/>
  <c r="AN512" i="91"/>
  <c r="AM512" i="91"/>
  <c r="AL512" i="91"/>
  <c r="AK512" i="91"/>
  <c r="AJ512" i="91"/>
  <c r="AI512" i="91"/>
  <c r="AH512" i="91"/>
  <c r="AG512" i="91"/>
  <c r="AF512" i="91"/>
  <c r="AD512" i="91"/>
  <c r="AC512" i="91"/>
  <c r="AA512" i="91"/>
  <c r="Y512" i="91"/>
  <c r="W512" i="91"/>
  <c r="U512" i="91"/>
  <c r="S512" i="91"/>
  <c r="P512" i="91"/>
  <c r="N512" i="91"/>
  <c r="L512" i="91"/>
  <c r="J512" i="91"/>
  <c r="D512" i="91"/>
  <c r="BO511" i="91"/>
  <c r="BD511" i="91"/>
  <c r="CK511" i="91" s="1"/>
  <c r="AI511" i="91"/>
  <c r="T511" i="91"/>
  <c r="H511" i="91"/>
  <c r="BO510" i="91"/>
  <c r="BD510" i="91"/>
  <c r="AI510" i="91"/>
  <c r="T510" i="91"/>
  <c r="H510" i="91"/>
  <c r="BO509" i="91"/>
  <c r="AY509" i="91"/>
  <c r="AI509" i="91"/>
  <c r="T509" i="91"/>
  <c r="H509" i="91"/>
  <c r="BO508" i="91"/>
  <c r="BD508" i="91"/>
  <c r="AI508" i="91"/>
  <c r="T508" i="91"/>
  <c r="H508" i="91"/>
  <c r="BO507" i="91"/>
  <c r="BN507" i="91"/>
  <c r="CW507" i="91" s="1"/>
  <c r="T507" i="91"/>
  <c r="H507" i="91"/>
  <c r="BO506" i="91"/>
  <c r="BN506" i="91"/>
  <c r="CW506" i="91" s="1"/>
  <c r="T506" i="91"/>
  <c r="H506" i="91"/>
  <c r="BO505" i="91"/>
  <c r="AY505" i="91"/>
  <c r="AI505" i="91"/>
  <c r="T505" i="91"/>
  <c r="H505" i="91"/>
  <c r="BO504" i="91"/>
  <c r="AY504" i="91"/>
  <c r="T504" i="91"/>
  <c r="H504" i="91"/>
  <c r="CE503" i="91"/>
  <c r="CD503" i="91"/>
  <c r="CC503" i="91"/>
  <c r="CB503" i="91"/>
  <c r="CA503" i="91"/>
  <c r="BZ503" i="91"/>
  <c r="BY503" i="91"/>
  <c r="BX503" i="91"/>
  <c r="BW503" i="91"/>
  <c r="BV503" i="91"/>
  <c r="BU503" i="91"/>
  <c r="BT503" i="91"/>
  <c r="BS503" i="91"/>
  <c r="BR503" i="91"/>
  <c r="BQ503" i="91"/>
  <c r="BP503" i="91"/>
  <c r="BO503" i="91"/>
  <c r="BM503" i="91"/>
  <c r="BL503" i="91"/>
  <c r="BK503" i="91"/>
  <c r="BJ503" i="91"/>
  <c r="BI503" i="91"/>
  <c r="BH503" i="91"/>
  <c r="BG503" i="91"/>
  <c r="BF503" i="91"/>
  <c r="BE503" i="91"/>
  <c r="BC503" i="91"/>
  <c r="BB503" i="91"/>
  <c r="BA503" i="91"/>
  <c r="AZ503" i="91"/>
  <c r="AX503" i="91"/>
  <c r="AW503" i="91"/>
  <c r="AV503" i="91"/>
  <c r="AU503" i="91"/>
  <c r="AT503" i="91"/>
  <c r="AR503" i="91"/>
  <c r="AQ503" i="91"/>
  <c r="AP503" i="91"/>
  <c r="AO503" i="91"/>
  <c r="AN503" i="91"/>
  <c r="AM503" i="91"/>
  <c r="AL503" i="91"/>
  <c r="AK503" i="91"/>
  <c r="AJ503" i="91"/>
  <c r="AH503" i="91"/>
  <c r="AG503" i="91"/>
  <c r="AF503" i="91"/>
  <c r="AC503" i="91"/>
  <c r="AB503" i="91"/>
  <c r="AA503" i="91"/>
  <c r="Z503" i="91"/>
  <c r="Y503" i="91"/>
  <c r="X503" i="91"/>
  <c r="W503" i="91"/>
  <c r="V503" i="91"/>
  <c r="U503" i="91"/>
  <c r="T503" i="91" s="1"/>
  <c r="S503" i="91"/>
  <c r="Q503" i="91"/>
  <c r="P503" i="91"/>
  <c r="O503" i="91"/>
  <c r="N503" i="91"/>
  <c r="M503" i="91"/>
  <c r="L503" i="91"/>
  <c r="K503" i="91"/>
  <c r="J503" i="91"/>
  <c r="I503" i="91"/>
  <c r="G503" i="91"/>
  <c r="F503" i="91"/>
  <c r="E503" i="91"/>
  <c r="D503" i="91"/>
  <c r="CE502" i="91"/>
  <c r="CD502" i="91"/>
  <c r="CC502" i="91"/>
  <c r="CB502" i="91"/>
  <c r="CA502" i="91"/>
  <c r="BZ502" i="91"/>
  <c r="BY502" i="91"/>
  <c r="BX502" i="91"/>
  <c r="BW502" i="91"/>
  <c r="BV502" i="91"/>
  <c r="BU502" i="91"/>
  <c r="BT502" i="91"/>
  <c r="BS502" i="91"/>
  <c r="BR502" i="91"/>
  <c r="BQ502" i="91"/>
  <c r="BP502" i="91"/>
  <c r="BO502" i="91"/>
  <c r="BM502" i="91"/>
  <c r="BL502" i="91"/>
  <c r="BK502" i="91"/>
  <c r="BJ502" i="91"/>
  <c r="BI502" i="91"/>
  <c r="BH502" i="91"/>
  <c r="BG502" i="91"/>
  <c r="BF502" i="91"/>
  <c r="BE502" i="91"/>
  <c r="BC502" i="91"/>
  <c r="BB502" i="91"/>
  <c r="BA502" i="91"/>
  <c r="AZ502" i="91"/>
  <c r="AX502" i="91"/>
  <c r="AW502" i="91"/>
  <c r="AV502" i="91"/>
  <c r="AU502" i="91"/>
  <c r="AT502" i="91"/>
  <c r="AR502" i="91"/>
  <c r="AQ502" i="91"/>
  <c r="AP502" i="91"/>
  <c r="AO502" i="91"/>
  <c r="AN502" i="91"/>
  <c r="AM502" i="91"/>
  <c r="AL502" i="91"/>
  <c r="AK502" i="91"/>
  <c r="AJ502" i="91"/>
  <c r="AH502" i="91"/>
  <c r="AG502" i="91"/>
  <c r="AF502" i="91"/>
  <c r="AC502" i="91"/>
  <c r="AB502" i="91"/>
  <c r="AA502" i="91"/>
  <c r="Z502" i="91"/>
  <c r="Y502" i="91"/>
  <c r="X502" i="91"/>
  <c r="W502" i="91"/>
  <c r="V502" i="91"/>
  <c r="U502" i="91"/>
  <c r="T502" i="91" s="1"/>
  <c r="S502" i="91"/>
  <c r="Q502" i="91"/>
  <c r="P502" i="91"/>
  <c r="O502" i="91"/>
  <c r="N502" i="91"/>
  <c r="M502" i="91"/>
  <c r="L502" i="91"/>
  <c r="K502" i="91"/>
  <c r="J502" i="91"/>
  <c r="I502" i="91"/>
  <c r="G502" i="91"/>
  <c r="F502" i="91"/>
  <c r="E502" i="91"/>
  <c r="D502" i="91"/>
  <c r="BO501" i="91"/>
  <c r="AY501" i="91"/>
  <c r="AI501" i="91"/>
  <c r="T501" i="91"/>
  <c r="H501" i="91"/>
  <c r="BO500" i="91"/>
  <c r="BN500" i="91"/>
  <c r="CW500" i="91" s="1"/>
  <c r="T500" i="91"/>
  <c r="H500" i="91"/>
  <c r="BT499" i="91"/>
  <c r="BT498" i="91" s="1"/>
  <c r="BD499" i="91"/>
  <c r="AY499" i="91" s="1"/>
  <c r="AI499" i="91"/>
  <c r="AI498" i="91" s="1"/>
  <c r="AI497" i="91" s="1"/>
  <c r="T499" i="91"/>
  <c r="H499" i="91"/>
  <c r="CE498" i="91"/>
  <c r="CD498" i="91"/>
  <c r="CC498" i="91"/>
  <c r="CB498" i="91"/>
  <c r="CA498" i="91"/>
  <c r="BZ498" i="91"/>
  <c r="BY498" i="91"/>
  <c r="BX498" i="91"/>
  <c r="BW498" i="91"/>
  <c r="BV498" i="91"/>
  <c r="BU498" i="91"/>
  <c r="BS498" i="91"/>
  <c r="BR498" i="91"/>
  <c r="BQ498" i="91"/>
  <c r="BP498" i="91"/>
  <c r="BM498" i="91"/>
  <c r="BL498" i="91"/>
  <c r="BL497" i="91" s="1"/>
  <c r="BK498" i="91"/>
  <c r="BJ498" i="91"/>
  <c r="BJ497" i="91" s="1"/>
  <c r="BI498" i="91"/>
  <c r="BH498" i="91"/>
  <c r="BH497" i="91" s="1"/>
  <c r="BG498" i="91"/>
  <c r="BF498" i="91"/>
  <c r="BF497" i="91" s="1"/>
  <c r="BE498" i="91"/>
  <c r="BC498" i="91"/>
  <c r="BB498" i="91"/>
  <c r="BA498" i="91"/>
  <c r="AZ498" i="91"/>
  <c r="AX498" i="91"/>
  <c r="AW498" i="91"/>
  <c r="AV498" i="91"/>
  <c r="AU498" i="91"/>
  <c r="AT498" i="91"/>
  <c r="AR498" i="91"/>
  <c r="AQ498" i="91"/>
  <c r="AP498" i="91"/>
  <c r="AO498" i="91"/>
  <c r="AN498" i="91"/>
  <c r="AM498" i="91"/>
  <c r="AL498" i="91"/>
  <c r="AK498" i="91"/>
  <c r="AJ498" i="91"/>
  <c r="AH498" i="91"/>
  <c r="AG498" i="91"/>
  <c r="AF498" i="91"/>
  <c r="AC498" i="91"/>
  <c r="AB498" i="91"/>
  <c r="AA498" i="91"/>
  <c r="Z498" i="91"/>
  <c r="Y498" i="91"/>
  <c r="X498" i="91"/>
  <c r="W498" i="91"/>
  <c r="V498" i="91"/>
  <c r="U498" i="91"/>
  <c r="T498" i="91" s="1"/>
  <c r="S498" i="91"/>
  <c r="Q498" i="91"/>
  <c r="P498" i="91"/>
  <c r="O498" i="91"/>
  <c r="N498" i="91"/>
  <c r="M498" i="91"/>
  <c r="L498" i="91"/>
  <c r="K498" i="91"/>
  <c r="J498" i="91"/>
  <c r="I498" i="91"/>
  <c r="H498" i="91" s="1"/>
  <c r="E498" i="91"/>
  <c r="D498" i="91"/>
  <c r="CE497" i="91"/>
  <c r="CD497" i="91"/>
  <c r="CC497" i="91"/>
  <c r="CB497" i="91"/>
  <c r="CA497" i="91"/>
  <c r="BZ497" i="91"/>
  <c r="BY497" i="91"/>
  <c r="BX497" i="91"/>
  <c r="BW497" i="91"/>
  <c r="BV497" i="91"/>
  <c r="BS497" i="91"/>
  <c r="BM497" i="91"/>
  <c r="BK497" i="91"/>
  <c r="BI497" i="91"/>
  <c r="BG497" i="91"/>
  <c r="BC497" i="91"/>
  <c r="AZ497" i="91"/>
  <c r="AX497" i="91"/>
  <c r="AW497" i="91"/>
  <c r="AV497" i="91"/>
  <c r="AU497" i="91"/>
  <c r="AT497" i="91"/>
  <c r="AR497" i="91"/>
  <c r="AQ497" i="91"/>
  <c r="AP497" i="91"/>
  <c r="AO497" i="91"/>
  <c r="AN497" i="91"/>
  <c r="AM497" i="91"/>
  <c r="AL497" i="91"/>
  <c r="AK497" i="91"/>
  <c r="AJ497" i="91"/>
  <c r="AH497" i="91"/>
  <c r="AG497" i="91"/>
  <c r="AF497" i="91"/>
  <c r="AC497" i="91"/>
  <c r="AB497" i="91"/>
  <c r="AA497" i="91"/>
  <c r="Z497" i="91"/>
  <c r="Y497" i="91"/>
  <c r="X497" i="91"/>
  <c r="W497" i="91"/>
  <c r="V497" i="91"/>
  <c r="U497" i="91"/>
  <c r="S497" i="91"/>
  <c r="Q497" i="91"/>
  <c r="P497" i="91"/>
  <c r="O497" i="91"/>
  <c r="N497" i="91"/>
  <c r="M497" i="91"/>
  <c r="L497" i="91"/>
  <c r="K497" i="91"/>
  <c r="J497" i="91"/>
  <c r="I497" i="91"/>
  <c r="H497" i="91"/>
  <c r="E497" i="91"/>
  <c r="D497" i="91"/>
  <c r="BO496" i="91"/>
  <c r="BD496" i="91"/>
  <c r="CK496" i="91" s="1"/>
  <c r="T496" i="91"/>
  <c r="H496" i="91"/>
  <c r="BO495" i="91"/>
  <c r="BN495" i="91"/>
  <c r="CW495" i="91" s="1"/>
  <c r="AI495" i="91"/>
  <c r="T495" i="91"/>
  <c r="H495" i="91"/>
  <c r="BO494" i="91"/>
  <c r="BN494" i="91"/>
  <c r="CW494" i="91" s="1"/>
  <c r="T494" i="91"/>
  <c r="H494" i="91"/>
  <c r="BO493" i="91"/>
  <c r="BN493" i="91"/>
  <c r="CW493" i="91" s="1"/>
  <c r="T493" i="91"/>
  <c r="H493" i="91"/>
  <c r="CE492" i="91"/>
  <c r="CD492" i="91"/>
  <c r="CC492" i="91"/>
  <c r="CB492" i="91"/>
  <c r="CA492" i="91"/>
  <c r="BZ492" i="91"/>
  <c r="BY492" i="91"/>
  <c r="BX492" i="91"/>
  <c r="BW492" i="91"/>
  <c r="BV492" i="91"/>
  <c r="BU492" i="91"/>
  <c r="BT492" i="91"/>
  <c r="BS492" i="91"/>
  <c r="BR492" i="91"/>
  <c r="BQ492" i="91"/>
  <c r="BP492" i="91"/>
  <c r="BO492" i="91"/>
  <c r="BM492" i="91"/>
  <c r="BL492" i="91"/>
  <c r="BK492" i="91"/>
  <c r="BJ492" i="91"/>
  <c r="BI492" i="91"/>
  <c r="BH492" i="91"/>
  <c r="BG492" i="91"/>
  <c r="BF492" i="91"/>
  <c r="BE492" i="91"/>
  <c r="BD492" i="91"/>
  <c r="BC492" i="91"/>
  <c r="BB492" i="91"/>
  <c r="BA492" i="91"/>
  <c r="AZ492" i="91"/>
  <c r="AX492" i="91"/>
  <c r="AW492" i="91"/>
  <c r="AV492" i="91"/>
  <c r="AU492" i="91"/>
  <c r="AT492" i="91"/>
  <c r="AR492" i="91"/>
  <c r="AQ492" i="91"/>
  <c r="AP492" i="91"/>
  <c r="AO492" i="91"/>
  <c r="AN492" i="91"/>
  <c r="AM492" i="91"/>
  <c r="AL492" i="91"/>
  <c r="AK492" i="91"/>
  <c r="AJ492" i="91"/>
  <c r="AI492" i="91"/>
  <c r="AH492" i="91"/>
  <c r="AG492" i="91"/>
  <c r="AF492" i="91"/>
  <c r="AD492" i="91"/>
  <c r="AC492" i="91"/>
  <c r="AB492" i="91"/>
  <c r="AA492" i="91"/>
  <c r="Z492" i="91"/>
  <c r="Y492" i="91"/>
  <c r="X492" i="91"/>
  <c r="W492" i="91"/>
  <c r="V492" i="91"/>
  <c r="U492" i="91"/>
  <c r="T492" i="91" s="1"/>
  <c r="S492" i="91"/>
  <c r="Q492" i="91"/>
  <c r="P492" i="91"/>
  <c r="O492" i="91"/>
  <c r="N492" i="91"/>
  <c r="M492" i="91"/>
  <c r="L492" i="91"/>
  <c r="K492" i="91"/>
  <c r="J492" i="91"/>
  <c r="I492" i="91"/>
  <c r="H492" i="91" s="1"/>
  <c r="E492" i="91"/>
  <c r="D492" i="91"/>
  <c r="BO491" i="91"/>
  <c r="AY491" i="91"/>
  <c r="AI491" i="91"/>
  <c r="T491" i="91"/>
  <c r="H491" i="91"/>
  <c r="BO490" i="91"/>
  <c r="AY490" i="91"/>
  <c r="AI490" i="91"/>
  <c r="T490" i="91"/>
  <c r="H490" i="91"/>
  <c r="BO489" i="91"/>
  <c r="AY489" i="91"/>
  <c r="AI489" i="91"/>
  <c r="T489" i="91"/>
  <c r="H489" i="91"/>
  <c r="CK488" i="91"/>
  <c r="BO488" i="91"/>
  <c r="CF488" i="91" s="1"/>
  <c r="AY488" i="91"/>
  <c r="AI488" i="91"/>
  <c r="T488" i="91"/>
  <c r="H488" i="91"/>
  <c r="BO487" i="91"/>
  <c r="BD487" i="91"/>
  <c r="CK487" i="91" s="1"/>
  <c r="AI487" i="91"/>
  <c r="T487" i="91"/>
  <c r="H487" i="91"/>
  <c r="BO486" i="91"/>
  <c r="BN486" i="91"/>
  <c r="CW486" i="91" s="1"/>
  <c r="AI486" i="91"/>
  <c r="T486" i="91"/>
  <c r="H486" i="91"/>
  <c r="CE485" i="91"/>
  <c r="CD485" i="91"/>
  <c r="CC485" i="91"/>
  <c r="CB485" i="91"/>
  <c r="CA485" i="91"/>
  <c r="BZ485" i="91"/>
  <c r="BY485" i="91"/>
  <c r="BX485" i="91"/>
  <c r="BW485" i="91"/>
  <c r="BV485" i="91"/>
  <c r="BU485" i="91"/>
  <c r="BT485" i="91"/>
  <c r="BS485" i="91"/>
  <c r="BR485" i="91"/>
  <c r="BQ485" i="91"/>
  <c r="BP485" i="91"/>
  <c r="BO485" i="91" s="1"/>
  <c r="BM485" i="91"/>
  <c r="BL485" i="91"/>
  <c r="BK485" i="91"/>
  <c r="BJ485" i="91"/>
  <c r="BI485" i="91"/>
  <c r="BH485" i="91"/>
  <c r="BG485" i="91"/>
  <c r="BF485" i="91"/>
  <c r="BE485" i="91"/>
  <c r="BD485" i="91"/>
  <c r="CK485" i="91" s="1"/>
  <c r="BC485" i="91"/>
  <c r="BB485" i="91"/>
  <c r="BA485" i="91"/>
  <c r="AZ485" i="91"/>
  <c r="AX485" i="91"/>
  <c r="AW485" i="91"/>
  <c r="AV485" i="91"/>
  <c r="AU485" i="91"/>
  <c r="AT485" i="91"/>
  <c r="AR485" i="91"/>
  <c r="AQ485" i="91"/>
  <c r="AP485" i="91"/>
  <c r="AO485" i="91"/>
  <c r="AN485" i="91"/>
  <c r="AM485" i="91"/>
  <c r="AL485" i="91"/>
  <c r="AK485" i="91"/>
  <c r="AJ485" i="91"/>
  <c r="AI485" i="91"/>
  <c r="AH485" i="91"/>
  <c r="AG485" i="91"/>
  <c r="AF485" i="91"/>
  <c r="AD485" i="91"/>
  <c r="AC485" i="91"/>
  <c r="AB485" i="91"/>
  <c r="AA485" i="91"/>
  <c r="Z485" i="91"/>
  <c r="Y485" i="91"/>
  <c r="X485" i="91"/>
  <c r="W485" i="91"/>
  <c r="V485" i="91"/>
  <c r="U485" i="91"/>
  <c r="T485" i="91" s="1"/>
  <c r="S485" i="91"/>
  <c r="S484" i="91" s="1"/>
  <c r="Q485" i="91"/>
  <c r="P485" i="91"/>
  <c r="P484" i="91" s="1"/>
  <c r="O485" i="91"/>
  <c r="N485" i="91"/>
  <c r="N484" i="91" s="1"/>
  <c r="M485" i="91"/>
  <c r="L485" i="91"/>
  <c r="L484" i="91" s="1"/>
  <c r="K485" i="91"/>
  <c r="J485" i="91"/>
  <c r="J484" i="91" s="1"/>
  <c r="I485" i="91"/>
  <c r="H485" i="91"/>
  <c r="E485" i="91"/>
  <c r="D485" i="91"/>
  <c r="D484" i="91" s="1"/>
  <c r="CE484" i="91"/>
  <c r="CD484" i="91"/>
  <c r="CC484" i="91"/>
  <c r="CB484" i="91"/>
  <c r="CA484" i="91"/>
  <c r="BZ484" i="91"/>
  <c r="BY484" i="91"/>
  <c r="BX484" i="91"/>
  <c r="BW484" i="91"/>
  <c r="BV484" i="91"/>
  <c r="BU484" i="91"/>
  <c r="BT484" i="91"/>
  <c r="BS484" i="91"/>
  <c r="BR484" i="91"/>
  <c r="BQ484" i="91"/>
  <c r="BP484" i="91"/>
  <c r="BO484" i="91" s="1"/>
  <c r="BM484" i="91"/>
  <c r="BL484" i="91"/>
  <c r="BK484" i="91"/>
  <c r="BJ484" i="91"/>
  <c r="BI484" i="91"/>
  <c r="BH484" i="91"/>
  <c r="BG484" i="91"/>
  <c r="BF484" i="91"/>
  <c r="BE484" i="91"/>
  <c r="BC484" i="91"/>
  <c r="BB484" i="91"/>
  <c r="BA484" i="91"/>
  <c r="AZ484" i="91"/>
  <c r="AX484" i="91"/>
  <c r="AW484" i="91"/>
  <c r="AV484" i="91"/>
  <c r="AU484" i="91"/>
  <c r="AT484" i="91"/>
  <c r="AR484" i="91"/>
  <c r="AQ484" i="91"/>
  <c r="AP484" i="91"/>
  <c r="AO484" i="91"/>
  <c r="AN484" i="91"/>
  <c r="AM484" i="91"/>
  <c r="AL484" i="91"/>
  <c r="AK484" i="91"/>
  <c r="AJ484" i="91"/>
  <c r="AI484" i="91"/>
  <c r="AH484" i="91"/>
  <c r="AG484" i="91"/>
  <c r="AF484" i="91"/>
  <c r="AD484" i="91"/>
  <c r="AC484" i="91"/>
  <c r="AB484" i="91"/>
  <c r="AA484" i="91"/>
  <c r="Z484" i="91"/>
  <c r="Y484" i="91"/>
  <c r="X484" i="91"/>
  <c r="W484" i="91"/>
  <c r="V484" i="91"/>
  <c r="U484" i="91"/>
  <c r="T484" i="91" s="1"/>
  <c r="Q484" i="91"/>
  <c r="O484" i="91"/>
  <c r="M484" i="91"/>
  <c r="K484" i="91"/>
  <c r="I484" i="91"/>
  <c r="H484" i="91" s="1"/>
  <c r="E484" i="91"/>
  <c r="BS483" i="91"/>
  <c r="BO483" i="91" s="1"/>
  <c r="BC483" i="91"/>
  <c r="AY483" i="91" s="1"/>
  <c r="AY482" i="91" s="1"/>
  <c r="AX483" i="91"/>
  <c r="AI483" i="91" s="1"/>
  <c r="AI482" i="91" s="1"/>
  <c r="T483" i="91"/>
  <c r="H483" i="91"/>
  <c r="CE482" i="91"/>
  <c r="CD482" i="91"/>
  <c r="CC482" i="91"/>
  <c r="CB482" i="91"/>
  <c r="CA482" i="91"/>
  <c r="BZ482" i="91"/>
  <c r="BY482" i="91"/>
  <c r="BX482" i="91"/>
  <c r="BW482" i="91"/>
  <c r="BV482" i="91"/>
  <c r="BU482" i="91"/>
  <c r="BT482" i="91"/>
  <c r="BR482" i="91"/>
  <c r="BQ482" i="91"/>
  <c r="BP482" i="91"/>
  <c r="BN482" i="91"/>
  <c r="BM482" i="91"/>
  <c r="BL482" i="91"/>
  <c r="BK482" i="91"/>
  <c r="BJ482" i="91"/>
  <c r="BI482" i="91"/>
  <c r="BH482" i="91"/>
  <c r="BG482" i="91"/>
  <c r="BF482" i="91"/>
  <c r="BE482" i="91"/>
  <c r="BD482" i="91"/>
  <c r="BB482" i="91"/>
  <c r="BA482" i="91"/>
  <c r="AZ482" i="91"/>
  <c r="AW482" i="91"/>
  <c r="AV482" i="91"/>
  <c r="AU482" i="91"/>
  <c r="AT482" i="91"/>
  <c r="AR482" i="91"/>
  <c r="AQ482" i="91"/>
  <c r="AP482" i="91"/>
  <c r="AO482" i="91"/>
  <c r="AN482" i="91"/>
  <c r="AM482" i="91"/>
  <c r="AL482" i="91"/>
  <c r="AK482" i="91"/>
  <c r="AJ482" i="91"/>
  <c r="AH482" i="91"/>
  <c r="AG482" i="91"/>
  <c r="AF482" i="91"/>
  <c r="AD482" i="91"/>
  <c r="AC482" i="91"/>
  <c r="AB482" i="91"/>
  <c r="AA482" i="91"/>
  <c r="Z482" i="91"/>
  <c r="Y482" i="91"/>
  <c r="X482" i="91"/>
  <c r="W482" i="91"/>
  <c r="V482" i="91"/>
  <c r="U482" i="91"/>
  <c r="T482" i="91" s="1"/>
  <c r="S482" i="91"/>
  <c r="Q482" i="91"/>
  <c r="P482" i="91"/>
  <c r="O482" i="91"/>
  <c r="N482" i="91"/>
  <c r="M482" i="91"/>
  <c r="L482" i="91"/>
  <c r="K482" i="91"/>
  <c r="J482" i="91"/>
  <c r="I482" i="91"/>
  <c r="E482" i="91"/>
  <c r="D482" i="91"/>
  <c r="BO481" i="91"/>
  <c r="BN481" i="91"/>
  <c r="CW481" i="91" s="1"/>
  <c r="AI481" i="91"/>
  <c r="AI479" i="91" s="1"/>
  <c r="T481" i="91"/>
  <c r="H481" i="91"/>
  <c r="BO480" i="91"/>
  <c r="BN480" i="91"/>
  <c r="CW480" i="91" s="1"/>
  <c r="AI480" i="91"/>
  <c r="T480" i="91"/>
  <c r="T479" i="91" s="1"/>
  <c r="H480" i="91"/>
  <c r="CE479" i="91"/>
  <c r="CD479" i="91"/>
  <c r="CC479" i="91"/>
  <c r="CB479" i="91"/>
  <c r="CA479" i="91"/>
  <c r="BZ479" i="91"/>
  <c r="BY479" i="91"/>
  <c r="BX479" i="91"/>
  <c r="BW479" i="91"/>
  <c r="BV479" i="91"/>
  <c r="BU479" i="91"/>
  <c r="BT479" i="91"/>
  <c r="BS479" i="91"/>
  <c r="BR479" i="91"/>
  <c r="BQ479" i="91"/>
  <c r="BP479" i="91"/>
  <c r="BO479" i="91"/>
  <c r="BM479" i="91"/>
  <c r="BL479" i="91"/>
  <c r="BK479" i="91"/>
  <c r="BJ479" i="91"/>
  <c r="BI479" i="91"/>
  <c r="BH479" i="91"/>
  <c r="BG479" i="91"/>
  <c r="BF479" i="91"/>
  <c r="BE479" i="91"/>
  <c r="BD479" i="91"/>
  <c r="BC479" i="91"/>
  <c r="BB479" i="91"/>
  <c r="BA479" i="91"/>
  <c r="AZ479" i="91"/>
  <c r="AX479" i="91"/>
  <c r="AW479" i="91"/>
  <c r="AV479" i="91"/>
  <c r="AU479" i="91"/>
  <c r="AT479" i="91"/>
  <c r="AR479" i="91"/>
  <c r="AQ479" i="91"/>
  <c r="AP479" i="91"/>
  <c r="AO479" i="91"/>
  <c r="AN479" i="91"/>
  <c r="AM479" i="91"/>
  <c r="AL479" i="91"/>
  <c r="AK479" i="91"/>
  <c r="AJ479" i="91"/>
  <c r="AH479" i="91"/>
  <c r="AG479" i="91"/>
  <c r="AF479" i="91"/>
  <c r="AD479" i="91"/>
  <c r="AC479" i="91"/>
  <c r="AB479" i="91"/>
  <c r="AA479" i="91"/>
  <c r="Z479" i="91"/>
  <c r="Y479" i="91"/>
  <c r="X479" i="91"/>
  <c r="W479" i="91"/>
  <c r="V479" i="91"/>
  <c r="U479" i="91"/>
  <c r="S479" i="91"/>
  <c r="Q479" i="91"/>
  <c r="P479" i="91"/>
  <c r="O479" i="91"/>
  <c r="N479" i="91"/>
  <c r="M479" i="91"/>
  <c r="L479" i="91"/>
  <c r="K479" i="91"/>
  <c r="J479" i="91"/>
  <c r="I479" i="91"/>
  <c r="H479" i="91"/>
  <c r="E479" i="91"/>
  <c r="D479" i="91"/>
  <c r="BO478" i="91"/>
  <c r="AY478" i="91"/>
  <c r="AI478" i="91"/>
  <c r="T478" i="91"/>
  <c r="H478" i="91"/>
  <c r="BO477" i="91"/>
  <c r="AY477" i="91"/>
  <c r="T477" i="91"/>
  <c r="H477" i="91"/>
  <c r="BO476" i="91"/>
  <c r="AY476" i="91"/>
  <c r="AI476" i="91"/>
  <c r="T476" i="91"/>
  <c r="H476" i="91"/>
  <c r="BO475" i="91"/>
  <c r="AY475" i="91"/>
  <c r="AI475" i="91"/>
  <c r="T475" i="91"/>
  <c r="H475" i="91"/>
  <c r="BO474" i="91"/>
  <c r="BN474" i="91"/>
  <c r="CW474" i="91" s="1"/>
  <c r="AI474" i="91"/>
  <c r="AI473" i="91" s="1"/>
  <c r="T474" i="91"/>
  <c r="H474" i="91"/>
  <c r="CE473" i="91"/>
  <c r="CD473" i="91"/>
  <c r="CC473" i="91"/>
  <c r="CB473" i="91"/>
  <c r="CA473" i="91"/>
  <c r="BZ473" i="91"/>
  <c r="BY473" i="91"/>
  <c r="BX473" i="91"/>
  <c r="BW473" i="91"/>
  <c r="BV473" i="91"/>
  <c r="BU473" i="91"/>
  <c r="BT473" i="91"/>
  <c r="BS473" i="91"/>
  <c r="BR473" i="91"/>
  <c r="BQ473" i="91"/>
  <c r="BP473" i="91"/>
  <c r="BO473" i="91" s="1"/>
  <c r="BN473" i="91"/>
  <c r="BM473" i="91"/>
  <c r="BL473" i="91"/>
  <c r="BK473" i="91"/>
  <c r="BJ473" i="91"/>
  <c r="BI473" i="91"/>
  <c r="BH473" i="91"/>
  <c r="BG473" i="91"/>
  <c r="BF473" i="91"/>
  <c r="BE473" i="91"/>
  <c r="BD473" i="91"/>
  <c r="BC473" i="91"/>
  <c r="BB473" i="91"/>
  <c r="BA473" i="91"/>
  <c r="AZ473" i="91"/>
  <c r="AX473" i="91"/>
  <c r="AW473" i="91"/>
  <c r="AV473" i="91"/>
  <c r="AU473" i="91"/>
  <c r="AT473" i="91"/>
  <c r="AR473" i="91"/>
  <c r="AQ473" i="91"/>
  <c r="AP473" i="91"/>
  <c r="AO473" i="91"/>
  <c r="AN473" i="91"/>
  <c r="AM473" i="91"/>
  <c r="AL473" i="91"/>
  <c r="AK473" i="91"/>
  <c r="AJ473" i="91"/>
  <c r="AH473" i="91"/>
  <c r="AG473" i="91"/>
  <c r="AF473" i="91"/>
  <c r="AD473" i="91"/>
  <c r="AC473" i="91"/>
  <c r="AB473" i="91"/>
  <c r="AA473" i="91"/>
  <c r="Z473" i="91"/>
  <c r="Y473" i="91"/>
  <c r="X473" i="91"/>
  <c r="W473" i="91"/>
  <c r="V473" i="91"/>
  <c r="U473" i="91"/>
  <c r="T473" i="91" s="1"/>
  <c r="S473" i="91"/>
  <c r="Q473" i="91"/>
  <c r="P473" i="91"/>
  <c r="O473" i="91"/>
  <c r="N473" i="91"/>
  <c r="M473" i="91"/>
  <c r="L473" i="91"/>
  <c r="K473" i="91"/>
  <c r="J473" i="91"/>
  <c r="I473" i="91"/>
  <c r="H473" i="91" s="1"/>
  <c r="E473" i="91"/>
  <c r="D473" i="91"/>
  <c r="CE472" i="91"/>
  <c r="CD472" i="91"/>
  <c r="CC472" i="91"/>
  <c r="CB472" i="91"/>
  <c r="CA472" i="91"/>
  <c r="BZ472" i="91"/>
  <c r="BY472" i="91"/>
  <c r="BX472" i="91"/>
  <c r="BW472" i="91"/>
  <c r="BV472" i="91"/>
  <c r="BU472" i="91"/>
  <c r="BT472" i="91"/>
  <c r="BR472" i="91"/>
  <c r="BQ472" i="91"/>
  <c r="BP472" i="91"/>
  <c r="BM472" i="91"/>
  <c r="BL472" i="91"/>
  <c r="BK472" i="91"/>
  <c r="BJ472" i="91"/>
  <c r="BI472" i="91"/>
  <c r="BH472" i="91"/>
  <c r="BG472" i="91"/>
  <c r="BF472" i="91"/>
  <c r="BE472" i="91"/>
  <c r="BD472" i="91"/>
  <c r="BB472" i="91"/>
  <c r="BA472" i="91"/>
  <c r="AZ472" i="91"/>
  <c r="AW472" i="91"/>
  <c r="AV472" i="91"/>
  <c r="AU472" i="91"/>
  <c r="AT472" i="91"/>
  <c r="AR472" i="91"/>
  <c r="AQ472" i="91"/>
  <c r="AP472" i="91"/>
  <c r="AO472" i="91"/>
  <c r="AN472" i="91"/>
  <c r="AM472" i="91"/>
  <c r="AL472" i="91"/>
  <c r="AK472" i="91"/>
  <c r="AJ472" i="91"/>
  <c r="AH472" i="91"/>
  <c r="AG472" i="91"/>
  <c r="AF472" i="91"/>
  <c r="AD472" i="91"/>
  <c r="AC472" i="91"/>
  <c r="AB472" i="91"/>
  <c r="AA472" i="91"/>
  <c r="Z472" i="91"/>
  <c r="Y472" i="91"/>
  <c r="X472" i="91"/>
  <c r="W472" i="91"/>
  <c r="V472" i="91"/>
  <c r="U472" i="91"/>
  <c r="T472" i="91" s="1"/>
  <c r="S472" i="91"/>
  <c r="Q472" i="91"/>
  <c r="P472" i="91"/>
  <c r="O472" i="91"/>
  <c r="N472" i="91"/>
  <c r="M472" i="91"/>
  <c r="L472" i="91"/>
  <c r="K472" i="91"/>
  <c r="J472" i="91"/>
  <c r="I472" i="91"/>
  <c r="H472" i="91" s="1"/>
  <c r="E472" i="91"/>
  <c r="D472" i="91"/>
  <c r="CW471" i="91"/>
  <c r="BO471" i="91"/>
  <c r="BD471" i="91"/>
  <c r="CK471" i="91" s="1"/>
  <c r="AI471" i="91"/>
  <c r="T471" i="91"/>
  <c r="H471" i="91"/>
  <c r="BO470" i="91"/>
  <c r="BN470" i="91"/>
  <c r="CW470" i="91" s="1"/>
  <c r="T470" i="91"/>
  <c r="H470" i="91"/>
  <c r="CE469" i="91"/>
  <c r="BO469" i="91" s="1"/>
  <c r="BN469" i="91"/>
  <c r="AY469" i="91" s="1"/>
  <c r="T469" i="91"/>
  <c r="H469" i="91"/>
  <c r="BO468" i="91"/>
  <c r="BN468" i="91"/>
  <c r="CW468" i="91" s="1"/>
  <c r="H468" i="91"/>
  <c r="CD467" i="91"/>
  <c r="CC467" i="91"/>
  <c r="CB467" i="91"/>
  <c r="CA467" i="91"/>
  <c r="BZ467" i="91"/>
  <c r="BY467" i="91"/>
  <c r="BX467" i="91"/>
  <c r="BW467" i="91"/>
  <c r="BV467" i="91"/>
  <c r="BU467" i="91"/>
  <c r="BT467" i="91"/>
  <c r="BS467" i="91"/>
  <c r="BR467" i="91"/>
  <c r="BQ467" i="91"/>
  <c r="BP467" i="91"/>
  <c r="BM467" i="91"/>
  <c r="BL467" i="91"/>
  <c r="BK467" i="91"/>
  <c r="BJ467" i="91"/>
  <c r="BI467" i="91"/>
  <c r="BH467" i="91"/>
  <c r="BG467" i="91"/>
  <c r="BF467" i="91"/>
  <c r="BE467" i="91"/>
  <c r="BC467" i="91"/>
  <c r="BB467" i="91"/>
  <c r="BA467" i="91"/>
  <c r="AZ467" i="91"/>
  <c r="AX467" i="91"/>
  <c r="AW467" i="91"/>
  <c r="AV467" i="91"/>
  <c r="AU467" i="91"/>
  <c r="AT467" i="91"/>
  <c r="AR467" i="91"/>
  <c r="AQ467" i="91"/>
  <c r="AP467" i="91"/>
  <c r="AO467" i="91"/>
  <c r="AN467" i="91"/>
  <c r="AM467" i="91"/>
  <c r="AL467" i="91"/>
  <c r="AK467" i="91"/>
  <c r="AJ467" i="91"/>
  <c r="AI467" i="91"/>
  <c r="AH467" i="91"/>
  <c r="AG467" i="91"/>
  <c r="AF467" i="91"/>
  <c r="AC467" i="91"/>
  <c r="AB467" i="91"/>
  <c r="AA467" i="91"/>
  <c r="Z467" i="91"/>
  <c r="Y467" i="91"/>
  <c r="X467" i="91"/>
  <c r="W467" i="91"/>
  <c r="V467" i="91"/>
  <c r="U467" i="91"/>
  <c r="T467" i="91" s="1"/>
  <c r="T462" i="91" s="1"/>
  <c r="S467" i="91"/>
  <c r="Q467" i="91"/>
  <c r="P467" i="91"/>
  <c r="O467" i="91"/>
  <c r="N467" i="91"/>
  <c r="M467" i="91"/>
  <c r="L467" i="91"/>
  <c r="K467" i="91"/>
  <c r="J467" i="91"/>
  <c r="I467" i="91"/>
  <c r="E467" i="91"/>
  <c r="D467" i="91"/>
  <c r="BO466" i="91"/>
  <c r="AI466" i="91"/>
  <c r="T466" i="91"/>
  <c r="H466" i="91"/>
  <c r="BO465" i="91"/>
  <c r="BD465" i="91"/>
  <c r="CK465" i="91" s="1"/>
  <c r="AI465" i="91"/>
  <c r="AI463" i="91" s="1"/>
  <c r="AI462" i="91" s="1"/>
  <c r="T465" i="91"/>
  <c r="H465" i="91"/>
  <c r="CE464" i="91"/>
  <c r="BN464" i="91"/>
  <c r="AY464" i="91" s="1"/>
  <c r="AI464" i="91"/>
  <c r="T464" i="91"/>
  <c r="H464" i="91"/>
  <c r="CS463" i="91"/>
  <c r="CD463" i="91"/>
  <c r="CC463" i="91"/>
  <c r="CC462" i="91" s="1"/>
  <c r="CB463" i="91"/>
  <c r="CA463" i="91"/>
  <c r="CA462" i="91" s="1"/>
  <c r="BZ463" i="91"/>
  <c r="BY463" i="91"/>
  <c r="BY462" i="91" s="1"/>
  <c r="BX463" i="91"/>
  <c r="BW463" i="91"/>
  <c r="BW462" i="91" s="1"/>
  <c r="BV463" i="91"/>
  <c r="BU463" i="91"/>
  <c r="BU462" i="91" s="1"/>
  <c r="BT463" i="91"/>
  <c r="BS463" i="91"/>
  <c r="BS462" i="91" s="1"/>
  <c r="BR463" i="91"/>
  <c r="BQ463" i="91"/>
  <c r="BQ462" i="91" s="1"/>
  <c r="BP463" i="91"/>
  <c r="BN463" i="91"/>
  <c r="BM463" i="91"/>
  <c r="BL463" i="91"/>
  <c r="BK463" i="91"/>
  <c r="BJ463" i="91"/>
  <c r="BI463" i="91"/>
  <c r="BH463" i="91"/>
  <c r="BG463" i="91"/>
  <c r="BF463" i="91"/>
  <c r="BE463" i="91"/>
  <c r="BC463" i="91"/>
  <c r="BB463" i="91"/>
  <c r="BA463" i="91"/>
  <c r="AZ463" i="91"/>
  <c r="AX463" i="91"/>
  <c r="AW463" i="91"/>
  <c r="AV463" i="91"/>
  <c r="AU463" i="91"/>
  <c r="AT463" i="91"/>
  <c r="AR463" i="91"/>
  <c r="AQ463" i="91"/>
  <c r="AP463" i="91"/>
  <c r="AO463" i="91"/>
  <c r="AN463" i="91"/>
  <c r="AM463" i="91"/>
  <c r="AL463" i="91"/>
  <c r="AK463" i="91"/>
  <c r="AJ463" i="91"/>
  <c r="AH463" i="91"/>
  <c r="AG463" i="91"/>
  <c r="AF463" i="91"/>
  <c r="AC463" i="91"/>
  <c r="AB463" i="91"/>
  <c r="AA463" i="91"/>
  <c r="Z463" i="91"/>
  <c r="Y463" i="91"/>
  <c r="X463" i="91"/>
  <c r="W463" i="91"/>
  <c r="V463" i="91"/>
  <c r="U463" i="91"/>
  <c r="T463" i="91"/>
  <c r="S463" i="91"/>
  <c r="Q463" i="91"/>
  <c r="P463" i="91"/>
  <c r="O463" i="91"/>
  <c r="N463" i="91"/>
  <c r="M463" i="91"/>
  <c r="L463" i="91"/>
  <c r="K463" i="91"/>
  <c r="J463" i="91"/>
  <c r="I463" i="91"/>
  <c r="H463" i="91" s="1"/>
  <c r="E463" i="91"/>
  <c r="E462" i="91" s="1"/>
  <c r="D463" i="91"/>
  <c r="CD462" i="91"/>
  <c r="CB462" i="91"/>
  <c r="BZ462" i="91"/>
  <c r="BX462" i="91"/>
  <c r="BV462" i="91"/>
  <c r="BT462" i="91"/>
  <c r="BR462" i="91"/>
  <c r="BP462" i="91"/>
  <c r="BM462" i="91"/>
  <c r="BL462" i="91"/>
  <c r="BK462" i="91"/>
  <c r="BJ462" i="91"/>
  <c r="BI462" i="91"/>
  <c r="BH462" i="91"/>
  <c r="BG462" i="91"/>
  <c r="BF462" i="91"/>
  <c r="BE462" i="91"/>
  <c r="BC462" i="91"/>
  <c r="BB462" i="91"/>
  <c r="BA462" i="91"/>
  <c r="AZ462" i="91"/>
  <c r="AX462" i="91"/>
  <c r="AW462" i="91"/>
  <c r="AV462" i="91"/>
  <c r="AU462" i="91"/>
  <c r="AT462" i="91"/>
  <c r="AR462" i="91"/>
  <c r="AQ462" i="91"/>
  <c r="AP462" i="91"/>
  <c r="AO462" i="91"/>
  <c r="AN462" i="91"/>
  <c r="AM462" i="91"/>
  <c r="AL462" i="91"/>
  <c r="AK462" i="91"/>
  <c r="AJ462" i="91"/>
  <c r="AH462" i="91"/>
  <c r="AG462" i="91"/>
  <c r="AF462" i="91"/>
  <c r="AC462" i="91"/>
  <c r="AB462" i="91"/>
  <c r="AA462" i="91"/>
  <c r="Z462" i="91"/>
  <c r="Y462" i="91"/>
  <c r="X462" i="91"/>
  <c r="W462" i="91"/>
  <c r="V462" i="91"/>
  <c r="U462" i="91"/>
  <c r="S462" i="91"/>
  <c r="Q462" i="91"/>
  <c r="P462" i="91"/>
  <c r="O462" i="91"/>
  <c r="N462" i="91"/>
  <c r="M462" i="91"/>
  <c r="L462" i="91"/>
  <c r="K462" i="91"/>
  <c r="J462" i="91"/>
  <c r="I462" i="91"/>
  <c r="H462" i="91" s="1"/>
  <c r="G462" i="91"/>
  <c r="F462" i="91"/>
  <c r="D462" i="91"/>
  <c r="BT461" i="91"/>
  <c r="BD461" i="91"/>
  <c r="AY461" i="91" s="1"/>
  <c r="AI461" i="91"/>
  <c r="T461" i="91"/>
  <c r="T459" i="91" s="1"/>
  <c r="H461" i="91"/>
  <c r="BO460" i="91"/>
  <c r="BD460" i="91"/>
  <c r="CK460" i="91" s="1"/>
  <c r="AI460" i="91"/>
  <c r="AI459" i="91" s="1"/>
  <c r="T460" i="91"/>
  <c r="H460" i="91"/>
  <c r="CS459" i="91"/>
  <c r="CE459" i="91"/>
  <c r="CD459" i="91"/>
  <c r="CC459" i="91"/>
  <c r="CB459" i="91"/>
  <c r="CA459" i="91"/>
  <c r="BZ459" i="91"/>
  <c r="BY459" i="91"/>
  <c r="BX459" i="91"/>
  <c r="BW459" i="91"/>
  <c r="BV459" i="91"/>
  <c r="BU459" i="91"/>
  <c r="BS459" i="91"/>
  <c r="BR459" i="91"/>
  <c r="BQ459" i="91"/>
  <c r="BP459" i="91"/>
  <c r="BN459" i="91"/>
  <c r="BM459" i="91"/>
  <c r="BL459" i="91"/>
  <c r="BK459" i="91"/>
  <c r="BJ459" i="91"/>
  <c r="BI459" i="91"/>
  <c r="BH459" i="91"/>
  <c r="BG459" i="91"/>
  <c r="BF459" i="91"/>
  <c r="BE459" i="91"/>
  <c r="BC459" i="91"/>
  <c r="BB459" i="91"/>
  <c r="BA459" i="91"/>
  <c r="AZ459" i="91"/>
  <c r="AX459" i="91"/>
  <c r="AW459" i="91"/>
  <c r="AV459" i="91"/>
  <c r="AU459" i="91"/>
  <c r="AT459" i="91"/>
  <c r="AR459" i="91"/>
  <c r="AQ459" i="91"/>
  <c r="AP459" i="91"/>
  <c r="AO459" i="91"/>
  <c r="AN459" i="91"/>
  <c r="AM459" i="91"/>
  <c r="AL459" i="91"/>
  <c r="AK459" i="91"/>
  <c r="AJ459" i="91"/>
  <c r="AH459" i="91"/>
  <c r="AG459" i="91"/>
  <c r="AG456" i="91" s="1"/>
  <c r="AF459" i="91"/>
  <c r="AC459" i="91"/>
  <c r="AB459" i="91"/>
  <c r="AA459" i="91"/>
  <c r="AA456" i="91" s="1"/>
  <c r="Z459" i="91"/>
  <c r="Y459" i="91"/>
  <c r="X459" i="91"/>
  <c r="W459" i="91"/>
  <c r="W456" i="91" s="1"/>
  <c r="V459" i="91"/>
  <c r="U459" i="91"/>
  <c r="S459" i="91"/>
  <c r="S456" i="91" s="1"/>
  <c r="Q459" i="91"/>
  <c r="P459" i="91"/>
  <c r="O459" i="91"/>
  <c r="N459" i="91"/>
  <c r="N456" i="91" s="1"/>
  <c r="M459" i="91"/>
  <c r="L459" i="91"/>
  <c r="K459" i="91"/>
  <c r="J459" i="91"/>
  <c r="J456" i="91" s="1"/>
  <c r="I459" i="91"/>
  <c r="E459" i="91"/>
  <c r="D459" i="91"/>
  <c r="CE458" i="91"/>
  <c r="BN458" i="91"/>
  <c r="AY458" i="91" s="1"/>
  <c r="AY457" i="91" s="1"/>
  <c r="T458" i="91"/>
  <c r="H458" i="91"/>
  <c r="CE457" i="91"/>
  <c r="CD457" i="91"/>
  <c r="CC457" i="91"/>
  <c r="CC456" i="91" s="1"/>
  <c r="CB457" i="91"/>
  <c r="CA457" i="91"/>
  <c r="CA456" i="91" s="1"/>
  <c r="BZ457" i="91"/>
  <c r="BY457" i="91"/>
  <c r="BY456" i="91" s="1"/>
  <c r="BX457" i="91"/>
  <c r="BW457" i="91"/>
  <c r="BW456" i="91" s="1"/>
  <c r="BV457" i="91"/>
  <c r="BU457" i="91"/>
  <c r="BU456" i="91" s="1"/>
  <c r="BT457" i="91"/>
  <c r="BS457" i="91"/>
  <c r="BS456" i="91" s="1"/>
  <c r="BR457" i="91"/>
  <c r="BQ457" i="91"/>
  <c r="BQ456" i="91" s="1"/>
  <c r="BP457" i="91"/>
  <c r="BO457" i="91"/>
  <c r="BM457" i="91"/>
  <c r="BL457" i="91"/>
  <c r="BK457" i="91"/>
  <c r="BJ457" i="91"/>
  <c r="BJ456" i="91" s="1"/>
  <c r="BI457" i="91"/>
  <c r="BH457" i="91"/>
  <c r="BG457" i="91"/>
  <c r="BF457" i="91"/>
  <c r="BF456" i="91" s="1"/>
  <c r="BE457" i="91"/>
  <c r="BD457" i="91"/>
  <c r="BC457" i="91"/>
  <c r="BC456" i="91" s="1"/>
  <c r="BB457" i="91"/>
  <c r="BA457" i="91"/>
  <c r="BA456" i="91" s="1"/>
  <c r="AZ457" i="91"/>
  <c r="AZ456" i="91" s="1"/>
  <c r="AZ446" i="91" s="1"/>
  <c r="AX457" i="91"/>
  <c r="AW457" i="91"/>
  <c r="AW456" i="91" s="1"/>
  <c r="AV457" i="91"/>
  <c r="AU457" i="91"/>
  <c r="AU456" i="91" s="1"/>
  <c r="AT457" i="91"/>
  <c r="AR457" i="91"/>
  <c r="AR456" i="91" s="1"/>
  <c r="AQ457" i="91"/>
  <c r="AP457" i="91"/>
  <c r="AP456" i="91" s="1"/>
  <c r="AO457" i="91"/>
  <c r="AN457" i="91"/>
  <c r="AN456" i="91" s="1"/>
  <c r="AM457" i="91"/>
  <c r="AL457" i="91"/>
  <c r="AL456" i="91" s="1"/>
  <c r="AK457" i="91"/>
  <c r="AJ457" i="91"/>
  <c r="AJ456" i="91" s="1"/>
  <c r="AI457" i="91"/>
  <c r="AH457" i="91"/>
  <c r="AH456" i="91" s="1"/>
  <c r="AG457" i="91"/>
  <c r="AF457" i="91"/>
  <c r="AF456" i="91" s="1"/>
  <c r="AC457" i="91"/>
  <c r="AB457" i="91"/>
  <c r="AB456" i="91" s="1"/>
  <c r="AA457" i="91"/>
  <c r="Z457" i="91"/>
  <c r="Z456" i="91" s="1"/>
  <c r="Y457" i="91"/>
  <c r="X457" i="91"/>
  <c r="X456" i="91" s="1"/>
  <c r="W457" i="91"/>
  <c r="V457" i="91"/>
  <c r="V456" i="91" s="1"/>
  <c r="U457" i="91"/>
  <c r="T457" i="91"/>
  <c r="S457" i="91"/>
  <c r="Q457" i="91"/>
  <c r="Q456" i="91" s="1"/>
  <c r="P457" i="91"/>
  <c r="O457" i="91"/>
  <c r="O456" i="91" s="1"/>
  <c r="N457" i="91"/>
  <c r="M457" i="91"/>
  <c r="M456" i="91" s="1"/>
  <c r="L457" i="91"/>
  <c r="K457" i="91"/>
  <c r="K456" i="91" s="1"/>
  <c r="J457" i="91"/>
  <c r="I457" i="91"/>
  <c r="H457" i="91" s="1"/>
  <c r="E457" i="91"/>
  <c r="D457" i="91"/>
  <c r="CD456" i="91"/>
  <c r="CB456" i="91"/>
  <c r="BZ456" i="91"/>
  <c r="BX456" i="91"/>
  <c r="BV456" i="91"/>
  <c r="BR456" i="91"/>
  <c r="BP456" i="91"/>
  <c r="BL456" i="91"/>
  <c r="BH456" i="91"/>
  <c r="BB456" i="91"/>
  <c r="AX456" i="91"/>
  <c r="AV456" i="91"/>
  <c r="AT456" i="91"/>
  <c r="AQ456" i="91"/>
  <c r="AO456" i="91"/>
  <c r="AM456" i="91"/>
  <c r="AK456" i="91"/>
  <c r="AC456" i="91"/>
  <c r="Y456" i="91"/>
  <c r="U456" i="91"/>
  <c r="P456" i="91"/>
  <c r="L456" i="91"/>
  <c r="D456" i="91"/>
  <c r="CE455" i="91"/>
  <c r="BO455" i="91" s="1"/>
  <c r="BN455" i="91"/>
  <c r="AY455" i="91" s="1"/>
  <c r="AY454" i="91" s="1"/>
  <c r="AY453" i="91" s="1"/>
  <c r="AI455" i="91"/>
  <c r="T455" i="91"/>
  <c r="T454" i="91" s="1"/>
  <c r="T453" i="91" s="1"/>
  <c r="H455" i="91"/>
  <c r="CE454" i="91"/>
  <c r="CD454" i="91"/>
  <c r="CC454" i="91"/>
  <c r="CC453" i="91" s="1"/>
  <c r="CB454" i="91"/>
  <c r="CA454" i="91"/>
  <c r="CA453" i="91" s="1"/>
  <c r="BZ454" i="91"/>
  <c r="BY454" i="91"/>
  <c r="BY453" i="91" s="1"/>
  <c r="BX454" i="91"/>
  <c r="BW454" i="91"/>
  <c r="BW453" i="91" s="1"/>
  <c r="BV454" i="91"/>
  <c r="BU454" i="91"/>
  <c r="BU453" i="91" s="1"/>
  <c r="BT454" i="91"/>
  <c r="BS454" i="91"/>
  <c r="BS453" i="91" s="1"/>
  <c r="BR454" i="91"/>
  <c r="BQ454" i="91"/>
  <c r="BQ453" i="91" s="1"/>
  <c r="BP454" i="91"/>
  <c r="BO454" i="91"/>
  <c r="BN454" i="91"/>
  <c r="BM454" i="91"/>
  <c r="BM453" i="91" s="1"/>
  <c r="BL454" i="91"/>
  <c r="BK454" i="91"/>
  <c r="BK453" i="91" s="1"/>
  <c r="BJ454" i="91"/>
  <c r="BI454" i="91"/>
  <c r="BI453" i="91" s="1"/>
  <c r="BH454" i="91"/>
  <c r="BG454" i="91"/>
  <c r="BG453" i="91" s="1"/>
  <c r="BF454" i="91"/>
  <c r="BE454" i="91"/>
  <c r="BE453" i="91" s="1"/>
  <c r="BD454" i="91"/>
  <c r="BC454" i="91"/>
  <c r="BC453" i="91" s="1"/>
  <c r="BB454" i="91"/>
  <c r="BA454" i="91"/>
  <c r="BA453" i="91" s="1"/>
  <c r="BA446" i="91" s="1"/>
  <c r="AZ454" i="91"/>
  <c r="AX454" i="91"/>
  <c r="AW454" i="91"/>
  <c r="AW453" i="91" s="1"/>
  <c r="AV454" i="91"/>
  <c r="AU454" i="91"/>
  <c r="AU453" i="91" s="1"/>
  <c r="AT454" i="91"/>
  <c r="AR454" i="91"/>
  <c r="AR453" i="91" s="1"/>
  <c r="AQ454" i="91"/>
  <c r="AP454" i="91"/>
  <c r="AP453" i="91" s="1"/>
  <c r="AO454" i="91"/>
  <c r="AN454" i="91"/>
  <c r="AN453" i="91" s="1"/>
  <c r="AM454" i="91"/>
  <c r="AL454" i="91"/>
  <c r="AL453" i="91" s="1"/>
  <c r="AK454" i="91"/>
  <c r="AJ454" i="91"/>
  <c r="AJ453" i="91" s="1"/>
  <c r="AI454" i="91"/>
  <c r="AH454" i="91"/>
  <c r="AH453" i="91" s="1"/>
  <c r="AG454" i="91"/>
  <c r="AF454" i="91"/>
  <c r="AF453" i="91" s="1"/>
  <c r="AD454" i="91"/>
  <c r="AC454" i="91"/>
  <c r="AC453" i="91" s="1"/>
  <c r="AB454" i="91"/>
  <c r="AA454" i="91"/>
  <c r="AA453" i="91" s="1"/>
  <c r="Z454" i="91"/>
  <c r="Y454" i="91"/>
  <c r="Y453" i="91" s="1"/>
  <c r="X454" i="91"/>
  <c r="W454" i="91"/>
  <c r="W453" i="91" s="1"/>
  <c r="V454" i="91"/>
  <c r="U454" i="91"/>
  <c r="U453" i="91" s="1"/>
  <c r="S454" i="91"/>
  <c r="S453" i="91" s="1"/>
  <c r="Q454" i="91"/>
  <c r="P454" i="91"/>
  <c r="P453" i="91" s="1"/>
  <c r="O454" i="91"/>
  <c r="O453" i="91" s="1"/>
  <c r="N454" i="91"/>
  <c r="N453" i="91" s="1"/>
  <c r="M454" i="91"/>
  <c r="L454" i="91"/>
  <c r="L453" i="91" s="1"/>
  <c r="K454" i="91"/>
  <c r="K453" i="91" s="1"/>
  <c r="J454" i="91"/>
  <c r="J453" i="91" s="1"/>
  <c r="I454" i="91"/>
  <c r="H454" i="91" s="1"/>
  <c r="E454" i="91"/>
  <c r="E453" i="91" s="1"/>
  <c r="D454" i="91"/>
  <c r="D453" i="91" s="1"/>
  <c r="CD453" i="91"/>
  <c r="CB453" i="91"/>
  <c r="BZ453" i="91"/>
  <c r="BX453" i="91"/>
  <c r="BV453" i="91"/>
  <c r="BT453" i="91"/>
  <c r="BR453" i="91"/>
  <c r="BP453" i="91"/>
  <c r="BN453" i="91"/>
  <c r="BL453" i="91"/>
  <c r="BJ453" i="91"/>
  <c r="BH453" i="91"/>
  <c r="BF453" i="91"/>
  <c r="BD453" i="91"/>
  <c r="BB453" i="91"/>
  <c r="AZ453" i="91"/>
  <c r="AX453" i="91"/>
  <c r="AV453" i="91"/>
  <c r="AT453" i="91"/>
  <c r="AQ453" i="91"/>
  <c r="AO453" i="91"/>
  <c r="AM453" i="91"/>
  <c r="AK453" i="91"/>
  <c r="AI453" i="91"/>
  <c r="AG453" i="91"/>
  <c r="AD453" i="91"/>
  <c r="AB453" i="91"/>
  <c r="Z453" i="91"/>
  <c r="X453" i="91"/>
  <c r="V453" i="91"/>
  <c r="Q453" i="91"/>
  <c r="M453" i="91"/>
  <c r="I453" i="91"/>
  <c r="BO452" i="91"/>
  <c r="BK452" i="91"/>
  <c r="CR452" i="91" s="1"/>
  <c r="AI452" i="91"/>
  <c r="AH452" i="91"/>
  <c r="T452" i="91" s="1"/>
  <c r="H452" i="91"/>
  <c r="BO451" i="91"/>
  <c r="BK451" i="91"/>
  <c r="CR451" i="91" s="1"/>
  <c r="AI451" i="91"/>
  <c r="AH451" i="91"/>
  <c r="T451" i="91" s="1"/>
  <c r="H451" i="91"/>
  <c r="BO450" i="91"/>
  <c r="BK450" i="91"/>
  <c r="CR450" i="91" s="1"/>
  <c r="AI450" i="91"/>
  <c r="AH450" i="91"/>
  <c r="T450" i="91" s="1"/>
  <c r="H450" i="91"/>
  <c r="BO449" i="91"/>
  <c r="BK449" i="91"/>
  <c r="CR449" i="91" s="1"/>
  <c r="AI449" i="91"/>
  <c r="AI448" i="91" s="1"/>
  <c r="AI447" i="91" s="1"/>
  <c r="AH449" i="91"/>
  <c r="T449" i="91"/>
  <c r="H449" i="91"/>
  <c r="CS448" i="91"/>
  <c r="CE448" i="91"/>
  <c r="CD448" i="91"/>
  <c r="CC448" i="91"/>
  <c r="CB448" i="91"/>
  <c r="CA448" i="91"/>
  <c r="BZ448" i="91"/>
  <c r="BY448" i="91"/>
  <c r="BX448" i="91"/>
  <c r="BW448" i="91"/>
  <c r="BV448" i="91"/>
  <c r="BU448" i="91"/>
  <c r="BT448" i="91"/>
  <c r="BT447" i="91" s="1"/>
  <c r="BS448" i="91"/>
  <c r="BR448" i="91"/>
  <c r="BQ448" i="91"/>
  <c r="BP448" i="91"/>
  <c r="BO448" i="91" s="1"/>
  <c r="BN448" i="91"/>
  <c r="BM448" i="91"/>
  <c r="BM447" i="91" s="1"/>
  <c r="BL448" i="91"/>
  <c r="BJ448" i="91"/>
  <c r="BJ447" i="91" s="1"/>
  <c r="BJ446" i="91" s="1"/>
  <c r="BI448" i="91"/>
  <c r="BH448" i="91"/>
  <c r="BH447" i="91" s="1"/>
  <c r="BG448" i="91"/>
  <c r="BF448" i="91"/>
  <c r="BF447" i="91" s="1"/>
  <c r="BE448" i="91"/>
  <c r="BD448" i="91"/>
  <c r="BC448" i="91"/>
  <c r="BB448" i="91"/>
  <c r="BA448" i="91"/>
  <c r="AZ448" i="91"/>
  <c r="AX448" i="91"/>
  <c r="AW448" i="91"/>
  <c r="AV448" i="91"/>
  <c r="AU448" i="91"/>
  <c r="AT448" i="91"/>
  <c r="AR448" i="91"/>
  <c r="AQ448" i="91"/>
  <c r="AP448" i="91"/>
  <c r="AO448" i="91"/>
  <c r="AO447" i="91" s="1"/>
  <c r="AN448" i="91"/>
  <c r="AN447" i="91" s="1"/>
  <c r="AM448" i="91"/>
  <c r="AM447" i="91" s="1"/>
  <c r="AM446" i="91" s="1"/>
  <c r="AL448" i="91"/>
  <c r="AK448" i="91"/>
  <c r="AK447" i="91" s="1"/>
  <c r="AJ448" i="91"/>
  <c r="AJ447" i="91" s="1"/>
  <c r="AH448" i="91"/>
  <c r="AG448" i="91"/>
  <c r="AG447" i="91" s="1"/>
  <c r="AF448" i="91"/>
  <c r="AF447" i="91" s="1"/>
  <c r="AD448" i="91"/>
  <c r="AD447" i="91" s="1"/>
  <c r="AD446" i="91" s="1"/>
  <c r="AC448" i="91"/>
  <c r="AB448" i="91"/>
  <c r="AB447" i="91" s="1"/>
  <c r="AA448" i="91"/>
  <c r="AA447" i="91" s="1"/>
  <c r="Z448" i="91"/>
  <c r="Z447" i="91" s="1"/>
  <c r="Y448" i="91"/>
  <c r="X448" i="91"/>
  <c r="X447" i="91" s="1"/>
  <c r="W448" i="91"/>
  <c r="W447" i="91" s="1"/>
  <c r="V448" i="91"/>
  <c r="V447" i="91" s="1"/>
  <c r="U448" i="91"/>
  <c r="S448" i="91"/>
  <c r="Q448" i="91"/>
  <c r="Q447" i="91" s="1"/>
  <c r="P448" i="91"/>
  <c r="O448" i="91"/>
  <c r="O447" i="91" s="1"/>
  <c r="N448" i="91"/>
  <c r="M448" i="91"/>
  <c r="M447" i="91" s="1"/>
  <c r="L448" i="91"/>
  <c r="K448" i="91"/>
  <c r="K447" i="91" s="1"/>
  <c r="J448" i="91"/>
  <c r="I448" i="91"/>
  <c r="H448" i="91" s="1"/>
  <c r="E448" i="91"/>
  <c r="E447" i="91" s="1"/>
  <c r="D448" i="91"/>
  <c r="CE447" i="91"/>
  <c r="CD447" i="91"/>
  <c r="CD446" i="91" s="1"/>
  <c r="CC447" i="91"/>
  <c r="CB447" i="91"/>
  <c r="CA447" i="91"/>
  <c r="BZ447" i="91"/>
  <c r="BZ446" i="91" s="1"/>
  <c r="BY447" i="91"/>
  <c r="BX447" i="91"/>
  <c r="BW447" i="91"/>
  <c r="BV447" i="91"/>
  <c r="BV446" i="91" s="1"/>
  <c r="BS447" i="91"/>
  <c r="BN447" i="91"/>
  <c r="BL447" i="91"/>
  <c r="BL446" i="91" s="1"/>
  <c r="BI447" i="91"/>
  <c r="BG447" i="91"/>
  <c r="BD447" i="91"/>
  <c r="BC447" i="91"/>
  <c r="AZ447" i="91"/>
  <c r="AX447" i="91"/>
  <c r="AW447" i="91"/>
  <c r="AW446" i="91" s="1"/>
  <c r="AV447" i="91"/>
  <c r="AU447" i="91"/>
  <c r="AU446" i="91" s="1"/>
  <c r="AT447" i="91"/>
  <c r="AR447" i="91"/>
  <c r="AR446" i="91" s="1"/>
  <c r="AQ447" i="91"/>
  <c r="AP447" i="91"/>
  <c r="AP446" i="91" s="1"/>
  <c r="AL447" i="91"/>
  <c r="AL446" i="91" s="1"/>
  <c r="AH447" i="91"/>
  <c r="AC447" i="91"/>
  <c r="Y447" i="91"/>
  <c r="U447" i="91"/>
  <c r="S447" i="91"/>
  <c r="P447" i="91"/>
  <c r="N447" i="91"/>
  <c r="L447" i="91"/>
  <c r="J447" i="91"/>
  <c r="D447" i="91"/>
  <c r="CB446" i="91"/>
  <c r="BX446" i="91"/>
  <c r="BR446" i="91"/>
  <c r="AV446" i="91"/>
  <c r="AT446" i="91"/>
  <c r="AQ446" i="91"/>
  <c r="BO445" i="91"/>
  <c r="BN445" i="91"/>
  <c r="CW445" i="91" s="1"/>
  <c r="AI445" i="91"/>
  <c r="T445" i="91"/>
  <c r="H445" i="91"/>
  <c r="CE444" i="91"/>
  <c r="CD444" i="91"/>
  <c r="CC444" i="91"/>
  <c r="CB444" i="91"/>
  <c r="CA444" i="91"/>
  <c r="BZ444" i="91"/>
  <c r="BY444" i="91"/>
  <c r="BX444" i="91"/>
  <c r="BW444" i="91"/>
  <c r="BV444" i="91"/>
  <c r="BU444" i="91"/>
  <c r="BT444" i="91"/>
  <c r="BS444" i="91"/>
  <c r="BR444" i="91"/>
  <c r="BQ444" i="91"/>
  <c r="BP444" i="91"/>
  <c r="BO444" i="91" s="1"/>
  <c r="BM444" i="91"/>
  <c r="BL444" i="91"/>
  <c r="BK444" i="91"/>
  <c r="BJ444" i="91"/>
  <c r="BI444" i="91"/>
  <c r="BH444" i="91"/>
  <c r="BG444" i="91"/>
  <c r="BF444" i="91"/>
  <c r="BE444" i="91"/>
  <c r="BD444" i="91"/>
  <c r="BC444" i="91"/>
  <c r="BB444" i="91"/>
  <c r="BA444" i="91"/>
  <c r="AZ444" i="91"/>
  <c r="AX444" i="91"/>
  <c r="AW444" i="91"/>
  <c r="AV444" i="91"/>
  <c r="AU444" i="91"/>
  <c r="AT444" i="91"/>
  <c r="AR444" i="91"/>
  <c r="AQ444" i="91"/>
  <c r="AP444" i="91"/>
  <c r="AO444" i="91"/>
  <c r="AN444" i="91"/>
  <c r="AM444" i="91"/>
  <c r="AL444" i="91"/>
  <c r="AK444" i="91"/>
  <c r="AJ444" i="91"/>
  <c r="AI444" i="91"/>
  <c r="AH444" i="91"/>
  <c r="W444" i="91"/>
  <c r="U444" i="91"/>
  <c r="S444" i="91"/>
  <c r="Q444" i="91"/>
  <c r="P444" i="91"/>
  <c r="O444" i="91"/>
  <c r="N444" i="91"/>
  <c r="M444" i="91"/>
  <c r="L444" i="91"/>
  <c r="K444" i="91"/>
  <c r="J444" i="91"/>
  <c r="I444" i="91"/>
  <c r="H444" i="91"/>
  <c r="E444" i="91"/>
  <c r="D444" i="91"/>
  <c r="CE443" i="91"/>
  <c r="BO443" i="91" s="1"/>
  <c r="BN443" i="91"/>
  <c r="AY443" i="91" s="1"/>
  <c r="AY442" i="91" s="1"/>
  <c r="AI443" i="91"/>
  <c r="T443" i="91"/>
  <c r="H443" i="91"/>
  <c r="CD442" i="91"/>
  <c r="CC442" i="91"/>
  <c r="CB442" i="91"/>
  <c r="CA442" i="91"/>
  <c r="BZ442" i="91"/>
  <c r="BY442" i="91"/>
  <c r="BX442" i="91"/>
  <c r="BW442" i="91"/>
  <c r="BV442" i="91"/>
  <c r="BU442" i="91"/>
  <c r="BT442" i="91"/>
  <c r="BS442" i="91"/>
  <c r="BR442" i="91"/>
  <c r="BQ442" i="91"/>
  <c r="BP442" i="91"/>
  <c r="BM442" i="91"/>
  <c r="BL442" i="91"/>
  <c r="BK442" i="91"/>
  <c r="BJ442" i="91"/>
  <c r="BI442" i="91"/>
  <c r="BH442" i="91"/>
  <c r="BG442" i="91"/>
  <c r="BF442" i="91"/>
  <c r="BE442" i="91"/>
  <c r="BD442" i="91"/>
  <c r="BC442" i="91"/>
  <c r="BB442" i="91"/>
  <c r="BA442" i="91"/>
  <c r="AZ442" i="91"/>
  <c r="AX442" i="91"/>
  <c r="AW442" i="91"/>
  <c r="AV442" i="91"/>
  <c r="AU442" i="91"/>
  <c r="AT442" i="91"/>
  <c r="AR442" i="91"/>
  <c r="AQ442" i="91"/>
  <c r="AP442" i="91"/>
  <c r="AO442" i="91"/>
  <c r="AN442" i="91"/>
  <c r="AM442" i="91"/>
  <c r="AL442" i="91"/>
  <c r="AK442" i="91"/>
  <c r="AJ442" i="91"/>
  <c r="AI442" i="91"/>
  <c r="AH442" i="91"/>
  <c r="W442" i="91"/>
  <c r="U442" i="91"/>
  <c r="S442" i="91"/>
  <c r="Q442" i="91"/>
  <c r="P442" i="91"/>
  <c r="O442" i="91"/>
  <c r="N442" i="91"/>
  <c r="M442" i="91"/>
  <c r="L442" i="91"/>
  <c r="K442" i="91"/>
  <c r="J442" i="91"/>
  <c r="I442" i="91"/>
  <c r="H442" i="91"/>
  <c r="E442" i="91"/>
  <c r="D442" i="91"/>
  <c r="CW441" i="91"/>
  <c r="BO441" i="91"/>
  <c r="AY441" i="91"/>
  <c r="AY440" i="91" s="1"/>
  <c r="T441" i="91"/>
  <c r="H441" i="91"/>
  <c r="CE440" i="91"/>
  <c r="CE439" i="91" s="1"/>
  <c r="BO439" i="91" s="1"/>
  <c r="CD440" i="91"/>
  <c r="CD439" i="91" s="1"/>
  <c r="CC440" i="91"/>
  <c r="CB440" i="91"/>
  <c r="CA440" i="91"/>
  <c r="BZ440" i="91"/>
  <c r="BY440" i="91"/>
  <c r="BX440" i="91"/>
  <c r="BW440" i="91"/>
  <c r="BV440" i="91"/>
  <c r="BU440" i="91"/>
  <c r="BT440" i="91"/>
  <c r="BS440" i="91"/>
  <c r="BR440" i="91"/>
  <c r="BQ440" i="91"/>
  <c r="BP440" i="91"/>
  <c r="BN440" i="91"/>
  <c r="BN439" i="91" s="1"/>
  <c r="BM440" i="91"/>
  <c r="BL440" i="91"/>
  <c r="BL439" i="91" s="1"/>
  <c r="BK440" i="91"/>
  <c r="BJ440" i="91"/>
  <c r="BJ439" i="91" s="1"/>
  <c r="BI440" i="91"/>
  <c r="BH440" i="91"/>
  <c r="BH439" i="91" s="1"/>
  <c r="BG440" i="91"/>
  <c r="BF440" i="91"/>
  <c r="BF439" i="91" s="1"/>
  <c r="BE440" i="91"/>
  <c r="BD440" i="91"/>
  <c r="BD439" i="91" s="1"/>
  <c r="BC440" i="91"/>
  <c r="BB440" i="91"/>
  <c r="BB439" i="91" s="1"/>
  <c r="BA440" i="91"/>
  <c r="AZ440" i="91"/>
  <c r="AZ439" i="91" s="1"/>
  <c r="AX440" i="91"/>
  <c r="AW440" i="91"/>
  <c r="AV440" i="91"/>
  <c r="AU440" i="91"/>
  <c r="AT440" i="91"/>
  <c r="AR440" i="91"/>
  <c r="AQ440" i="91"/>
  <c r="AP440" i="91"/>
  <c r="AO440" i="91"/>
  <c r="AN440" i="91"/>
  <c r="AM440" i="91"/>
  <c r="AL440" i="91"/>
  <c r="AK440" i="91"/>
  <c r="AJ440" i="91"/>
  <c r="AI440" i="91"/>
  <c r="AH440" i="91"/>
  <c r="AG440" i="91"/>
  <c r="AF440" i="91"/>
  <c r="AC440" i="91"/>
  <c r="AB440" i="91"/>
  <c r="AA440" i="91"/>
  <c r="Z440" i="91"/>
  <c r="Y440" i="91"/>
  <c r="X440" i="91"/>
  <c r="W440" i="91"/>
  <c r="V440" i="91"/>
  <c r="U440" i="91"/>
  <c r="T440" i="91"/>
  <c r="S440" i="91"/>
  <c r="Q440" i="91"/>
  <c r="P440" i="91"/>
  <c r="O440" i="91"/>
  <c r="N440" i="91"/>
  <c r="M440" i="91"/>
  <c r="L440" i="91"/>
  <c r="K440" i="91"/>
  <c r="J440" i="91"/>
  <c r="I440" i="91"/>
  <c r="H440" i="91" s="1"/>
  <c r="E440" i="91"/>
  <c r="E439" i="91" s="1"/>
  <c r="D440" i="91"/>
  <c r="CS439" i="91"/>
  <c r="CC439" i="91"/>
  <c r="CB439" i="91"/>
  <c r="CA439" i="91"/>
  <c r="BZ439" i="91"/>
  <c r="BY439" i="91"/>
  <c r="BX439" i="91"/>
  <c r="BW439" i="91"/>
  <c r="BV439" i="91"/>
  <c r="BU439" i="91"/>
  <c r="BT439" i="91"/>
  <c r="BS439" i="91"/>
  <c r="BR439" i="91"/>
  <c r="BQ439" i="91"/>
  <c r="BP439" i="91"/>
  <c r="BM439" i="91"/>
  <c r="BK439" i="91"/>
  <c r="BI439" i="91"/>
  <c r="BG439" i="91"/>
  <c r="BE439" i="91"/>
  <c r="BC439" i="91"/>
  <c r="BA439" i="91"/>
  <c r="AY439" i="91"/>
  <c r="AX439" i="91"/>
  <c r="AW439" i="91"/>
  <c r="AV439" i="91"/>
  <c r="AU439" i="91"/>
  <c r="AT439" i="91"/>
  <c r="AR439" i="91"/>
  <c r="AQ439" i="91"/>
  <c r="AP439" i="91"/>
  <c r="AO439" i="91"/>
  <c r="AN439" i="91"/>
  <c r="AM439" i="91"/>
  <c r="AL439" i="91"/>
  <c r="AK439" i="91"/>
  <c r="AJ439" i="91"/>
  <c r="AI439" i="91"/>
  <c r="AH439" i="91"/>
  <c r="AG439" i="91"/>
  <c r="AF439" i="91"/>
  <c r="AC439" i="91"/>
  <c r="AB439" i="91"/>
  <c r="AA439" i="91"/>
  <c r="Z439" i="91"/>
  <c r="Y439" i="91"/>
  <c r="X439" i="91"/>
  <c r="W439" i="91"/>
  <c r="V439" i="91"/>
  <c r="U439" i="91"/>
  <c r="T439" i="91"/>
  <c r="S439" i="91"/>
  <c r="Q439" i="91"/>
  <c r="P439" i="91"/>
  <c r="O439" i="91"/>
  <c r="N439" i="91"/>
  <c r="M439" i="91"/>
  <c r="L439" i="91"/>
  <c r="K439" i="91"/>
  <c r="J439" i="91"/>
  <c r="I439" i="91"/>
  <c r="H439" i="91" s="1"/>
  <c r="D439" i="91"/>
  <c r="CW438" i="91"/>
  <c r="BS438" i="91"/>
  <c r="BO438" i="91" s="1"/>
  <c r="BC438" i="91"/>
  <c r="AY438" i="91" s="1"/>
  <c r="AI438" i="91"/>
  <c r="T438" i="91"/>
  <c r="H438" i="91"/>
  <c r="CW437" i="91"/>
  <c r="BO437" i="91"/>
  <c r="AY437" i="91"/>
  <c r="AX437" i="91"/>
  <c r="AI437" i="91" s="1"/>
  <c r="AI436" i="91" s="1"/>
  <c r="AI435" i="91" s="1"/>
  <c r="AI434" i="91" s="1"/>
  <c r="T437" i="91"/>
  <c r="T436" i="91" s="1"/>
  <c r="H437" i="91"/>
  <c r="CS436" i="91"/>
  <c r="CE436" i="91"/>
  <c r="CW436" i="91" s="1"/>
  <c r="CD436" i="91"/>
  <c r="CC436" i="91"/>
  <c r="CC435" i="91" s="1"/>
  <c r="CC434" i="91" s="1"/>
  <c r="CB436" i="91"/>
  <c r="CA436" i="91"/>
  <c r="CA435" i="91" s="1"/>
  <c r="CA434" i="91" s="1"/>
  <c r="BZ436" i="91"/>
  <c r="BY436" i="91"/>
  <c r="BY435" i="91" s="1"/>
  <c r="BY434" i="91" s="1"/>
  <c r="BX436" i="91"/>
  <c r="BW436" i="91"/>
  <c r="BW435" i="91" s="1"/>
  <c r="BW434" i="91" s="1"/>
  <c r="BV436" i="91"/>
  <c r="BU436" i="91"/>
  <c r="BU435" i="91" s="1"/>
  <c r="BU434" i="91" s="1"/>
  <c r="BT436" i="91"/>
  <c r="BS436" i="91"/>
  <c r="BS435" i="91" s="1"/>
  <c r="BS434" i="91" s="1"/>
  <c r="BR436" i="91"/>
  <c r="BQ436" i="91"/>
  <c r="BQ435" i="91" s="1"/>
  <c r="BQ434" i="91" s="1"/>
  <c r="BP436" i="91"/>
  <c r="BO436" i="91"/>
  <c r="BN436" i="91"/>
  <c r="BM436" i="91"/>
  <c r="BM435" i="91" s="1"/>
  <c r="BM434" i="91" s="1"/>
  <c r="BL436" i="91"/>
  <c r="BK436" i="91"/>
  <c r="BK435" i="91" s="1"/>
  <c r="BK434" i="91" s="1"/>
  <c r="BJ436" i="91"/>
  <c r="BI436" i="91"/>
  <c r="BI435" i="91" s="1"/>
  <c r="BI434" i="91" s="1"/>
  <c r="BH436" i="91"/>
  <c r="BG436" i="91"/>
  <c r="BG435" i="91" s="1"/>
  <c r="BG434" i="91" s="1"/>
  <c r="BF436" i="91"/>
  <c r="BE436" i="91"/>
  <c r="BE435" i="91" s="1"/>
  <c r="BE434" i="91" s="1"/>
  <c r="BD436" i="91"/>
  <c r="BB436" i="91"/>
  <c r="BA436" i="91"/>
  <c r="BA435" i="91" s="1"/>
  <c r="AZ436" i="91"/>
  <c r="AZ435" i="91" s="1"/>
  <c r="AZ434" i="91" s="1"/>
  <c r="AW436" i="91"/>
  <c r="AW435" i="91" s="1"/>
  <c r="AV436" i="91"/>
  <c r="AU436" i="91"/>
  <c r="AU435" i="91" s="1"/>
  <c r="AT436" i="91"/>
  <c r="AT435" i="91" s="1"/>
  <c r="AT434" i="91" s="1"/>
  <c r="AR436" i="91"/>
  <c r="AR435" i="91" s="1"/>
  <c r="AQ436" i="91"/>
  <c r="AP436" i="91"/>
  <c r="AP435" i="91" s="1"/>
  <c r="AO436" i="91"/>
  <c r="AO435" i="91" s="1"/>
  <c r="AO434" i="91" s="1"/>
  <c r="AN436" i="91"/>
  <c r="AN435" i="91" s="1"/>
  <c r="AM436" i="91"/>
  <c r="AL436" i="91"/>
  <c r="AL435" i="91" s="1"/>
  <c r="AK436" i="91"/>
  <c r="AK435" i="91" s="1"/>
  <c r="AK434" i="91" s="1"/>
  <c r="AJ436" i="91"/>
  <c r="AJ435" i="91" s="1"/>
  <c r="AH436" i="91"/>
  <c r="AH435" i="91" s="1"/>
  <c r="AH434" i="91" s="1"/>
  <c r="AG436" i="91"/>
  <c r="AF436" i="91"/>
  <c r="AF435" i="91" s="1"/>
  <c r="AF434" i="91" s="1"/>
  <c r="AD436" i="91"/>
  <c r="AC436" i="91"/>
  <c r="AC435" i="91" s="1"/>
  <c r="AC434" i="91" s="1"/>
  <c r="AB436" i="91"/>
  <c r="AA436" i="91"/>
  <c r="AA435" i="91" s="1"/>
  <c r="AA434" i="91" s="1"/>
  <c r="Z436" i="91"/>
  <c r="Y436" i="91"/>
  <c r="Y435" i="91" s="1"/>
  <c r="Y434" i="91" s="1"/>
  <c r="X436" i="91"/>
  <c r="W436" i="91"/>
  <c r="W435" i="91" s="1"/>
  <c r="W434" i="91" s="1"/>
  <c r="V436" i="91"/>
  <c r="U436" i="91"/>
  <c r="U435" i="91" s="1"/>
  <c r="S436" i="91"/>
  <c r="S435" i="91" s="1"/>
  <c r="Q436" i="91"/>
  <c r="P436" i="91"/>
  <c r="P435" i="91" s="1"/>
  <c r="O436" i="91"/>
  <c r="O435" i="91" s="1"/>
  <c r="O434" i="91" s="1"/>
  <c r="N436" i="91"/>
  <c r="N435" i="91" s="1"/>
  <c r="M436" i="91"/>
  <c r="L436" i="91"/>
  <c r="L435" i="91" s="1"/>
  <c r="K436" i="91"/>
  <c r="K435" i="91" s="1"/>
  <c r="K434" i="91" s="1"/>
  <c r="J436" i="91"/>
  <c r="J435" i="91" s="1"/>
  <c r="I436" i="91"/>
  <c r="H436" i="91" s="1"/>
  <c r="E436" i="91"/>
  <c r="E435" i="91" s="1"/>
  <c r="E434" i="91" s="1"/>
  <c r="D436" i="91"/>
  <c r="D435" i="91" s="1"/>
  <c r="CD435" i="91"/>
  <c r="CD434" i="91" s="1"/>
  <c r="CB435" i="91"/>
  <c r="CB434" i="91" s="1"/>
  <c r="BZ435" i="91"/>
  <c r="BZ434" i="91" s="1"/>
  <c r="BX435" i="91"/>
  <c r="BX434" i="91" s="1"/>
  <c r="BV435" i="91"/>
  <c r="BV434" i="91" s="1"/>
  <c r="BT435" i="91"/>
  <c r="BT434" i="91" s="1"/>
  <c r="BR435" i="91"/>
  <c r="BR434" i="91" s="1"/>
  <c r="BP435" i="91"/>
  <c r="BN435" i="91"/>
  <c r="BL435" i="91"/>
  <c r="BL434" i="91" s="1"/>
  <c r="BJ435" i="91"/>
  <c r="BJ434" i="91" s="1"/>
  <c r="BH435" i="91"/>
  <c r="BH434" i="91" s="1"/>
  <c r="BF435" i="91"/>
  <c r="BF434" i="91" s="1"/>
  <c r="BD435" i="91"/>
  <c r="BD434" i="91" s="1"/>
  <c r="BB435" i="91"/>
  <c r="BB434" i="91" s="1"/>
  <c r="AV435" i="91"/>
  <c r="AV434" i="91" s="1"/>
  <c r="AQ435" i="91"/>
  <c r="AQ434" i="91" s="1"/>
  <c r="AM435" i="91"/>
  <c r="AM434" i="91" s="1"/>
  <c r="AG435" i="91"/>
  <c r="AG434" i="91" s="1"/>
  <c r="AD435" i="91"/>
  <c r="AD434" i="91" s="1"/>
  <c r="AB435" i="91"/>
  <c r="AB434" i="91" s="1"/>
  <c r="Z435" i="91"/>
  <c r="X435" i="91"/>
  <c r="X434" i="91" s="1"/>
  <c r="V435" i="91"/>
  <c r="Q435" i="91"/>
  <c r="Q434" i="91" s="1"/>
  <c r="M435" i="91"/>
  <c r="M434" i="91" s="1"/>
  <c r="I435" i="91"/>
  <c r="CW433" i="91"/>
  <c r="BO433" i="91"/>
  <c r="AY433" i="91"/>
  <c r="CF433" i="91" s="1"/>
  <c r="CF432" i="91" s="1"/>
  <c r="AI433" i="91"/>
  <c r="T433" i="91"/>
  <c r="T432" i="91" s="1"/>
  <c r="H433" i="91"/>
  <c r="CS432" i="91"/>
  <c r="CE432" i="91"/>
  <c r="CD432" i="91"/>
  <c r="CC432" i="91"/>
  <c r="CB432" i="91"/>
  <c r="CA432" i="91"/>
  <c r="BZ432" i="91"/>
  <c r="BY432" i="91"/>
  <c r="BX432" i="91"/>
  <c r="BW432" i="91"/>
  <c r="BV432" i="91"/>
  <c r="BU432" i="91"/>
  <c r="BT432" i="91"/>
  <c r="BS432" i="91"/>
  <c r="BR432" i="91"/>
  <c r="BQ432" i="91"/>
  <c r="BP432" i="91"/>
  <c r="BO432" i="91" s="1"/>
  <c r="BN432" i="91"/>
  <c r="CW432" i="91" s="1"/>
  <c r="BM432" i="91"/>
  <c r="BL432" i="91"/>
  <c r="BK432" i="91"/>
  <c r="BJ432" i="91"/>
  <c r="BI432" i="91"/>
  <c r="BH432" i="91"/>
  <c r="BG432" i="91"/>
  <c r="BF432" i="91"/>
  <c r="BE432" i="91"/>
  <c r="BD432" i="91"/>
  <c r="BC432" i="91"/>
  <c r="BB432" i="91"/>
  <c r="BA432" i="91"/>
  <c r="AZ432" i="91"/>
  <c r="AX432" i="91"/>
  <c r="AW432" i="91"/>
  <c r="AV432" i="91"/>
  <c r="AU432" i="91"/>
  <c r="AT432" i="91"/>
  <c r="AR432" i="91"/>
  <c r="AQ432" i="91"/>
  <c r="AP432" i="91"/>
  <c r="AO432" i="91"/>
  <c r="AN432" i="91"/>
  <c r="AM432" i="91"/>
  <c r="AL432" i="91"/>
  <c r="AK432" i="91"/>
  <c r="AJ432" i="91"/>
  <c r="AI432" i="91"/>
  <c r="AH432" i="91"/>
  <c r="AG432" i="91"/>
  <c r="AF432" i="91"/>
  <c r="AC432" i="91"/>
  <c r="AB432" i="91"/>
  <c r="AA432" i="91"/>
  <c r="Z432" i="91"/>
  <c r="Y432" i="91"/>
  <c r="X432" i="91"/>
  <c r="W432" i="91"/>
  <c r="V432" i="91"/>
  <c r="U432" i="91"/>
  <c r="S432" i="91"/>
  <c r="Q432" i="91"/>
  <c r="P432" i="91"/>
  <c r="O432" i="91"/>
  <c r="N432" i="91"/>
  <c r="M432" i="91"/>
  <c r="L432" i="91"/>
  <c r="K432" i="91"/>
  <c r="J432" i="91"/>
  <c r="I432" i="91"/>
  <c r="H432" i="91" s="1"/>
  <c r="E432" i="91"/>
  <c r="D432" i="91"/>
  <c r="CE431" i="91"/>
  <c r="BO431" i="91" s="1"/>
  <c r="BN431" i="91"/>
  <c r="AY431" i="91" s="1"/>
  <c r="AY430" i="91" s="1"/>
  <c r="AY429" i="91" s="1"/>
  <c r="AI431" i="91"/>
  <c r="AI430" i="91" s="1"/>
  <c r="AI429" i="91" s="1"/>
  <c r="T431" i="91"/>
  <c r="T430" i="91" s="1"/>
  <c r="H431" i="91"/>
  <c r="CS430" i="91"/>
  <c r="CE430" i="91"/>
  <c r="CE429" i="91" s="1"/>
  <c r="CD430" i="91"/>
  <c r="CC430" i="91"/>
  <c r="CB430" i="91"/>
  <c r="CA430" i="91"/>
  <c r="BZ430" i="91"/>
  <c r="BY430" i="91"/>
  <c r="BX430" i="91"/>
  <c r="BW430" i="91"/>
  <c r="BV430" i="91"/>
  <c r="BU430" i="91"/>
  <c r="BT430" i="91"/>
  <c r="BT429" i="91" s="1"/>
  <c r="BS430" i="91"/>
  <c r="BR430" i="91"/>
  <c r="BQ430" i="91"/>
  <c r="BP430" i="91"/>
  <c r="BM430" i="91"/>
  <c r="BL430" i="91"/>
  <c r="BL429" i="91" s="1"/>
  <c r="BK430" i="91"/>
  <c r="BJ430" i="91"/>
  <c r="BJ429" i="91" s="1"/>
  <c r="BI430" i="91"/>
  <c r="BH430" i="91"/>
  <c r="BH429" i="91" s="1"/>
  <c r="BG430" i="91"/>
  <c r="BF430" i="91"/>
  <c r="BF429" i="91" s="1"/>
  <c r="BE430" i="91"/>
  <c r="BD430" i="91"/>
  <c r="BD429" i="91" s="1"/>
  <c r="BC430" i="91"/>
  <c r="BB430" i="91"/>
  <c r="BA430" i="91"/>
  <c r="AZ430" i="91"/>
  <c r="AZ429" i="91" s="1"/>
  <c r="AX430" i="91"/>
  <c r="AW430" i="91"/>
  <c r="AW429" i="91" s="1"/>
  <c r="AV430" i="91"/>
  <c r="AU430" i="91"/>
  <c r="AU429" i="91" s="1"/>
  <c r="AT430" i="91"/>
  <c r="AR430" i="91"/>
  <c r="AR429" i="91" s="1"/>
  <c r="AQ430" i="91"/>
  <c r="AP430" i="91"/>
  <c r="AP429" i="91" s="1"/>
  <c r="AO430" i="91"/>
  <c r="AN430" i="91"/>
  <c r="AN429" i="91" s="1"/>
  <c r="AM430" i="91"/>
  <c r="AL430" i="91"/>
  <c r="AL429" i="91" s="1"/>
  <c r="AK430" i="91"/>
  <c r="AJ430" i="91"/>
  <c r="AJ429" i="91" s="1"/>
  <c r="AH430" i="91"/>
  <c r="AH429" i="91" s="1"/>
  <c r="AG430" i="91"/>
  <c r="AF430" i="91"/>
  <c r="AF429" i="91" s="1"/>
  <c r="AC430" i="91"/>
  <c r="AB430" i="91"/>
  <c r="AB429" i="91" s="1"/>
  <c r="AA430" i="91"/>
  <c r="Z430" i="91"/>
  <c r="Z429" i="91" s="1"/>
  <c r="Y430" i="91"/>
  <c r="X430" i="91"/>
  <c r="X429" i="91" s="1"/>
  <c r="W430" i="91"/>
  <c r="V430" i="91"/>
  <c r="V429" i="91" s="1"/>
  <c r="U430" i="91"/>
  <c r="S430" i="91"/>
  <c r="S429" i="91" s="1"/>
  <c r="Q430" i="91"/>
  <c r="P430" i="91"/>
  <c r="P429" i="91" s="1"/>
  <c r="O430" i="91"/>
  <c r="N430" i="91"/>
  <c r="N429" i="91" s="1"/>
  <c r="M430" i="91"/>
  <c r="L430" i="91"/>
  <c r="L429" i="91" s="1"/>
  <c r="K430" i="91"/>
  <c r="J430" i="91"/>
  <c r="J429" i="91" s="1"/>
  <c r="I430" i="91"/>
  <c r="H430" i="91"/>
  <c r="E430" i="91"/>
  <c r="D430" i="91"/>
  <c r="D429" i="91" s="1"/>
  <c r="CD429" i="91"/>
  <c r="CC429" i="91"/>
  <c r="CB429" i="91"/>
  <c r="CA429" i="91"/>
  <c r="BZ429" i="91"/>
  <c r="BY429" i="91"/>
  <c r="BX429" i="91"/>
  <c r="BW429" i="91"/>
  <c r="BV429" i="91"/>
  <c r="BS429" i="91"/>
  <c r="BM429" i="91"/>
  <c r="BK429" i="91"/>
  <c r="BI429" i="91"/>
  <c r="BG429" i="91"/>
  <c r="BC429" i="91"/>
  <c r="AX429" i="91"/>
  <c r="AV429" i="91"/>
  <c r="AT429" i="91"/>
  <c r="AQ429" i="91"/>
  <c r="AO429" i="91"/>
  <c r="AM429" i="91"/>
  <c r="AK429" i="91"/>
  <c r="AG429" i="91"/>
  <c r="AC429" i="91"/>
  <c r="AA429" i="91"/>
  <c r="Y429" i="91"/>
  <c r="W429" i="91"/>
  <c r="U429" i="91"/>
  <c r="Q429" i="91"/>
  <c r="O429" i="91"/>
  <c r="M429" i="91"/>
  <c r="K429" i="91"/>
  <c r="I429" i="91"/>
  <c r="E429" i="91"/>
  <c r="CE428" i="91"/>
  <c r="CW428" i="91" s="1"/>
  <c r="AY428" i="91"/>
  <c r="AI428" i="91"/>
  <c r="AI427" i="91" s="1"/>
  <c r="AI426" i="91" s="1"/>
  <c r="T428" i="91"/>
  <c r="H428" i="91"/>
  <c r="CD427" i="91"/>
  <c r="CC427" i="91"/>
  <c r="CB427" i="91"/>
  <c r="CA427" i="91"/>
  <c r="BZ427" i="91"/>
  <c r="BY427" i="91"/>
  <c r="BX427" i="91"/>
  <c r="BW427" i="91"/>
  <c r="BV427" i="91"/>
  <c r="BU427" i="91"/>
  <c r="BT427" i="91"/>
  <c r="BT426" i="91" s="1"/>
  <c r="BS427" i="91"/>
  <c r="BR427" i="91"/>
  <c r="BQ427" i="91"/>
  <c r="BP427" i="91"/>
  <c r="BN427" i="91"/>
  <c r="BN426" i="91" s="1"/>
  <c r="BM427" i="91"/>
  <c r="BL427" i="91"/>
  <c r="BL426" i="91" s="1"/>
  <c r="BK427" i="91"/>
  <c r="BK426" i="91" s="1"/>
  <c r="BJ427" i="91"/>
  <c r="BJ426" i="91" s="1"/>
  <c r="BI427" i="91"/>
  <c r="BH427" i="91"/>
  <c r="BH426" i="91" s="1"/>
  <c r="BG427" i="91"/>
  <c r="BG426" i="91" s="1"/>
  <c r="BF427" i="91"/>
  <c r="BF426" i="91" s="1"/>
  <c r="BE427" i="91"/>
  <c r="BD427" i="91"/>
  <c r="BC427" i="91"/>
  <c r="BC426" i="91" s="1"/>
  <c r="BB427" i="91"/>
  <c r="BA427" i="91"/>
  <c r="AZ427" i="91"/>
  <c r="AY427" i="91"/>
  <c r="AY426" i="91" s="1"/>
  <c r="AX427" i="91"/>
  <c r="AW427" i="91"/>
  <c r="AW426" i="91" s="1"/>
  <c r="AV427" i="91"/>
  <c r="AU427" i="91"/>
  <c r="AU426" i="91" s="1"/>
  <c r="AT427" i="91"/>
  <c r="AR427" i="91"/>
  <c r="AR426" i="91" s="1"/>
  <c r="AQ427" i="91"/>
  <c r="AP427" i="91"/>
  <c r="AP426" i="91" s="1"/>
  <c r="AO427" i="91"/>
  <c r="AN427" i="91"/>
  <c r="AN426" i="91" s="1"/>
  <c r="AM427" i="91"/>
  <c r="AL427" i="91"/>
  <c r="AL426" i="91" s="1"/>
  <c r="AK427" i="91"/>
  <c r="AJ427" i="91"/>
  <c r="AJ426" i="91" s="1"/>
  <c r="AH427" i="91"/>
  <c r="AH426" i="91" s="1"/>
  <c r="AG427" i="91"/>
  <c r="AF427" i="91"/>
  <c r="AF426" i="91" s="1"/>
  <c r="AC427" i="91"/>
  <c r="AB427" i="91"/>
  <c r="AB426" i="91" s="1"/>
  <c r="AA427" i="91"/>
  <c r="Z427" i="91"/>
  <c r="Z426" i="91" s="1"/>
  <c r="Y427" i="91"/>
  <c r="X427" i="91"/>
  <c r="X426" i="91" s="1"/>
  <c r="W427" i="91"/>
  <c r="V427" i="91"/>
  <c r="V426" i="91" s="1"/>
  <c r="U427" i="91"/>
  <c r="S427" i="91"/>
  <c r="S426" i="91" s="1"/>
  <c r="Q427" i="91"/>
  <c r="P427" i="91"/>
  <c r="P426" i="91" s="1"/>
  <c r="O427" i="91"/>
  <c r="N427" i="91"/>
  <c r="N426" i="91" s="1"/>
  <c r="M427" i="91"/>
  <c r="L427" i="91"/>
  <c r="L426" i="91" s="1"/>
  <c r="K427" i="91"/>
  <c r="J427" i="91"/>
  <c r="J426" i="91" s="1"/>
  <c r="I427" i="91"/>
  <c r="H427" i="91"/>
  <c r="E427" i="91"/>
  <c r="D427" i="91"/>
  <c r="D426" i="91" s="1"/>
  <c r="CD426" i="91"/>
  <c r="CC426" i="91"/>
  <c r="CB426" i="91"/>
  <c r="CA426" i="91"/>
  <c r="BZ426" i="91"/>
  <c r="BY426" i="91"/>
  <c r="BX426" i="91"/>
  <c r="BW426" i="91"/>
  <c r="BV426" i="91"/>
  <c r="BS426" i="91"/>
  <c r="BM426" i="91"/>
  <c r="BI426" i="91"/>
  <c r="BD426" i="91"/>
  <c r="AZ426" i="91"/>
  <c r="AX426" i="91"/>
  <c r="AV426" i="91"/>
  <c r="AT426" i="91"/>
  <c r="AQ426" i="91"/>
  <c r="AO426" i="91"/>
  <c r="AM426" i="91"/>
  <c r="AK426" i="91"/>
  <c r="AG426" i="91"/>
  <c r="AC426" i="91"/>
  <c r="AA426" i="91"/>
  <c r="Y426" i="91"/>
  <c r="W426" i="91"/>
  <c r="U426" i="91"/>
  <c r="Q426" i="91"/>
  <c r="O426" i="91"/>
  <c r="M426" i="91"/>
  <c r="K426" i="91"/>
  <c r="I426" i="91"/>
  <c r="E426" i="91"/>
  <c r="CE425" i="91"/>
  <c r="BO425" i="91" s="1"/>
  <c r="BN425" i="91"/>
  <c r="AY425" i="91" s="1"/>
  <c r="AY424" i="91" s="1"/>
  <c r="AY423" i="91" s="1"/>
  <c r="AI425" i="91"/>
  <c r="T425" i="91"/>
  <c r="H425" i="91"/>
  <c r="CD424" i="91"/>
  <c r="CC424" i="91"/>
  <c r="CB424" i="91"/>
  <c r="CA424" i="91"/>
  <c r="BZ424" i="91"/>
  <c r="BY424" i="91"/>
  <c r="BX424" i="91"/>
  <c r="BW424" i="91"/>
  <c r="BV424" i="91"/>
  <c r="BT424" i="91"/>
  <c r="BT423" i="91" s="1"/>
  <c r="BS424" i="91"/>
  <c r="BQ424" i="91"/>
  <c r="BP424" i="91"/>
  <c r="BP423" i="91" s="1"/>
  <c r="BM424" i="91"/>
  <c r="BM423" i="91" s="1"/>
  <c r="BL424" i="91"/>
  <c r="BK424" i="91"/>
  <c r="BK423" i="91" s="1"/>
  <c r="BJ424" i="91"/>
  <c r="BI424" i="91"/>
  <c r="BI423" i="91" s="1"/>
  <c r="BH424" i="91"/>
  <c r="BG424" i="91"/>
  <c r="BG423" i="91" s="1"/>
  <c r="BF424" i="91"/>
  <c r="BE424" i="91"/>
  <c r="BE423" i="91" s="1"/>
  <c r="BD424" i="91"/>
  <c r="BC424" i="91"/>
  <c r="BC423" i="91" s="1"/>
  <c r="BB424" i="91"/>
  <c r="BA424" i="91"/>
  <c r="BA423" i="91" s="1"/>
  <c r="AZ424" i="91"/>
  <c r="AX424" i="91"/>
  <c r="AX423" i="91" s="1"/>
  <c r="AW424" i="91"/>
  <c r="AV424" i="91"/>
  <c r="AV423" i="91" s="1"/>
  <c r="AU424" i="91"/>
  <c r="AT424" i="91"/>
  <c r="AT423" i="91" s="1"/>
  <c r="AR424" i="91"/>
  <c r="AQ424" i="91"/>
  <c r="AQ423" i="91" s="1"/>
  <c r="AP424" i="91"/>
  <c r="AO424" i="91"/>
  <c r="AO423" i="91" s="1"/>
  <c r="AN424" i="91"/>
  <c r="AM424" i="91"/>
  <c r="AM423" i="91" s="1"/>
  <c r="AL424" i="91"/>
  <c r="AK424" i="91"/>
  <c r="AK423" i="91" s="1"/>
  <c r="AJ424" i="91"/>
  <c r="AI424" i="91"/>
  <c r="AI423" i="91" s="1"/>
  <c r="AH424" i="91"/>
  <c r="AG424" i="91"/>
  <c r="AG423" i="91" s="1"/>
  <c r="AF424" i="91"/>
  <c r="AC424" i="91"/>
  <c r="AC423" i="91" s="1"/>
  <c r="AB424" i="91"/>
  <c r="AA424" i="91"/>
  <c r="AA423" i="91" s="1"/>
  <c r="Z424" i="91"/>
  <c r="Y424" i="91"/>
  <c r="Y423" i="91" s="1"/>
  <c r="X424" i="91"/>
  <c r="W424" i="91"/>
  <c r="W423" i="91" s="1"/>
  <c r="V424" i="91"/>
  <c r="U424" i="91"/>
  <c r="T424" i="91" s="1"/>
  <c r="S424" i="91"/>
  <c r="S423" i="91" s="1"/>
  <c r="Q424" i="91"/>
  <c r="P424" i="91"/>
  <c r="P423" i="91" s="1"/>
  <c r="O424" i="91"/>
  <c r="N424" i="91"/>
  <c r="N423" i="91" s="1"/>
  <c r="M424" i="91"/>
  <c r="L424" i="91"/>
  <c r="L423" i="91" s="1"/>
  <c r="K424" i="91"/>
  <c r="J424" i="91"/>
  <c r="J423" i="91" s="1"/>
  <c r="I424" i="91"/>
  <c r="E424" i="91"/>
  <c r="E423" i="91" s="1"/>
  <c r="D424" i="91"/>
  <c r="CD423" i="91"/>
  <c r="CC423" i="91"/>
  <c r="CB423" i="91"/>
  <c r="CA423" i="91"/>
  <c r="BZ423" i="91"/>
  <c r="BY423" i="91"/>
  <c r="BX423" i="91"/>
  <c r="BW423" i="91"/>
  <c r="BV423" i="91"/>
  <c r="BU423" i="91"/>
  <c r="BS423" i="91"/>
  <c r="BR423" i="91"/>
  <c r="BQ423" i="91"/>
  <c r="BL423" i="91"/>
  <c r="BJ423" i="91"/>
  <c r="BH423" i="91"/>
  <c r="BF423" i="91"/>
  <c r="BD423" i="91"/>
  <c r="BB423" i="91"/>
  <c r="AZ423" i="91"/>
  <c r="AW423" i="91"/>
  <c r="AU423" i="91"/>
  <c r="AR423" i="91"/>
  <c r="AP423" i="91"/>
  <c r="AN423" i="91"/>
  <c r="AL423" i="91"/>
  <c r="AJ423" i="91"/>
  <c r="AH423" i="91"/>
  <c r="AF423" i="91"/>
  <c r="AB423" i="91"/>
  <c r="Z423" i="91"/>
  <c r="X423" i="91"/>
  <c r="V423" i="91"/>
  <c r="Q423" i="91"/>
  <c r="O423" i="91"/>
  <c r="M423" i="91"/>
  <c r="K423" i="91"/>
  <c r="I423" i="91"/>
  <c r="D423" i="91"/>
  <c r="CW422" i="91"/>
  <c r="BO422" i="91"/>
  <c r="AY422" i="91"/>
  <c r="AX422" i="91"/>
  <c r="AI422" i="91" s="1"/>
  <c r="T422" i="91"/>
  <c r="H422" i="91"/>
  <c r="CW421" i="91"/>
  <c r="BO421" i="91"/>
  <c r="AY421" i="91"/>
  <c r="AY420" i="91" s="1"/>
  <c r="AY419" i="91" s="1"/>
  <c r="AX421" i="91"/>
  <c r="AI421" i="91" s="1"/>
  <c r="T421" i="91"/>
  <c r="T420" i="91" s="1"/>
  <c r="T419" i="91" s="1"/>
  <c r="H421" i="91"/>
  <c r="CE420" i="91"/>
  <c r="CE419" i="91" s="1"/>
  <c r="CD420" i="91"/>
  <c r="CC420" i="91"/>
  <c r="CC419" i="91" s="1"/>
  <c r="CB420" i="91"/>
  <c r="CA420" i="91"/>
  <c r="CA419" i="91" s="1"/>
  <c r="BZ420" i="91"/>
  <c r="BY420" i="91"/>
  <c r="BY419" i="91" s="1"/>
  <c r="BX420" i="91"/>
  <c r="BW420" i="91"/>
  <c r="BW419" i="91" s="1"/>
  <c r="BV420" i="91"/>
  <c r="BU420" i="91"/>
  <c r="BU419" i="91" s="1"/>
  <c r="BT420" i="91"/>
  <c r="BS420" i="91"/>
  <c r="BS419" i="91" s="1"/>
  <c r="BR420" i="91"/>
  <c r="BQ420" i="91"/>
  <c r="BQ419" i="91" s="1"/>
  <c r="BP420" i="91"/>
  <c r="BO420" i="91"/>
  <c r="BN420" i="91"/>
  <c r="BM420" i="91"/>
  <c r="BM419" i="91" s="1"/>
  <c r="BL420" i="91"/>
  <c r="BK420" i="91"/>
  <c r="BK419" i="91" s="1"/>
  <c r="BJ420" i="91"/>
  <c r="BI420" i="91"/>
  <c r="BI419" i="91" s="1"/>
  <c r="BH420" i="91"/>
  <c r="BG420" i="91"/>
  <c r="BG419" i="91" s="1"/>
  <c r="BF420" i="91"/>
  <c r="BD420" i="91"/>
  <c r="BD419" i="91" s="1"/>
  <c r="BC420" i="91"/>
  <c r="AZ420" i="91"/>
  <c r="AZ419" i="91" s="1"/>
  <c r="AX420" i="91"/>
  <c r="AX419" i="91" s="1"/>
  <c r="AW420" i="91"/>
  <c r="AV420" i="91"/>
  <c r="AV419" i="91" s="1"/>
  <c r="AU420" i="91"/>
  <c r="AT420" i="91"/>
  <c r="AT419" i="91" s="1"/>
  <c r="AR420" i="91"/>
  <c r="AQ420" i="91"/>
  <c r="AQ419" i="91" s="1"/>
  <c r="AP420" i="91"/>
  <c r="AO420" i="91"/>
  <c r="AO419" i="91" s="1"/>
  <c r="AN420" i="91"/>
  <c r="AM420" i="91"/>
  <c r="AM419" i="91" s="1"/>
  <c r="AL420" i="91"/>
  <c r="AK420" i="91"/>
  <c r="AK419" i="91" s="1"/>
  <c r="AJ420" i="91"/>
  <c r="AI420" i="91"/>
  <c r="AI419" i="91" s="1"/>
  <c r="AH420" i="91"/>
  <c r="AG420" i="91"/>
  <c r="AG419" i="91" s="1"/>
  <c r="AF420" i="91"/>
  <c r="AC420" i="91"/>
  <c r="AC419" i="91" s="1"/>
  <c r="AB420" i="91"/>
  <c r="AA420" i="91"/>
  <c r="AA419" i="91" s="1"/>
  <c r="Z420" i="91"/>
  <c r="Y420" i="91"/>
  <c r="Y419" i="91" s="1"/>
  <c r="X420" i="91"/>
  <c r="W420" i="91"/>
  <c r="W419" i="91" s="1"/>
  <c r="V420" i="91"/>
  <c r="U420" i="91"/>
  <c r="U419" i="91" s="1"/>
  <c r="S420" i="91"/>
  <c r="Q420" i="91"/>
  <c r="P420" i="91"/>
  <c r="O420" i="91"/>
  <c r="N420" i="91"/>
  <c r="M420" i="91"/>
  <c r="L420" i="91"/>
  <c r="K420" i="91"/>
  <c r="J420" i="91"/>
  <c r="I420" i="91"/>
  <c r="H420" i="91" s="1"/>
  <c r="E420" i="91"/>
  <c r="D420" i="91"/>
  <c r="CD419" i="91"/>
  <c r="CB419" i="91"/>
  <c r="BZ419" i="91"/>
  <c r="BX419" i="91"/>
  <c r="BV419" i="91"/>
  <c r="BT419" i="91"/>
  <c r="BR419" i="91"/>
  <c r="BP419" i="91"/>
  <c r="BN419" i="91"/>
  <c r="BL419" i="91"/>
  <c r="BJ419" i="91"/>
  <c r="BH419" i="91"/>
  <c r="BF419" i="91"/>
  <c r="BE419" i="91"/>
  <c r="BC419" i="91"/>
  <c r="BB419" i="91"/>
  <c r="BA419" i="91"/>
  <c r="AW419" i="91"/>
  <c r="AU419" i="91"/>
  <c r="AR419" i="91"/>
  <c r="AP419" i="91"/>
  <c r="AN419" i="91"/>
  <c r="AL419" i="91"/>
  <c r="AJ419" i="91"/>
  <c r="AH419" i="91"/>
  <c r="AF419" i="91"/>
  <c r="AB419" i="91"/>
  <c r="Z419" i="91"/>
  <c r="X419" i="91"/>
  <c r="V419" i="91"/>
  <c r="S419" i="91"/>
  <c r="Q419" i="91"/>
  <c r="P419" i="91"/>
  <c r="O419" i="91"/>
  <c r="N419" i="91"/>
  <c r="M419" i="91"/>
  <c r="L419" i="91"/>
  <c r="K419" i="91"/>
  <c r="J419" i="91"/>
  <c r="I419" i="91"/>
  <c r="H419" i="91" s="1"/>
  <c r="E419" i="91"/>
  <c r="D419" i="91"/>
  <c r="CE418" i="91"/>
  <c r="BO418" i="91" s="1"/>
  <c r="BN418" i="91"/>
  <c r="AY418" i="91" s="1"/>
  <c r="AY417" i="91" s="1"/>
  <c r="AY416" i="91" s="1"/>
  <c r="AX418" i="91"/>
  <c r="AI418" i="91" s="1"/>
  <c r="AI417" i="91" s="1"/>
  <c r="AI416" i="91" s="1"/>
  <c r="T418" i="91"/>
  <c r="T417" i="91" s="1"/>
  <c r="T416" i="91" s="1"/>
  <c r="H418" i="91"/>
  <c r="CS417" i="91"/>
  <c r="CS416" i="91" s="1"/>
  <c r="CD417" i="91"/>
  <c r="CC417" i="91"/>
  <c r="CC416" i="91" s="1"/>
  <c r="CB417" i="91"/>
  <c r="CA417" i="91"/>
  <c r="CA416" i="91" s="1"/>
  <c r="BZ417" i="91"/>
  <c r="BY417" i="91"/>
  <c r="BY416" i="91" s="1"/>
  <c r="BX417" i="91"/>
  <c r="BW417" i="91"/>
  <c r="BW416" i="91" s="1"/>
  <c r="BV417" i="91"/>
  <c r="BU417" i="91"/>
  <c r="BU416" i="91" s="1"/>
  <c r="BT417" i="91"/>
  <c r="BS417" i="91"/>
  <c r="BS416" i="91" s="1"/>
  <c r="BR417" i="91"/>
  <c r="BQ417" i="91"/>
  <c r="BQ416" i="91" s="1"/>
  <c r="BP417" i="91"/>
  <c r="BN417" i="91"/>
  <c r="BN416" i="91" s="1"/>
  <c r="BM417" i="91"/>
  <c r="BM416" i="91" s="1"/>
  <c r="BL417" i="91"/>
  <c r="BK417" i="91"/>
  <c r="BK416" i="91" s="1"/>
  <c r="BJ417" i="91"/>
  <c r="BJ416" i="91" s="1"/>
  <c r="BI417" i="91"/>
  <c r="BI416" i="91" s="1"/>
  <c r="BH417" i="91"/>
  <c r="BG417" i="91"/>
  <c r="BG416" i="91" s="1"/>
  <c r="BF417" i="91"/>
  <c r="BF416" i="91" s="1"/>
  <c r="BE417" i="91"/>
  <c r="BE416" i="91" s="1"/>
  <c r="BD417" i="91"/>
  <c r="BC417" i="91"/>
  <c r="BC416" i="91" s="1"/>
  <c r="BB417" i="91"/>
  <c r="BB416" i="91" s="1"/>
  <c r="BA417" i="91"/>
  <c r="BA416" i="91" s="1"/>
  <c r="AZ417" i="91"/>
  <c r="AW417" i="91"/>
  <c r="AW416" i="91" s="1"/>
  <c r="AV417" i="91"/>
  <c r="AU417" i="91"/>
  <c r="AU416" i="91" s="1"/>
  <c r="AT417" i="91"/>
  <c r="AR417" i="91"/>
  <c r="AR416" i="91" s="1"/>
  <c r="AQ417" i="91"/>
  <c r="AP417" i="91"/>
  <c r="AP416" i="91" s="1"/>
  <c r="AO417" i="91"/>
  <c r="AN417" i="91"/>
  <c r="AN416" i="91" s="1"/>
  <c r="AM417" i="91"/>
  <c r="AL417" i="91"/>
  <c r="AL416" i="91" s="1"/>
  <c r="AK417" i="91"/>
  <c r="AJ417" i="91"/>
  <c r="AJ416" i="91" s="1"/>
  <c r="AH417" i="91"/>
  <c r="AH416" i="91" s="1"/>
  <c r="AG417" i="91"/>
  <c r="AG416" i="91" s="1"/>
  <c r="AF417" i="91"/>
  <c r="AF416" i="91" s="1"/>
  <c r="AC417" i="91"/>
  <c r="AB417" i="91"/>
  <c r="AB416" i="91" s="1"/>
  <c r="AA417" i="91"/>
  <c r="AA416" i="91" s="1"/>
  <c r="Z417" i="91"/>
  <c r="Z416" i="91" s="1"/>
  <c r="Y417" i="91"/>
  <c r="X417" i="91"/>
  <c r="X416" i="91" s="1"/>
  <c r="W417" i="91"/>
  <c r="W416" i="91" s="1"/>
  <c r="V417" i="91"/>
  <c r="V416" i="91" s="1"/>
  <c r="U417" i="91"/>
  <c r="S417" i="91"/>
  <c r="S416" i="91" s="1"/>
  <c r="Q417" i="91"/>
  <c r="Q416" i="91" s="1"/>
  <c r="P417" i="91"/>
  <c r="O417" i="91"/>
  <c r="O416" i="91" s="1"/>
  <c r="N417" i="91"/>
  <c r="N416" i="91" s="1"/>
  <c r="M417" i="91"/>
  <c r="M416" i="91" s="1"/>
  <c r="L417" i="91"/>
  <c r="K417" i="91"/>
  <c r="K416" i="91" s="1"/>
  <c r="J417" i="91"/>
  <c r="J416" i="91" s="1"/>
  <c r="I417" i="91"/>
  <c r="E417" i="91"/>
  <c r="E416" i="91" s="1"/>
  <c r="D417" i="91"/>
  <c r="CD416" i="91"/>
  <c r="CB416" i="91"/>
  <c r="BZ416" i="91"/>
  <c r="BX416" i="91"/>
  <c r="BV416" i="91"/>
  <c r="BT416" i="91"/>
  <c r="BR416" i="91"/>
  <c r="BP416" i="91"/>
  <c r="BL416" i="91"/>
  <c r="BH416" i="91"/>
  <c r="BD416" i="91"/>
  <c r="AZ416" i="91"/>
  <c r="AV416" i="91"/>
  <c r="AT416" i="91"/>
  <c r="AQ416" i="91"/>
  <c r="AO416" i="91"/>
  <c r="AM416" i="91"/>
  <c r="AK416" i="91"/>
  <c r="AC416" i="91"/>
  <c r="Y416" i="91"/>
  <c r="U416" i="91"/>
  <c r="P416" i="91"/>
  <c r="L416" i="91"/>
  <c r="D416" i="91"/>
  <c r="CE415" i="91"/>
  <c r="BO415" i="91" s="1"/>
  <c r="BN415" i="91"/>
  <c r="AY415" i="91" s="1"/>
  <c r="AY414" i="91" s="1"/>
  <c r="AI415" i="91"/>
  <c r="T415" i="91"/>
  <c r="T414" i="91" s="1"/>
  <c r="H415" i="91"/>
  <c r="CE414" i="91"/>
  <c r="CD414" i="91"/>
  <c r="CC414" i="91"/>
  <c r="CB414" i="91"/>
  <c r="CB410" i="91" s="1"/>
  <c r="CA414" i="91"/>
  <c r="BZ414" i="91"/>
  <c r="BY414" i="91"/>
  <c r="BX414" i="91"/>
  <c r="BX410" i="91" s="1"/>
  <c r="BW414" i="91"/>
  <c r="BV414" i="91"/>
  <c r="BT414" i="91"/>
  <c r="BS414" i="91"/>
  <c r="BP414" i="91"/>
  <c r="BM414" i="91"/>
  <c r="BL414" i="91"/>
  <c r="BL410" i="91" s="1"/>
  <c r="BK414" i="91"/>
  <c r="BJ414" i="91"/>
  <c r="BJ410" i="91" s="1"/>
  <c r="BI414" i="91"/>
  <c r="BH414" i="91"/>
  <c r="BH410" i="91" s="1"/>
  <c r="BG414" i="91"/>
  <c r="BF414" i="91"/>
  <c r="BF410" i="91" s="1"/>
  <c r="BD414" i="91"/>
  <c r="BC414" i="91"/>
  <c r="AZ414" i="91"/>
  <c r="AX414" i="91"/>
  <c r="AW414" i="91"/>
  <c r="AV414" i="91"/>
  <c r="AU414" i="91"/>
  <c r="AT414" i="91"/>
  <c r="AT410" i="91" s="1"/>
  <c r="AR414" i="91"/>
  <c r="AQ414" i="91"/>
  <c r="AP414" i="91"/>
  <c r="AO414" i="91"/>
  <c r="AO410" i="91" s="1"/>
  <c r="AN414" i="91"/>
  <c r="AM414" i="91"/>
  <c r="AL414" i="91"/>
  <c r="AK414" i="91"/>
  <c r="AK410" i="91" s="1"/>
  <c r="AJ414" i="91"/>
  <c r="AI414" i="91"/>
  <c r="AG414" i="91"/>
  <c r="AF414" i="91"/>
  <c r="AF410" i="91" s="1"/>
  <c r="AC414" i="91"/>
  <c r="AB414" i="91"/>
  <c r="AA414" i="91"/>
  <c r="Z414" i="91"/>
  <c r="Z410" i="91" s="1"/>
  <c r="Y414" i="91"/>
  <c r="X414" i="91"/>
  <c r="W414" i="91"/>
  <c r="V414" i="91"/>
  <c r="V410" i="91" s="1"/>
  <c r="U414" i="91"/>
  <c r="S414" i="91"/>
  <c r="Q414" i="91"/>
  <c r="P414" i="91"/>
  <c r="O414" i="91"/>
  <c r="N414" i="91"/>
  <c r="M414" i="91"/>
  <c r="L414" i="91"/>
  <c r="K414" i="91"/>
  <c r="J414" i="91"/>
  <c r="I414" i="91"/>
  <c r="H414" i="91"/>
  <c r="E414" i="91"/>
  <c r="D414" i="91"/>
  <c r="D410" i="91" s="1"/>
  <c r="BO413" i="91"/>
  <c r="AY413" i="91"/>
  <c r="AI413" i="91"/>
  <c r="T413" i="91"/>
  <c r="T411" i="91" s="1"/>
  <c r="H413" i="91"/>
  <c r="CE412" i="91"/>
  <c r="BO412" i="91" s="1"/>
  <c r="BN412" i="91"/>
  <c r="AX412" i="91"/>
  <c r="T412" i="91"/>
  <c r="H412" i="91"/>
  <c r="CD411" i="91"/>
  <c r="CC411" i="91"/>
  <c r="CC410" i="91" s="1"/>
  <c r="CB411" i="91"/>
  <c r="CA411" i="91"/>
  <c r="CA410" i="91" s="1"/>
  <c r="BZ411" i="91"/>
  <c r="BY411" i="91"/>
  <c r="BY410" i="91" s="1"/>
  <c r="BX411" i="91"/>
  <c r="BW411" i="91"/>
  <c r="BW410" i="91" s="1"/>
  <c r="BV411" i="91"/>
  <c r="BU411" i="91"/>
  <c r="BU410" i="91" s="1"/>
  <c r="BT411" i="91"/>
  <c r="BS411" i="91"/>
  <c r="BS410" i="91" s="1"/>
  <c r="BR411" i="91"/>
  <c r="BQ411" i="91"/>
  <c r="BQ410" i="91" s="1"/>
  <c r="BP411" i="91"/>
  <c r="BM411" i="91"/>
  <c r="BL411" i="91"/>
  <c r="BK411" i="91"/>
  <c r="BK410" i="91" s="1"/>
  <c r="BJ411" i="91"/>
  <c r="BI411" i="91"/>
  <c r="BH411" i="91"/>
  <c r="BG411" i="91"/>
  <c r="BG410" i="91" s="1"/>
  <c r="BF411" i="91"/>
  <c r="BE411" i="91"/>
  <c r="BD411" i="91"/>
  <c r="BC411" i="91"/>
  <c r="BB411" i="91"/>
  <c r="BA411" i="91"/>
  <c r="AZ411" i="91"/>
  <c r="AW411" i="91"/>
  <c r="AW410" i="91" s="1"/>
  <c r="AV411" i="91"/>
  <c r="AU411" i="91"/>
  <c r="AU410" i="91" s="1"/>
  <c r="AT411" i="91"/>
  <c r="AR411" i="91"/>
  <c r="AR410" i="91" s="1"/>
  <c r="AQ411" i="91"/>
  <c r="AP411" i="91"/>
  <c r="AP410" i="91" s="1"/>
  <c r="AO411" i="91"/>
  <c r="AN411" i="91"/>
  <c r="AN410" i="91" s="1"/>
  <c r="AM411" i="91"/>
  <c r="AL411" i="91"/>
  <c r="AL410" i="91" s="1"/>
  <c r="AK411" i="91"/>
  <c r="AJ411" i="91"/>
  <c r="AJ410" i="91" s="1"/>
  <c r="AH411" i="91"/>
  <c r="AG411" i="91"/>
  <c r="AF411" i="91"/>
  <c r="AC411" i="91"/>
  <c r="AB411" i="91"/>
  <c r="AA411" i="91"/>
  <c r="Z411" i="91"/>
  <c r="Y411" i="91"/>
  <c r="X411" i="91"/>
  <c r="W411" i="91"/>
  <c r="V411" i="91"/>
  <c r="U411" i="91"/>
  <c r="S411" i="91"/>
  <c r="Q411" i="91"/>
  <c r="P411" i="91"/>
  <c r="O411" i="91"/>
  <c r="N411" i="91"/>
  <c r="M411" i="91"/>
  <c r="L411" i="91"/>
  <c r="K411" i="91"/>
  <c r="J411" i="91"/>
  <c r="I411" i="91"/>
  <c r="E411" i="91"/>
  <c r="D411" i="91"/>
  <c r="CD410" i="91"/>
  <c r="BZ410" i="91"/>
  <c r="BV410" i="91"/>
  <c r="BR410" i="91"/>
  <c r="BM410" i="91"/>
  <c r="BI410" i="91"/>
  <c r="BE410" i="91"/>
  <c r="BD410" i="91"/>
  <c r="BC410" i="91"/>
  <c r="BB410" i="91"/>
  <c r="BA410" i="91"/>
  <c r="AZ410" i="91"/>
  <c r="AV410" i="91"/>
  <c r="AQ410" i="91"/>
  <c r="AM410" i="91"/>
  <c r="AH410" i="91"/>
  <c r="AB410" i="91"/>
  <c r="X410" i="91"/>
  <c r="Q410" i="91"/>
  <c r="O410" i="91"/>
  <c r="M410" i="91"/>
  <c r="K410" i="91"/>
  <c r="I410" i="91"/>
  <c r="E410" i="91"/>
  <c r="BO409" i="91"/>
  <c r="AY409" i="91"/>
  <c r="AI409" i="91"/>
  <c r="T409" i="91"/>
  <c r="H409" i="91"/>
  <c r="CE408" i="91"/>
  <c r="CW408" i="91" s="1"/>
  <c r="AY408" i="91"/>
  <c r="AI408" i="91"/>
  <c r="T408" i="91"/>
  <c r="H408" i="91"/>
  <c r="CE407" i="91"/>
  <c r="BO407" i="91" s="1"/>
  <c r="BN407" i="91"/>
  <c r="AY407" i="91" s="1"/>
  <c r="AI407" i="91"/>
  <c r="T407" i="91"/>
  <c r="H407" i="91"/>
  <c r="CE406" i="91"/>
  <c r="BN406" i="91"/>
  <c r="AY406" i="91" s="1"/>
  <c r="AI406" i="91"/>
  <c r="T406" i="91"/>
  <c r="H406" i="91"/>
  <c r="CD405" i="91"/>
  <c r="CD404" i="91" s="1"/>
  <c r="CC405" i="91"/>
  <c r="CB405" i="91"/>
  <c r="CB404" i="91" s="1"/>
  <c r="CA405" i="91"/>
  <c r="CA404" i="91" s="1"/>
  <c r="BZ405" i="91"/>
  <c r="BZ404" i="91" s="1"/>
  <c r="BY405" i="91"/>
  <c r="BX405" i="91"/>
  <c r="BX404" i="91" s="1"/>
  <c r="BW405" i="91"/>
  <c r="BW404" i="91" s="1"/>
  <c r="BV405" i="91"/>
  <c r="BV404" i="91" s="1"/>
  <c r="BU405" i="91"/>
  <c r="BT405" i="91"/>
  <c r="BT404" i="91" s="1"/>
  <c r="BS405" i="91"/>
  <c r="BR405" i="91"/>
  <c r="BQ405" i="91"/>
  <c r="BP405" i="91"/>
  <c r="BM405" i="91"/>
  <c r="BM404" i="91" s="1"/>
  <c r="BL405" i="91"/>
  <c r="BL404" i="91" s="1"/>
  <c r="BK405" i="91"/>
  <c r="BJ405" i="91"/>
  <c r="BJ404" i="91" s="1"/>
  <c r="BI405" i="91"/>
  <c r="BI404" i="91" s="1"/>
  <c r="BH405" i="91"/>
  <c r="BH404" i="91" s="1"/>
  <c r="BG405" i="91"/>
  <c r="BF405" i="91"/>
  <c r="BF404" i="91" s="1"/>
  <c r="BE405" i="91"/>
  <c r="BE404" i="91" s="1"/>
  <c r="BD405" i="91"/>
  <c r="BD404" i="91" s="1"/>
  <c r="BC405" i="91"/>
  <c r="BB405" i="91"/>
  <c r="BB404" i="91" s="1"/>
  <c r="BA405" i="91"/>
  <c r="BA404" i="91" s="1"/>
  <c r="AZ405" i="91"/>
  <c r="AZ404" i="91" s="1"/>
  <c r="AX405" i="91"/>
  <c r="AX404" i="91" s="1"/>
  <c r="AW405" i="91"/>
  <c r="AV405" i="91"/>
  <c r="AV404" i="91" s="1"/>
  <c r="AU405" i="91"/>
  <c r="AT405" i="91"/>
  <c r="AT404" i="91" s="1"/>
  <c r="AR405" i="91"/>
  <c r="AQ405" i="91"/>
  <c r="AQ404" i="91" s="1"/>
  <c r="AP405" i="91"/>
  <c r="AO405" i="91"/>
  <c r="AO404" i="91" s="1"/>
  <c r="AN405" i="91"/>
  <c r="AM405" i="91"/>
  <c r="AM404" i="91" s="1"/>
  <c r="AL405" i="91"/>
  <c r="AK405" i="91"/>
  <c r="AK404" i="91" s="1"/>
  <c r="AJ405" i="91"/>
  <c r="AI405" i="91"/>
  <c r="AI404" i="91" s="1"/>
  <c r="AH405" i="91"/>
  <c r="AG405" i="91"/>
  <c r="AG404" i="91" s="1"/>
  <c r="AF405" i="91"/>
  <c r="AC405" i="91"/>
  <c r="AC404" i="91" s="1"/>
  <c r="AB405" i="91"/>
  <c r="AA405" i="91"/>
  <c r="AA404" i="91" s="1"/>
  <c r="Z405" i="91"/>
  <c r="Y405" i="91"/>
  <c r="Y404" i="91" s="1"/>
  <c r="X405" i="91"/>
  <c r="W405" i="91"/>
  <c r="W404" i="91" s="1"/>
  <c r="V405" i="91"/>
  <c r="U405" i="91"/>
  <c r="S405" i="91"/>
  <c r="S404" i="91" s="1"/>
  <c r="Q405" i="91"/>
  <c r="Q404" i="91" s="1"/>
  <c r="P405" i="91"/>
  <c r="P404" i="91" s="1"/>
  <c r="O405" i="91"/>
  <c r="N405" i="91"/>
  <c r="N404" i="91" s="1"/>
  <c r="M405" i="91"/>
  <c r="M404" i="91" s="1"/>
  <c r="L405" i="91"/>
  <c r="L404" i="91" s="1"/>
  <c r="K405" i="91"/>
  <c r="J405" i="91"/>
  <c r="J404" i="91" s="1"/>
  <c r="I405" i="91"/>
  <c r="H405" i="91" s="1"/>
  <c r="E405" i="91"/>
  <c r="D405" i="91"/>
  <c r="D404" i="91" s="1"/>
  <c r="CC404" i="91"/>
  <c r="BY404" i="91"/>
  <c r="BS404" i="91"/>
  <c r="BK404" i="91"/>
  <c r="BG404" i="91"/>
  <c r="BC404" i="91"/>
  <c r="AW404" i="91"/>
  <c r="AU404" i="91"/>
  <c r="AR404" i="91"/>
  <c r="AP404" i="91"/>
  <c r="AN404" i="91"/>
  <c r="AL404" i="91"/>
  <c r="AJ404" i="91"/>
  <c r="AH404" i="91"/>
  <c r="AF404" i="91"/>
  <c r="AB404" i="91"/>
  <c r="Z404" i="91"/>
  <c r="X404" i="91"/>
  <c r="V404" i="91"/>
  <c r="O404" i="91"/>
  <c r="K404" i="91"/>
  <c r="E404" i="91"/>
  <c r="CE403" i="91"/>
  <c r="BO403" i="91" s="1"/>
  <c r="BN403" i="91"/>
  <c r="AI403" i="91"/>
  <c r="AI402" i="91" s="1"/>
  <c r="T403" i="91"/>
  <c r="H403" i="91"/>
  <c r="CS402" i="91"/>
  <c r="CS401" i="91" s="1"/>
  <c r="CS394" i="91" s="1"/>
  <c r="CE402" i="91"/>
  <c r="CD402" i="91"/>
  <c r="CD401" i="91" s="1"/>
  <c r="CC402" i="91"/>
  <c r="CC401" i="91" s="1"/>
  <c r="CB402" i="91"/>
  <c r="CA402" i="91"/>
  <c r="CA401" i="91" s="1"/>
  <c r="BZ402" i="91"/>
  <c r="BZ401" i="91" s="1"/>
  <c r="BY402" i="91"/>
  <c r="BY401" i="91" s="1"/>
  <c r="BX402" i="91"/>
  <c r="BW402" i="91"/>
  <c r="BW401" i="91" s="1"/>
  <c r="BV402" i="91"/>
  <c r="BV401" i="91" s="1"/>
  <c r="BU402" i="91"/>
  <c r="BU401" i="91" s="1"/>
  <c r="BT402" i="91"/>
  <c r="BS402" i="91"/>
  <c r="BS401" i="91" s="1"/>
  <c r="BR402" i="91"/>
  <c r="BR401" i="91" s="1"/>
  <c r="BQ402" i="91"/>
  <c r="BQ401" i="91" s="1"/>
  <c r="BP402" i="91"/>
  <c r="BM402" i="91"/>
  <c r="BM401" i="91" s="1"/>
  <c r="BL402" i="91"/>
  <c r="BK402" i="91"/>
  <c r="BK401" i="91" s="1"/>
  <c r="BJ402" i="91"/>
  <c r="BI402" i="91"/>
  <c r="BI401" i="91" s="1"/>
  <c r="BH402" i="91"/>
  <c r="BG402" i="91"/>
  <c r="BG401" i="91" s="1"/>
  <c r="BF402" i="91"/>
  <c r="BE402" i="91"/>
  <c r="BE401" i="91" s="1"/>
  <c r="BD402" i="91"/>
  <c r="BC402" i="91"/>
  <c r="BC401" i="91" s="1"/>
  <c r="BB402" i="91"/>
  <c r="BA402" i="91"/>
  <c r="BA401" i="91" s="1"/>
  <c r="AZ402" i="91"/>
  <c r="AX402" i="91"/>
  <c r="AW402" i="91"/>
  <c r="AW401" i="91" s="1"/>
  <c r="AV402" i="91"/>
  <c r="AV401" i="91" s="1"/>
  <c r="AU402" i="91"/>
  <c r="AU401" i="91" s="1"/>
  <c r="AT402" i="91"/>
  <c r="AR402" i="91"/>
  <c r="AR401" i="91" s="1"/>
  <c r="AQ402" i="91"/>
  <c r="AQ401" i="91" s="1"/>
  <c r="AP402" i="91"/>
  <c r="AP401" i="91" s="1"/>
  <c r="AO402" i="91"/>
  <c r="AN402" i="91"/>
  <c r="AN401" i="91" s="1"/>
  <c r="AM402" i="91"/>
  <c r="AM401" i="91" s="1"/>
  <c r="AL402" i="91"/>
  <c r="AL401" i="91" s="1"/>
  <c r="AK402" i="91"/>
  <c r="AJ402" i="91"/>
  <c r="AJ401" i="91" s="1"/>
  <c r="AH402" i="91"/>
  <c r="AH401" i="91" s="1"/>
  <c r="AG402" i="91"/>
  <c r="AF402" i="91"/>
  <c r="AF401" i="91" s="1"/>
  <c r="AC402" i="91"/>
  <c r="AB402" i="91"/>
  <c r="AB401" i="91" s="1"/>
  <c r="AA402" i="91"/>
  <c r="Z402" i="91"/>
  <c r="Z401" i="91" s="1"/>
  <c r="Y402" i="91"/>
  <c r="X402" i="91"/>
  <c r="X401" i="91" s="1"/>
  <c r="W402" i="91"/>
  <c r="V402" i="91"/>
  <c r="V401" i="91" s="1"/>
  <c r="U402" i="91"/>
  <c r="T402" i="91"/>
  <c r="T401" i="91" s="1"/>
  <c r="S402" i="91"/>
  <c r="Q402" i="91"/>
  <c r="Q401" i="91" s="1"/>
  <c r="P402" i="91"/>
  <c r="O402" i="91"/>
  <c r="O401" i="91" s="1"/>
  <c r="N402" i="91"/>
  <c r="M402" i="91"/>
  <c r="M401" i="91" s="1"/>
  <c r="L402" i="91"/>
  <c r="K402" i="91"/>
  <c r="K401" i="91" s="1"/>
  <c r="J402" i="91"/>
  <c r="I402" i="91"/>
  <c r="H402" i="91" s="1"/>
  <c r="E402" i="91"/>
  <c r="E401" i="91" s="1"/>
  <c r="D402" i="91"/>
  <c r="D401" i="91" s="1"/>
  <c r="CB401" i="91"/>
  <c r="BX401" i="91"/>
  <c r="BT401" i="91"/>
  <c r="BP401" i="91"/>
  <c r="BL401" i="91"/>
  <c r="BJ401" i="91"/>
  <c r="BH401" i="91"/>
  <c r="BF401" i="91"/>
  <c r="BD401" i="91"/>
  <c r="BB401" i="91"/>
  <c r="AZ401" i="91"/>
  <c r="AX401" i="91"/>
  <c r="AT401" i="91"/>
  <c r="AO401" i="91"/>
  <c r="AK401" i="91"/>
  <c r="AI401" i="91"/>
  <c r="AG401" i="91"/>
  <c r="AC401" i="91"/>
  <c r="AA401" i="91"/>
  <c r="Y401" i="91"/>
  <c r="W401" i="91"/>
  <c r="U401" i="91"/>
  <c r="S401" i="91"/>
  <c r="P401" i="91"/>
  <c r="N401" i="91"/>
  <c r="L401" i="91"/>
  <c r="J401" i="91"/>
  <c r="CE400" i="91"/>
  <c r="BO400" i="91" s="1"/>
  <c r="BN400" i="91"/>
  <c r="AY400" i="91" s="1"/>
  <c r="AY399" i="91" s="1"/>
  <c r="AY398" i="91" s="1"/>
  <c r="AI400" i="91"/>
  <c r="AI399" i="91" s="1"/>
  <c r="AI398" i="91" s="1"/>
  <c r="T400" i="91"/>
  <c r="T399" i="91" s="1"/>
  <c r="T398" i="91" s="1"/>
  <c r="H400" i="91"/>
  <c r="CS399" i="91"/>
  <c r="CE399" i="91"/>
  <c r="CD399" i="91"/>
  <c r="CD398" i="91" s="1"/>
  <c r="CC399" i="91"/>
  <c r="CC398" i="91" s="1"/>
  <c r="CB399" i="91"/>
  <c r="CB398" i="91" s="1"/>
  <c r="CA399" i="91"/>
  <c r="BZ399" i="91"/>
  <c r="BZ398" i="91" s="1"/>
  <c r="BY399" i="91"/>
  <c r="BY398" i="91" s="1"/>
  <c r="BX399" i="91"/>
  <c r="BX398" i="91" s="1"/>
  <c r="BW399" i="91"/>
  <c r="BV399" i="91"/>
  <c r="BV398" i="91" s="1"/>
  <c r="BU399" i="91"/>
  <c r="BU398" i="91" s="1"/>
  <c r="BT399" i="91"/>
  <c r="BT398" i="91" s="1"/>
  <c r="BS399" i="91"/>
  <c r="BR399" i="91"/>
  <c r="BR398" i="91" s="1"/>
  <c r="BQ399" i="91"/>
  <c r="BQ398" i="91" s="1"/>
  <c r="BQ394" i="91" s="1"/>
  <c r="BP399" i="91"/>
  <c r="BM399" i="91"/>
  <c r="BL399" i="91"/>
  <c r="BL398" i="91" s="1"/>
  <c r="BK399" i="91"/>
  <c r="BJ399" i="91"/>
  <c r="BJ398" i="91" s="1"/>
  <c r="BI399" i="91"/>
  <c r="BH399" i="91"/>
  <c r="BH398" i="91" s="1"/>
  <c r="BG399" i="91"/>
  <c r="BF399" i="91"/>
  <c r="BF398" i="91" s="1"/>
  <c r="BE399" i="91"/>
  <c r="BD399" i="91"/>
  <c r="BD398" i="91" s="1"/>
  <c r="BC399" i="91"/>
  <c r="BB399" i="91"/>
  <c r="BB398" i="91" s="1"/>
  <c r="BA399" i="91"/>
  <c r="AZ399" i="91"/>
  <c r="AZ398" i="91" s="1"/>
  <c r="AX399" i="91"/>
  <c r="AX398" i="91" s="1"/>
  <c r="AW399" i="91"/>
  <c r="AW398" i="91" s="1"/>
  <c r="AV399" i="91"/>
  <c r="AV398" i="91" s="1"/>
  <c r="AU399" i="91"/>
  <c r="AT399" i="91"/>
  <c r="AT398" i="91" s="1"/>
  <c r="AR399" i="91"/>
  <c r="AR398" i="91" s="1"/>
  <c r="AQ399" i="91"/>
  <c r="AQ398" i="91" s="1"/>
  <c r="AP399" i="91"/>
  <c r="AO399" i="91"/>
  <c r="AO398" i="91" s="1"/>
  <c r="AN399" i="91"/>
  <c r="AN398" i="91" s="1"/>
  <c r="AM399" i="91"/>
  <c r="AM398" i="91" s="1"/>
  <c r="AL399" i="91"/>
  <c r="AK399" i="91"/>
  <c r="AK398" i="91" s="1"/>
  <c r="AJ399" i="91"/>
  <c r="AJ398" i="91" s="1"/>
  <c r="AH399" i="91"/>
  <c r="AG399" i="91"/>
  <c r="AG398" i="91" s="1"/>
  <c r="AF399" i="91"/>
  <c r="AF398" i="91" s="1"/>
  <c r="AC399" i="91"/>
  <c r="AC398" i="91" s="1"/>
  <c r="AB399" i="91"/>
  <c r="AB398" i="91" s="1"/>
  <c r="AB394" i="91" s="1"/>
  <c r="AA399" i="91"/>
  <c r="AA398" i="91" s="1"/>
  <c r="Z399" i="91"/>
  <c r="Z398" i="91" s="1"/>
  <c r="Y399" i="91"/>
  <c r="Y398" i="91" s="1"/>
  <c r="X399" i="91"/>
  <c r="W399" i="91"/>
  <c r="W398" i="91" s="1"/>
  <c r="V399" i="91"/>
  <c r="V398" i="91" s="1"/>
  <c r="U399" i="91"/>
  <c r="U398" i="91" s="1"/>
  <c r="S399" i="91"/>
  <c r="S398" i="91" s="1"/>
  <c r="Q399" i="91"/>
  <c r="P399" i="91"/>
  <c r="P398" i="91" s="1"/>
  <c r="O399" i="91"/>
  <c r="N399" i="91"/>
  <c r="N398" i="91" s="1"/>
  <c r="M399" i="91"/>
  <c r="L399" i="91"/>
  <c r="L398" i="91" s="1"/>
  <c r="K399" i="91"/>
  <c r="J399" i="91"/>
  <c r="J398" i="91" s="1"/>
  <c r="I399" i="91"/>
  <c r="H399" i="91"/>
  <c r="E399" i="91"/>
  <c r="D399" i="91"/>
  <c r="D398" i="91" s="1"/>
  <c r="CS398" i="91"/>
  <c r="CE398" i="91"/>
  <c r="CA398" i="91"/>
  <c r="BW398" i="91"/>
  <c r="BS398" i="91"/>
  <c r="BM398" i="91"/>
  <c r="BK398" i="91"/>
  <c r="BI398" i="91"/>
  <c r="BG398" i="91"/>
  <c r="BE398" i="91"/>
  <c r="BC398" i="91"/>
  <c r="BA398" i="91"/>
  <c r="AU398" i="91"/>
  <c r="AP398" i="91"/>
  <c r="AL398" i="91"/>
  <c r="AH398" i="91"/>
  <c r="AH394" i="91" s="1"/>
  <c r="X398" i="91"/>
  <c r="X394" i="91" s="1"/>
  <c r="Q398" i="91"/>
  <c r="Q394" i="91" s="1"/>
  <c r="O398" i="91"/>
  <c r="M398" i="91"/>
  <c r="M394" i="91" s="1"/>
  <c r="K398" i="91"/>
  <c r="I398" i="91"/>
  <c r="E398" i="91"/>
  <c r="CE397" i="91"/>
  <c r="BN397" i="91"/>
  <c r="AY397" i="91" s="1"/>
  <c r="AY396" i="91" s="1"/>
  <c r="AY395" i="91" s="1"/>
  <c r="AI397" i="91"/>
  <c r="T397" i="91"/>
  <c r="H397" i="91"/>
  <c r="CD396" i="91"/>
  <c r="CC396" i="91"/>
  <c r="CB396" i="91"/>
  <c r="CA396" i="91"/>
  <c r="BZ396" i="91"/>
  <c r="BY396" i="91"/>
  <c r="BX396" i="91"/>
  <c r="BW396" i="91"/>
  <c r="BV396" i="91"/>
  <c r="BU396" i="91"/>
  <c r="BT396" i="91"/>
  <c r="BT395" i="91" s="1"/>
  <c r="BS396" i="91"/>
  <c r="BR396" i="91"/>
  <c r="BQ396" i="91"/>
  <c r="BP396" i="91"/>
  <c r="BM396" i="91"/>
  <c r="BM395" i="91" s="1"/>
  <c r="BL396" i="91"/>
  <c r="BL395" i="91" s="1"/>
  <c r="BK396" i="91"/>
  <c r="BJ396" i="91"/>
  <c r="BJ395" i="91" s="1"/>
  <c r="BI396" i="91"/>
  <c r="BI395" i="91" s="1"/>
  <c r="BH396" i="91"/>
  <c r="BH395" i="91" s="1"/>
  <c r="BG396" i="91"/>
  <c r="BF396" i="91"/>
  <c r="BF395" i="91" s="1"/>
  <c r="BE396" i="91"/>
  <c r="BD396" i="91"/>
  <c r="BC396" i="91"/>
  <c r="BB396" i="91"/>
  <c r="BA396" i="91"/>
  <c r="AZ396" i="91"/>
  <c r="AX396" i="91"/>
  <c r="AW396" i="91"/>
  <c r="AV396" i="91"/>
  <c r="AU396" i="91"/>
  <c r="AT396" i="91"/>
  <c r="AR396" i="91"/>
  <c r="AQ396" i="91"/>
  <c r="AP396" i="91"/>
  <c r="AO396" i="91"/>
  <c r="AN396" i="91"/>
  <c r="AM396" i="91"/>
  <c r="AL396" i="91"/>
  <c r="AK396" i="91"/>
  <c r="AJ396" i="91"/>
  <c r="AI396" i="91"/>
  <c r="AH396" i="91"/>
  <c r="AG396" i="91"/>
  <c r="AF396" i="91"/>
  <c r="AC396" i="91"/>
  <c r="AB396" i="91"/>
  <c r="AA396" i="91"/>
  <c r="Z396" i="91"/>
  <c r="Y396" i="91"/>
  <c r="X396" i="91"/>
  <c r="W396" i="91"/>
  <c r="V396" i="91"/>
  <c r="U396" i="91"/>
  <c r="T396" i="91"/>
  <c r="S396" i="91"/>
  <c r="Q396" i="91"/>
  <c r="P396" i="91"/>
  <c r="O396" i="91"/>
  <c r="N396" i="91"/>
  <c r="M396" i="91"/>
  <c r="L396" i="91"/>
  <c r="K396" i="91"/>
  <c r="J396" i="91"/>
  <c r="I396" i="91"/>
  <c r="H396" i="91"/>
  <c r="E396" i="91"/>
  <c r="D396" i="91"/>
  <c r="CD395" i="91"/>
  <c r="CC395" i="91"/>
  <c r="CB395" i="91"/>
  <c r="CA395" i="91"/>
  <c r="BZ395" i="91"/>
  <c r="BY395" i="91"/>
  <c r="BX395" i="91"/>
  <c r="BW395" i="91"/>
  <c r="BV395" i="91"/>
  <c r="BS395" i="91"/>
  <c r="BK395" i="91"/>
  <c r="BK394" i="91" s="1"/>
  <c r="BG395" i="91"/>
  <c r="BG394" i="91" s="1"/>
  <c r="BD395" i="91"/>
  <c r="BC395" i="91"/>
  <c r="BC394" i="91" s="1"/>
  <c r="AZ395" i="91"/>
  <c r="AX395" i="91"/>
  <c r="AW395" i="91"/>
  <c r="AV395" i="91"/>
  <c r="AV394" i="91" s="1"/>
  <c r="AU395" i="91"/>
  <c r="AT395" i="91"/>
  <c r="AT394" i="91" s="1"/>
  <c r="AR395" i="91"/>
  <c r="AQ395" i="91"/>
  <c r="AQ394" i="91" s="1"/>
  <c r="AP395" i="91"/>
  <c r="AO395" i="91"/>
  <c r="AO394" i="91" s="1"/>
  <c r="AN395" i="91"/>
  <c r="AM395" i="91"/>
  <c r="AM394" i="91" s="1"/>
  <c r="AL395" i="91"/>
  <c r="AK395" i="91"/>
  <c r="AK394" i="91" s="1"/>
  <c r="AJ395" i="91"/>
  <c r="AI395" i="91"/>
  <c r="AH395" i="91"/>
  <c r="AG395" i="91"/>
  <c r="AF395" i="91"/>
  <c r="AC395" i="91"/>
  <c r="AB395" i="91"/>
  <c r="AA395" i="91"/>
  <c r="Z395" i="91"/>
  <c r="Y395" i="91"/>
  <c r="X395" i="91"/>
  <c r="W395" i="91"/>
  <c r="V395" i="91"/>
  <c r="U395" i="91"/>
  <c r="T395" i="91"/>
  <c r="S395" i="91"/>
  <c r="Q395" i="91"/>
  <c r="P395" i="91"/>
  <c r="O395" i="91"/>
  <c r="N395" i="91"/>
  <c r="M395" i="91"/>
  <c r="L395" i="91"/>
  <c r="K395" i="91"/>
  <c r="J395" i="91"/>
  <c r="I395" i="91"/>
  <c r="H395" i="91"/>
  <c r="E395" i="91"/>
  <c r="D395" i="91"/>
  <c r="D394" i="91" s="1"/>
  <c r="BS394" i="91"/>
  <c r="BM394" i="91"/>
  <c r="BI394" i="91"/>
  <c r="BE394" i="91"/>
  <c r="BA394" i="91"/>
  <c r="AF394" i="91"/>
  <c r="Z394" i="91"/>
  <c r="V394" i="91"/>
  <c r="O394" i="91"/>
  <c r="K394" i="91"/>
  <c r="BO393" i="91"/>
  <c r="BL393" i="91"/>
  <c r="AI393" i="91"/>
  <c r="T393" i="91"/>
  <c r="H393" i="91"/>
  <c r="CE392" i="91"/>
  <c r="CD392" i="91"/>
  <c r="CC392" i="91"/>
  <c r="CB392" i="91"/>
  <c r="CA392" i="91"/>
  <c r="BZ392" i="91"/>
  <c r="BY392" i="91"/>
  <c r="BX392" i="91"/>
  <c r="BW392" i="91"/>
  <c r="BV392" i="91"/>
  <c r="BU392" i="91"/>
  <c r="BT392" i="91"/>
  <c r="BS392" i="91"/>
  <c r="BR392" i="91"/>
  <c r="BQ392" i="91"/>
  <c r="BP392" i="91"/>
  <c r="BO392" i="91" s="1"/>
  <c r="BN392" i="91"/>
  <c r="BM392" i="91"/>
  <c r="BL392" i="91"/>
  <c r="CS392" i="91" s="1"/>
  <c r="BK392" i="91"/>
  <c r="BJ392" i="91"/>
  <c r="BI392" i="91"/>
  <c r="BH392" i="91"/>
  <c r="BG392" i="91"/>
  <c r="BF392" i="91"/>
  <c r="BE392" i="91"/>
  <c r="BD392" i="91"/>
  <c r="BC392" i="91"/>
  <c r="BB392" i="91"/>
  <c r="BA392" i="91"/>
  <c r="AZ392" i="91"/>
  <c r="AX392" i="91"/>
  <c r="AW392" i="91"/>
  <c r="AV392" i="91"/>
  <c r="AU392" i="91"/>
  <c r="AT392" i="91"/>
  <c r="AR392" i="91"/>
  <c r="AQ392" i="91"/>
  <c r="AP392" i="91"/>
  <c r="AO392" i="91"/>
  <c r="AN392" i="91"/>
  <c r="AM392" i="91"/>
  <c r="AL392" i="91"/>
  <c r="AK392" i="91"/>
  <c r="AJ392" i="91"/>
  <c r="AI392" i="91"/>
  <c r="AH392" i="91"/>
  <c r="AG392" i="91"/>
  <c r="AF392" i="91"/>
  <c r="AC392" i="91"/>
  <c r="AB392" i="91"/>
  <c r="AA392" i="91"/>
  <c r="Z392" i="91"/>
  <c r="Y392" i="91"/>
  <c r="X392" i="91"/>
  <c r="W392" i="91"/>
  <c r="V392" i="91"/>
  <c r="U392" i="91"/>
  <c r="T392" i="91"/>
  <c r="S392" i="91"/>
  <c r="Q392" i="91"/>
  <c r="P392" i="91"/>
  <c r="O392" i="91"/>
  <c r="N392" i="91"/>
  <c r="M392" i="91"/>
  <c r="L392" i="91"/>
  <c r="K392" i="91"/>
  <c r="J392" i="91"/>
  <c r="I392" i="91"/>
  <c r="H392" i="91" s="1"/>
  <c r="E392" i="91"/>
  <c r="D392" i="91"/>
  <c r="BT391" i="91"/>
  <c r="BD391" i="91"/>
  <c r="AY391" i="91" s="1"/>
  <c r="AY390" i="91" s="1"/>
  <c r="AY389" i="91" s="1"/>
  <c r="AI391" i="91"/>
  <c r="T391" i="91"/>
  <c r="H391" i="91"/>
  <c r="CE390" i="91"/>
  <c r="CD390" i="91"/>
  <c r="CC390" i="91"/>
  <c r="CB390" i="91"/>
  <c r="CA390" i="91"/>
  <c r="BZ390" i="91"/>
  <c r="BY390" i="91"/>
  <c r="BX390" i="91"/>
  <c r="BW390" i="91"/>
  <c r="BV390" i="91"/>
  <c r="BU390" i="91"/>
  <c r="BT390" i="91"/>
  <c r="BS390" i="91"/>
  <c r="BR390" i="91"/>
  <c r="BQ390" i="91"/>
  <c r="BP390" i="91"/>
  <c r="BN390" i="91"/>
  <c r="BN389" i="91" s="1"/>
  <c r="BN388" i="91" s="1"/>
  <c r="BM390" i="91"/>
  <c r="BL390" i="91"/>
  <c r="BL389" i="91" s="1"/>
  <c r="BL388" i="91" s="1"/>
  <c r="BK390" i="91"/>
  <c r="BJ390" i="91"/>
  <c r="BJ389" i="91" s="1"/>
  <c r="BJ388" i="91" s="1"/>
  <c r="BI390" i="91"/>
  <c r="BH390" i="91"/>
  <c r="BH389" i="91" s="1"/>
  <c r="BH388" i="91" s="1"/>
  <c r="BG390" i="91"/>
  <c r="BF390" i="91"/>
  <c r="BF389" i="91" s="1"/>
  <c r="BF388" i="91" s="1"/>
  <c r="BE390" i="91"/>
  <c r="BD390" i="91"/>
  <c r="BD389" i="91" s="1"/>
  <c r="BD388" i="91" s="1"/>
  <c r="BC390" i="91"/>
  <c r="BB390" i="91"/>
  <c r="BA390" i="91"/>
  <c r="AZ390" i="91"/>
  <c r="AZ389" i="91" s="1"/>
  <c r="AZ388" i="91" s="1"/>
  <c r="AX390" i="91"/>
  <c r="AW390" i="91"/>
  <c r="AW389" i="91" s="1"/>
  <c r="AV390" i="91"/>
  <c r="AU390" i="91"/>
  <c r="AU389" i="91" s="1"/>
  <c r="AT390" i="91"/>
  <c r="AR390" i="91"/>
  <c r="AR389" i="91" s="1"/>
  <c r="AQ390" i="91"/>
  <c r="AP390" i="91"/>
  <c r="AP389" i="91" s="1"/>
  <c r="AO390" i="91"/>
  <c r="AN390" i="91"/>
  <c r="AN389" i="91" s="1"/>
  <c r="AM390" i="91"/>
  <c r="AL390" i="91"/>
  <c r="AL389" i="91" s="1"/>
  <c r="AK390" i="91"/>
  <c r="AJ390" i="91"/>
  <c r="AJ389" i="91" s="1"/>
  <c r="AI390" i="91"/>
  <c r="AH390" i="91"/>
  <c r="AH389" i="91" s="1"/>
  <c r="AG390" i="91"/>
  <c r="AF390" i="91"/>
  <c r="AF389" i="91" s="1"/>
  <c r="AC390" i="91"/>
  <c r="AB390" i="91"/>
  <c r="AB389" i="91" s="1"/>
  <c r="AA390" i="91"/>
  <c r="Z390" i="91"/>
  <c r="Z389" i="91" s="1"/>
  <c r="Y390" i="91"/>
  <c r="X390" i="91"/>
  <c r="X389" i="91" s="1"/>
  <c r="W390" i="91"/>
  <c r="V390" i="91"/>
  <c r="V389" i="91" s="1"/>
  <c r="U390" i="91"/>
  <c r="T390" i="91"/>
  <c r="T389" i="91" s="1"/>
  <c r="S390" i="91"/>
  <c r="Q390" i="91"/>
  <c r="Q389" i="91" s="1"/>
  <c r="P390" i="91"/>
  <c r="O390" i="91"/>
  <c r="O389" i="91" s="1"/>
  <c r="N390" i="91"/>
  <c r="M390" i="91"/>
  <c r="M389" i="91" s="1"/>
  <c r="L390" i="91"/>
  <c r="K390" i="91"/>
  <c r="K389" i="91" s="1"/>
  <c r="J390" i="91"/>
  <c r="I390" i="91"/>
  <c r="H390" i="91" s="1"/>
  <c r="E390" i="91"/>
  <c r="E389" i="91" s="1"/>
  <c r="D390" i="91"/>
  <c r="CE389" i="91"/>
  <c r="CE388" i="91" s="1"/>
  <c r="CD389" i="91"/>
  <c r="CD388" i="91" s="1"/>
  <c r="CC389" i="91"/>
  <c r="CB389" i="91"/>
  <c r="CB388" i="91" s="1"/>
  <c r="CA389" i="91"/>
  <c r="CA388" i="91" s="1"/>
  <c r="BZ389" i="91"/>
  <c r="BZ388" i="91" s="1"/>
  <c r="BY389" i="91"/>
  <c r="BX389" i="91"/>
  <c r="BX388" i="91" s="1"/>
  <c r="BW389" i="91"/>
  <c r="BW388" i="91" s="1"/>
  <c r="BV389" i="91"/>
  <c r="BV388" i="91" s="1"/>
  <c r="BS389" i="91"/>
  <c r="BS388" i="91" s="1"/>
  <c r="BM389" i="91"/>
  <c r="BK389" i="91"/>
  <c r="BK388" i="91" s="1"/>
  <c r="BI389" i="91"/>
  <c r="BG389" i="91"/>
  <c r="BG388" i="91" s="1"/>
  <c r="BC389" i="91"/>
  <c r="AX389" i="91"/>
  <c r="AV389" i="91"/>
  <c r="AV388" i="91" s="1"/>
  <c r="AT389" i="91"/>
  <c r="AQ389" i="91"/>
  <c r="AQ388" i="91" s="1"/>
  <c r="AO389" i="91"/>
  <c r="AM389" i="91"/>
  <c r="AM388" i="91" s="1"/>
  <c r="AK389" i="91"/>
  <c r="AI389" i="91"/>
  <c r="AI388" i="91" s="1"/>
  <c r="AG389" i="91"/>
  <c r="AC389" i="91"/>
  <c r="AC388" i="91" s="1"/>
  <c r="AA389" i="91"/>
  <c r="Y389" i="91"/>
  <c r="Y388" i="91" s="1"/>
  <c r="W389" i="91"/>
  <c r="U389" i="91"/>
  <c r="U388" i="91" s="1"/>
  <c r="S389" i="91"/>
  <c r="P389" i="91"/>
  <c r="P388" i="91" s="1"/>
  <c r="N389" i="91"/>
  <c r="L389" i="91"/>
  <c r="L388" i="91" s="1"/>
  <c r="J389" i="91"/>
  <c r="D389" i="91"/>
  <c r="D388" i="91" s="1"/>
  <c r="CC388" i="91"/>
  <c r="BY388" i="91"/>
  <c r="BU388" i="91"/>
  <c r="BR388" i="91"/>
  <c r="BQ388" i="91"/>
  <c r="BM388" i="91"/>
  <c r="BI388" i="91"/>
  <c r="AX388" i="91"/>
  <c r="AT388" i="91"/>
  <c r="AO388" i="91"/>
  <c r="AK388" i="91"/>
  <c r="AG388" i="91"/>
  <c r="AA388" i="91"/>
  <c r="W388" i="91"/>
  <c r="S388" i="91"/>
  <c r="N388" i="91"/>
  <c r="J388" i="91"/>
  <c r="CW387" i="91"/>
  <c r="BO387" i="91"/>
  <c r="AY387" i="91"/>
  <c r="CF387" i="91" s="1"/>
  <c r="AI387" i="91"/>
  <c r="T387" i="91"/>
  <c r="T385" i="91" s="1"/>
  <c r="T384" i="91" s="1"/>
  <c r="T383" i="91" s="1"/>
  <c r="H387" i="91"/>
  <c r="CE386" i="91"/>
  <c r="BN386" i="91"/>
  <c r="AY386" i="91" s="1"/>
  <c r="AI386" i="91"/>
  <c r="AI385" i="91" s="1"/>
  <c r="AI384" i="91" s="1"/>
  <c r="AI383" i="91" s="1"/>
  <c r="T386" i="91"/>
  <c r="H386" i="91"/>
  <c r="CD385" i="91"/>
  <c r="CC385" i="91"/>
  <c r="CB385" i="91"/>
  <c r="CA385" i="91"/>
  <c r="BZ385" i="91"/>
  <c r="BY385" i="91"/>
  <c r="BX385" i="91"/>
  <c r="BW385" i="91"/>
  <c r="BV385" i="91"/>
  <c r="BU385" i="91"/>
  <c r="BT385" i="91"/>
  <c r="BT384" i="91" s="1"/>
  <c r="BT383" i="91" s="1"/>
  <c r="BS385" i="91"/>
  <c r="BR385" i="91"/>
  <c r="BQ385" i="91"/>
  <c r="BP385" i="91"/>
  <c r="BN385" i="91"/>
  <c r="BN384" i="91" s="1"/>
  <c r="BN383" i="91" s="1"/>
  <c r="BM385" i="91"/>
  <c r="BL385" i="91"/>
  <c r="BL384" i="91" s="1"/>
  <c r="BL383" i="91" s="1"/>
  <c r="BK385" i="91"/>
  <c r="BJ385" i="91"/>
  <c r="BJ384" i="91" s="1"/>
  <c r="BJ383" i="91" s="1"/>
  <c r="BI385" i="91"/>
  <c r="BH385" i="91"/>
  <c r="BH384" i="91" s="1"/>
  <c r="BH383" i="91" s="1"/>
  <c r="BG385" i="91"/>
  <c r="BF385" i="91"/>
  <c r="BF384" i="91" s="1"/>
  <c r="BF383" i="91" s="1"/>
  <c r="BE385" i="91"/>
  <c r="BD385" i="91"/>
  <c r="BD384" i="91" s="1"/>
  <c r="BD383" i="91" s="1"/>
  <c r="BC385" i="91"/>
  <c r="BB385" i="91"/>
  <c r="BA385" i="91"/>
  <c r="AZ385" i="91"/>
  <c r="AZ384" i="91" s="1"/>
  <c r="AZ383" i="91" s="1"/>
  <c r="AX385" i="91"/>
  <c r="AW385" i="91"/>
  <c r="AW384" i="91" s="1"/>
  <c r="AW383" i="91" s="1"/>
  <c r="AV385" i="91"/>
  <c r="AU385" i="91"/>
  <c r="AU384" i="91" s="1"/>
  <c r="AU383" i="91" s="1"/>
  <c r="AT385" i="91"/>
  <c r="AR385" i="91"/>
  <c r="AR384" i="91" s="1"/>
  <c r="AR383" i="91" s="1"/>
  <c r="AQ385" i="91"/>
  <c r="AP385" i="91"/>
  <c r="AP384" i="91" s="1"/>
  <c r="AP383" i="91" s="1"/>
  <c r="AO385" i="91"/>
  <c r="AN385" i="91"/>
  <c r="AN384" i="91" s="1"/>
  <c r="AN383" i="91" s="1"/>
  <c r="AM385" i="91"/>
  <c r="AL385" i="91"/>
  <c r="AL384" i="91" s="1"/>
  <c r="AL383" i="91" s="1"/>
  <c r="AK385" i="91"/>
  <c r="AJ385" i="91"/>
  <c r="AJ384" i="91" s="1"/>
  <c r="AJ383" i="91" s="1"/>
  <c r="AH385" i="91"/>
  <c r="AH384" i="91" s="1"/>
  <c r="AH383" i="91" s="1"/>
  <c r="AG385" i="91"/>
  <c r="AF385" i="91"/>
  <c r="AF384" i="91" s="1"/>
  <c r="AF383" i="91" s="1"/>
  <c r="AC385" i="91"/>
  <c r="AB385" i="91"/>
  <c r="AB384" i="91" s="1"/>
  <c r="AB383" i="91" s="1"/>
  <c r="AA385" i="91"/>
  <c r="Z385" i="91"/>
  <c r="Z384" i="91" s="1"/>
  <c r="Z383" i="91" s="1"/>
  <c r="Y385" i="91"/>
  <c r="X385" i="91"/>
  <c r="X384" i="91" s="1"/>
  <c r="X383" i="91" s="1"/>
  <c r="W385" i="91"/>
  <c r="V385" i="91"/>
  <c r="V384" i="91" s="1"/>
  <c r="V383" i="91" s="1"/>
  <c r="U385" i="91"/>
  <c r="S385" i="91"/>
  <c r="S384" i="91" s="1"/>
  <c r="S383" i="91" s="1"/>
  <c r="Q385" i="91"/>
  <c r="P385" i="91"/>
  <c r="P384" i="91" s="1"/>
  <c r="P383" i="91" s="1"/>
  <c r="O385" i="91"/>
  <c r="N385" i="91"/>
  <c r="N384" i="91" s="1"/>
  <c r="N383" i="91" s="1"/>
  <c r="M385" i="91"/>
  <c r="L385" i="91"/>
  <c r="L384" i="91" s="1"/>
  <c r="L383" i="91" s="1"/>
  <c r="K385" i="91"/>
  <c r="J385" i="91"/>
  <c r="J384" i="91" s="1"/>
  <c r="J383" i="91" s="1"/>
  <c r="I385" i="91"/>
  <c r="H385" i="91"/>
  <c r="E385" i="91"/>
  <c r="D385" i="91"/>
  <c r="D384" i="91" s="1"/>
  <c r="D383" i="91" s="1"/>
  <c r="CD384" i="91"/>
  <c r="CC384" i="91"/>
  <c r="CC383" i="91" s="1"/>
  <c r="CB384" i="91"/>
  <c r="CA384" i="91"/>
  <c r="CA383" i="91" s="1"/>
  <c r="BZ384" i="91"/>
  <c r="BY384" i="91"/>
  <c r="BY383" i="91" s="1"/>
  <c r="BX384" i="91"/>
  <c r="BW384" i="91"/>
  <c r="BW383" i="91" s="1"/>
  <c r="BV384" i="91"/>
  <c r="BS384" i="91"/>
  <c r="BS383" i="91" s="1"/>
  <c r="BM384" i="91"/>
  <c r="BM383" i="91" s="1"/>
  <c r="BK384" i="91"/>
  <c r="BK383" i="91" s="1"/>
  <c r="BI384" i="91"/>
  <c r="BI383" i="91" s="1"/>
  <c r="BG384" i="91"/>
  <c r="BG383" i="91" s="1"/>
  <c r="BC384" i="91"/>
  <c r="AX384" i="91"/>
  <c r="AX383" i="91" s="1"/>
  <c r="AV384" i="91"/>
  <c r="AV383" i="91" s="1"/>
  <c r="AT384" i="91"/>
  <c r="AT383" i="91" s="1"/>
  <c r="AQ384" i="91"/>
  <c r="AQ383" i="91" s="1"/>
  <c r="AO384" i="91"/>
  <c r="AO383" i="91" s="1"/>
  <c r="AM384" i="91"/>
  <c r="AM383" i="91" s="1"/>
  <c r="AK384" i="91"/>
  <c r="AK383" i="91" s="1"/>
  <c r="AG384" i="91"/>
  <c r="AG383" i="91" s="1"/>
  <c r="AC384" i="91"/>
  <c r="AC383" i="91" s="1"/>
  <c r="AA384" i="91"/>
  <c r="AA383" i="91" s="1"/>
  <c r="Y384" i="91"/>
  <c r="Y383" i="91" s="1"/>
  <c r="W384" i="91"/>
  <c r="W383" i="91" s="1"/>
  <c r="U384" i="91"/>
  <c r="U383" i="91" s="1"/>
  <c r="Q384" i="91"/>
  <c r="O384" i="91"/>
  <c r="O383" i="91" s="1"/>
  <c r="M384" i="91"/>
  <c r="K384" i="91"/>
  <c r="K383" i="91" s="1"/>
  <c r="I384" i="91"/>
  <c r="H384" i="91" s="1"/>
  <c r="E384" i="91"/>
  <c r="E383" i="91" s="1"/>
  <c r="CD383" i="91"/>
  <c r="CB383" i="91"/>
  <c r="BZ383" i="91"/>
  <c r="BX383" i="91"/>
  <c r="BV383" i="91"/>
  <c r="BU383" i="91"/>
  <c r="BR383" i="91"/>
  <c r="BQ383" i="91"/>
  <c r="BC383" i="91"/>
  <c r="Q383" i="91"/>
  <c r="M383" i="91"/>
  <c r="I383" i="91"/>
  <c r="CE382" i="91"/>
  <c r="CW382" i="91" s="1"/>
  <c r="BN382" i="91"/>
  <c r="AY382" i="91" s="1"/>
  <c r="AY381" i="91" s="1"/>
  <c r="AY380" i="91" s="1"/>
  <c r="AY379" i="91" s="1"/>
  <c r="AI382" i="91"/>
  <c r="T382" i="91"/>
  <c r="H382" i="91"/>
  <c r="CD381" i="91"/>
  <c r="CC381" i="91"/>
  <c r="CB381" i="91"/>
  <c r="CA381" i="91"/>
  <c r="BZ381" i="91"/>
  <c r="BY381" i="91"/>
  <c r="BX381" i="91"/>
  <c r="BW381" i="91"/>
  <c r="BV381" i="91"/>
  <c r="BT381" i="91"/>
  <c r="BT380" i="91" s="1"/>
  <c r="BT379" i="91" s="1"/>
  <c r="BS381" i="91"/>
  <c r="BS380" i="91" s="1"/>
  <c r="BS379" i="91" s="1"/>
  <c r="BP381" i="91"/>
  <c r="BM381" i="91"/>
  <c r="BM380" i="91" s="1"/>
  <c r="BM379" i="91" s="1"/>
  <c r="BL381" i="91"/>
  <c r="BL380" i="91" s="1"/>
  <c r="BL379" i="91" s="1"/>
  <c r="BK381" i="91"/>
  <c r="BK380" i="91" s="1"/>
  <c r="BK379" i="91" s="1"/>
  <c r="BJ381" i="91"/>
  <c r="BI381" i="91"/>
  <c r="BI380" i="91" s="1"/>
  <c r="BI379" i="91" s="1"/>
  <c r="BH381" i="91"/>
  <c r="BH380" i="91" s="1"/>
  <c r="BH379" i="91" s="1"/>
  <c r="BG381" i="91"/>
  <c r="BG380" i="91" s="1"/>
  <c r="BG379" i="91" s="1"/>
  <c r="BF381" i="91"/>
  <c r="BD381" i="91"/>
  <c r="BD380" i="91" s="1"/>
  <c r="BD379" i="91" s="1"/>
  <c r="BC381" i="91"/>
  <c r="BC380" i="91" s="1"/>
  <c r="BC379" i="91" s="1"/>
  <c r="AZ381" i="91"/>
  <c r="AZ380" i="91" s="1"/>
  <c r="AZ379" i="91" s="1"/>
  <c r="AX381" i="91"/>
  <c r="AX380" i="91" s="1"/>
  <c r="AX379" i="91" s="1"/>
  <c r="AW381" i="91"/>
  <c r="AV381" i="91"/>
  <c r="AV380" i="91" s="1"/>
  <c r="AV379" i="91" s="1"/>
  <c r="AU381" i="91"/>
  <c r="AT381" i="91"/>
  <c r="AT380" i="91" s="1"/>
  <c r="AT379" i="91" s="1"/>
  <c r="AR381" i="91"/>
  <c r="AQ381" i="91"/>
  <c r="AQ380" i="91" s="1"/>
  <c r="AQ379" i="91" s="1"/>
  <c r="AP381" i="91"/>
  <c r="AO381" i="91"/>
  <c r="AO380" i="91" s="1"/>
  <c r="AO379" i="91" s="1"/>
  <c r="AN381" i="91"/>
  <c r="AM381" i="91"/>
  <c r="AM380" i="91" s="1"/>
  <c r="AM379" i="91" s="1"/>
  <c r="AL381" i="91"/>
  <c r="AK381" i="91"/>
  <c r="AK380" i="91" s="1"/>
  <c r="AK379" i="91" s="1"/>
  <c r="AJ381" i="91"/>
  <c r="AI381" i="91"/>
  <c r="AI380" i="91" s="1"/>
  <c r="AI379" i="91" s="1"/>
  <c r="AH381" i="91"/>
  <c r="AG381" i="91"/>
  <c r="AG380" i="91" s="1"/>
  <c r="AG379" i="91" s="1"/>
  <c r="AF381" i="91"/>
  <c r="AC381" i="91"/>
  <c r="AC380" i="91" s="1"/>
  <c r="AC379" i="91" s="1"/>
  <c r="AB381" i="91"/>
  <c r="AA381" i="91"/>
  <c r="AA380" i="91" s="1"/>
  <c r="AA379" i="91" s="1"/>
  <c r="Z381" i="91"/>
  <c r="Y381" i="91"/>
  <c r="Y380" i="91" s="1"/>
  <c r="Y379" i="91" s="1"/>
  <c r="X381" i="91"/>
  <c r="W381" i="91"/>
  <c r="W380" i="91" s="1"/>
  <c r="W379" i="91" s="1"/>
  <c r="V381" i="91"/>
  <c r="U381" i="91"/>
  <c r="U380" i="91" s="1"/>
  <c r="U379" i="91" s="1"/>
  <c r="T381" i="91"/>
  <c r="S381" i="91"/>
  <c r="S380" i="91" s="1"/>
  <c r="S379" i="91" s="1"/>
  <c r="Q381" i="91"/>
  <c r="P381" i="91"/>
  <c r="P380" i="91" s="1"/>
  <c r="P379" i="91" s="1"/>
  <c r="O381" i="91"/>
  <c r="N381" i="91"/>
  <c r="N380" i="91" s="1"/>
  <c r="N379" i="91" s="1"/>
  <c r="M381" i="91"/>
  <c r="L381" i="91"/>
  <c r="L380" i="91" s="1"/>
  <c r="L379" i="91" s="1"/>
  <c r="K381" i="91"/>
  <c r="J381" i="91"/>
  <c r="J380" i="91" s="1"/>
  <c r="J379" i="91" s="1"/>
  <c r="I381" i="91"/>
  <c r="H381" i="91"/>
  <c r="E381" i="91"/>
  <c r="D381" i="91"/>
  <c r="D380" i="91" s="1"/>
  <c r="D379" i="91" s="1"/>
  <c r="CD380" i="91"/>
  <c r="CD379" i="91" s="1"/>
  <c r="CC380" i="91"/>
  <c r="CB380" i="91"/>
  <c r="CB379" i="91" s="1"/>
  <c r="CA380" i="91"/>
  <c r="CA379" i="91" s="1"/>
  <c r="BZ380" i="91"/>
  <c r="BZ379" i="91" s="1"/>
  <c r="BY380" i="91"/>
  <c r="BX380" i="91"/>
  <c r="BX379" i="91" s="1"/>
  <c r="BW380" i="91"/>
  <c r="BW379" i="91" s="1"/>
  <c r="BV380" i="91"/>
  <c r="BV379" i="91" s="1"/>
  <c r="BU380" i="91"/>
  <c r="BR380" i="91"/>
  <c r="BR379" i="91" s="1"/>
  <c r="BQ380" i="91"/>
  <c r="BP380" i="91"/>
  <c r="BJ380" i="91"/>
  <c r="BJ379" i="91" s="1"/>
  <c r="BF380" i="91"/>
  <c r="BF379" i="91" s="1"/>
  <c r="AW380" i="91"/>
  <c r="AU380" i="91"/>
  <c r="AR380" i="91"/>
  <c r="AP380" i="91"/>
  <c r="AN380" i="91"/>
  <c r="AL380" i="91"/>
  <c r="AJ380" i="91"/>
  <c r="AH380" i="91"/>
  <c r="AF380" i="91"/>
  <c r="AB380" i="91"/>
  <c r="Z380" i="91"/>
  <c r="X380" i="91"/>
  <c r="V380" i="91"/>
  <c r="T380" i="91"/>
  <c r="Q380" i="91"/>
  <c r="O380" i="91"/>
  <c r="M380" i="91"/>
  <c r="K380" i="91"/>
  <c r="I380" i="91"/>
  <c r="H380" i="91" s="1"/>
  <c r="E380" i="91"/>
  <c r="CC379" i="91"/>
  <c r="BY379" i="91"/>
  <c r="BU379" i="91"/>
  <c r="BQ379" i="91"/>
  <c r="BE379" i="91"/>
  <c r="BB379" i="91"/>
  <c r="BA379" i="91"/>
  <c r="AW379" i="91"/>
  <c r="AU379" i="91"/>
  <c r="AR379" i="91"/>
  <c r="AP379" i="91"/>
  <c r="AN379" i="91"/>
  <c r="AL379" i="91"/>
  <c r="AJ379" i="91"/>
  <c r="AH379" i="91"/>
  <c r="AF379" i="91"/>
  <c r="AB379" i="91"/>
  <c r="Z379" i="91"/>
  <c r="X379" i="91"/>
  <c r="V379" i="91"/>
  <c r="T379" i="91"/>
  <c r="Q379" i="91"/>
  <c r="O379" i="91"/>
  <c r="M379" i="91"/>
  <c r="K379" i="91"/>
  <c r="I379" i="91"/>
  <c r="H379" i="91" s="1"/>
  <c r="E379" i="91"/>
  <c r="CJ378" i="91"/>
  <c r="BO378" i="91"/>
  <c r="AY378" i="91"/>
  <c r="AI378" i="91"/>
  <c r="T378" i="91"/>
  <c r="H378" i="91"/>
  <c r="CJ377" i="91"/>
  <c r="BO377" i="91"/>
  <c r="AY377" i="91"/>
  <c r="CF377" i="91" s="1"/>
  <c r="AI377" i="91"/>
  <c r="T377" i="91"/>
  <c r="T376" i="91" s="1"/>
  <c r="T375" i="91" s="1"/>
  <c r="H377" i="91"/>
  <c r="CE376" i="91"/>
  <c r="CD376" i="91"/>
  <c r="CC376" i="91"/>
  <c r="CB376" i="91"/>
  <c r="CA376" i="91"/>
  <c r="BZ376" i="91"/>
  <c r="BY376" i="91"/>
  <c r="BX376" i="91"/>
  <c r="BW376" i="91"/>
  <c r="BV376" i="91"/>
  <c r="BU376" i="91"/>
  <c r="BT376" i="91"/>
  <c r="BS376" i="91"/>
  <c r="BR376" i="91"/>
  <c r="BQ376" i="91"/>
  <c r="BP376" i="91"/>
  <c r="BO376" i="91"/>
  <c r="BN376" i="91"/>
  <c r="BM376" i="91"/>
  <c r="BM375" i="91" s="1"/>
  <c r="BL376" i="91"/>
  <c r="BK376" i="91"/>
  <c r="BK375" i="91" s="1"/>
  <c r="BJ376" i="91"/>
  <c r="BI376" i="91"/>
  <c r="BI375" i="91" s="1"/>
  <c r="BH376" i="91"/>
  <c r="BG376" i="91"/>
  <c r="BG375" i="91" s="1"/>
  <c r="BF376" i="91"/>
  <c r="BE376" i="91"/>
  <c r="BD376" i="91"/>
  <c r="BC376" i="91"/>
  <c r="BB376" i="91"/>
  <c r="BA376" i="91"/>
  <c r="AZ376" i="91"/>
  <c r="AY376" i="91"/>
  <c r="AX376" i="91"/>
  <c r="AW376" i="91"/>
  <c r="AV376" i="91"/>
  <c r="AU376" i="91"/>
  <c r="AT376" i="91"/>
  <c r="AR376" i="91"/>
  <c r="AQ376" i="91"/>
  <c r="AP376" i="91"/>
  <c r="AO376" i="91"/>
  <c r="AN376" i="91"/>
  <c r="AM376" i="91"/>
  <c r="AL376" i="91"/>
  <c r="AK376" i="91"/>
  <c r="AJ376" i="91"/>
  <c r="AH376" i="91"/>
  <c r="AG376" i="91"/>
  <c r="AF376" i="91"/>
  <c r="AC376" i="91"/>
  <c r="AB376" i="91"/>
  <c r="AA376" i="91"/>
  <c r="Z376" i="91"/>
  <c r="Y376" i="91"/>
  <c r="X376" i="91"/>
  <c r="W376" i="91"/>
  <c r="V376" i="91"/>
  <c r="U376" i="91"/>
  <c r="S376" i="91"/>
  <c r="Q376" i="91"/>
  <c r="P376" i="91"/>
  <c r="O376" i="91"/>
  <c r="N376" i="91"/>
  <c r="M376" i="91"/>
  <c r="L376" i="91"/>
  <c r="K376" i="91"/>
  <c r="J376" i="91"/>
  <c r="I376" i="91"/>
  <c r="E376" i="91"/>
  <c r="D376" i="91"/>
  <c r="CE375" i="91"/>
  <c r="CD375" i="91"/>
  <c r="CC375" i="91"/>
  <c r="CB375" i="91"/>
  <c r="CA375" i="91"/>
  <c r="BZ375" i="91"/>
  <c r="BY375" i="91"/>
  <c r="BX375" i="91"/>
  <c r="BW375" i="91"/>
  <c r="BV375" i="91"/>
  <c r="BT375" i="91"/>
  <c r="BP375" i="91"/>
  <c r="BN375" i="91"/>
  <c r="BL375" i="91"/>
  <c r="BJ375" i="91"/>
  <c r="BH375" i="91"/>
  <c r="BF375" i="91"/>
  <c r="BD375" i="91"/>
  <c r="BC375" i="91"/>
  <c r="AZ375" i="91"/>
  <c r="AY375" i="91"/>
  <c r="AX375" i="91"/>
  <c r="AW375" i="91"/>
  <c r="AV375" i="91"/>
  <c r="AU375" i="91"/>
  <c r="AT375" i="91"/>
  <c r="AR375" i="91"/>
  <c r="AQ375" i="91"/>
  <c r="AP375" i="91"/>
  <c r="AO375" i="91"/>
  <c r="AN375" i="91"/>
  <c r="AM375" i="91"/>
  <c r="AL375" i="91"/>
  <c r="AK375" i="91"/>
  <c r="AJ375" i="91"/>
  <c r="AH375" i="91"/>
  <c r="AG375" i="91"/>
  <c r="AF375" i="91"/>
  <c r="AC375" i="91"/>
  <c r="AB375" i="91"/>
  <c r="AA375" i="91"/>
  <c r="Z375" i="91"/>
  <c r="Y375" i="91"/>
  <c r="X375" i="91"/>
  <c r="W375" i="91"/>
  <c r="V375" i="91"/>
  <c r="U375" i="91"/>
  <c r="S375" i="91"/>
  <c r="Q375" i="91"/>
  <c r="P375" i="91"/>
  <c r="O375" i="91"/>
  <c r="N375" i="91"/>
  <c r="M375" i="91"/>
  <c r="L375" i="91"/>
  <c r="K375" i="91"/>
  <c r="J375" i="91"/>
  <c r="I375" i="91"/>
  <c r="E375" i="91"/>
  <c r="D375" i="91"/>
  <c r="CJ374" i="91"/>
  <c r="BO374" i="91"/>
  <c r="AY374" i="91"/>
  <c r="AI374" i="91"/>
  <c r="T374" i="91"/>
  <c r="H374" i="91"/>
  <c r="CE373" i="91"/>
  <c r="BO373" i="91" s="1"/>
  <c r="BN373" i="91"/>
  <c r="AY373" i="91" s="1"/>
  <c r="AI373" i="91"/>
  <c r="T373" i="91"/>
  <c r="H373" i="91"/>
  <c r="CE372" i="91"/>
  <c r="BN372" i="91"/>
  <c r="AY372" i="91" s="1"/>
  <c r="AI372" i="91"/>
  <c r="T372" i="91"/>
  <c r="H372" i="91"/>
  <c r="CD371" i="91"/>
  <c r="CC371" i="91"/>
  <c r="CB371" i="91"/>
  <c r="CA371" i="91"/>
  <c r="BZ371" i="91"/>
  <c r="BY371" i="91"/>
  <c r="BX371" i="91"/>
  <c r="BW371" i="91"/>
  <c r="BV371" i="91"/>
  <c r="BU371" i="91"/>
  <c r="BT371" i="91"/>
  <c r="BS371" i="91"/>
  <c r="BR371" i="91"/>
  <c r="BQ371" i="91"/>
  <c r="BP371" i="91"/>
  <c r="BM371" i="91"/>
  <c r="BL371" i="91"/>
  <c r="BK371" i="91"/>
  <c r="BJ371" i="91"/>
  <c r="BI371" i="91"/>
  <c r="BH371" i="91"/>
  <c r="BG371" i="91"/>
  <c r="BF371" i="91"/>
  <c r="BE371" i="91"/>
  <c r="BD371" i="91"/>
  <c r="BC371" i="91"/>
  <c r="BB371" i="91"/>
  <c r="BA371" i="91"/>
  <c r="AZ371" i="91"/>
  <c r="AX371" i="91"/>
  <c r="AW371" i="91"/>
  <c r="AV371" i="91"/>
  <c r="AU371" i="91"/>
  <c r="AT371" i="91"/>
  <c r="AR371" i="91"/>
  <c r="AQ371" i="91"/>
  <c r="AP371" i="91"/>
  <c r="AO371" i="91"/>
  <c r="AN371" i="91"/>
  <c r="AM371" i="91"/>
  <c r="AL371" i="91"/>
  <c r="AK371" i="91"/>
  <c r="AJ371" i="91"/>
  <c r="AI371" i="91"/>
  <c r="AH371" i="91"/>
  <c r="AG371" i="91"/>
  <c r="AF371" i="91"/>
  <c r="AC371" i="91"/>
  <c r="AB371" i="91"/>
  <c r="AA371" i="91"/>
  <c r="Z371" i="91"/>
  <c r="Y371" i="91"/>
  <c r="X371" i="91"/>
  <c r="W371" i="91"/>
  <c r="V371" i="91"/>
  <c r="U371" i="91"/>
  <c r="S371" i="91"/>
  <c r="Q371" i="91"/>
  <c r="P371" i="91"/>
  <c r="O371" i="91"/>
  <c r="N371" i="91"/>
  <c r="M371" i="91"/>
  <c r="L371" i="91"/>
  <c r="K371" i="91"/>
  <c r="J371" i="91"/>
  <c r="I371" i="91"/>
  <c r="H371" i="91" s="1"/>
  <c r="E371" i="91"/>
  <c r="D371" i="91"/>
  <c r="BO370" i="91"/>
  <c r="AY370" i="91"/>
  <c r="AI370" i="91"/>
  <c r="T370" i="91"/>
  <c r="H370" i="91"/>
  <c r="BO369" i="91"/>
  <c r="BN369" i="91"/>
  <c r="CW369" i="91" s="1"/>
  <c r="AI369" i="91"/>
  <c r="T369" i="91"/>
  <c r="T367" i="91" s="1"/>
  <c r="H369" i="91"/>
  <c r="CE368" i="91"/>
  <c r="BN368" i="91"/>
  <c r="AY368" i="91" s="1"/>
  <c r="AI368" i="91"/>
  <c r="AI367" i="91" s="1"/>
  <c r="AI366" i="91" s="1"/>
  <c r="T368" i="91"/>
  <c r="H368" i="91"/>
  <c r="CD367" i="91"/>
  <c r="CC367" i="91"/>
  <c r="CB367" i="91"/>
  <c r="CA367" i="91"/>
  <c r="BZ367" i="91"/>
  <c r="BY367" i="91"/>
  <c r="BX367" i="91"/>
  <c r="BW367" i="91"/>
  <c r="BV367" i="91"/>
  <c r="BU367" i="91"/>
  <c r="BT367" i="91"/>
  <c r="BS367" i="91"/>
  <c r="BR367" i="91"/>
  <c r="BQ367" i="91"/>
  <c r="BP367" i="91"/>
  <c r="BM367" i="91"/>
  <c r="BL367" i="91"/>
  <c r="BK367" i="91"/>
  <c r="BJ367" i="91"/>
  <c r="BI367" i="91"/>
  <c r="BH367" i="91"/>
  <c r="BG367" i="91"/>
  <c r="BF367" i="91"/>
  <c r="BE367" i="91"/>
  <c r="BD367" i="91"/>
  <c r="BC367" i="91"/>
  <c r="BB367" i="91"/>
  <c r="BA367" i="91"/>
  <c r="AZ367" i="91"/>
  <c r="AX367" i="91"/>
  <c r="AW367" i="91"/>
  <c r="AV367" i="91"/>
  <c r="AU367" i="91"/>
  <c r="AT367" i="91"/>
  <c r="AR367" i="91"/>
  <c r="AQ367" i="91"/>
  <c r="AP367" i="91"/>
  <c r="AO367" i="91"/>
  <c r="AN367" i="91"/>
  <c r="AM367" i="91"/>
  <c r="AL367" i="91"/>
  <c r="AK367" i="91"/>
  <c r="AJ367" i="91"/>
  <c r="AH367" i="91"/>
  <c r="AG367" i="91"/>
  <c r="AF367" i="91"/>
  <c r="AC367" i="91"/>
  <c r="AB367" i="91"/>
  <c r="AA367" i="91"/>
  <c r="Z367" i="91"/>
  <c r="Y367" i="91"/>
  <c r="X367" i="91"/>
  <c r="W367" i="91"/>
  <c r="V367" i="91"/>
  <c r="U367" i="91"/>
  <c r="S367" i="91"/>
  <c r="Q367" i="91"/>
  <c r="P367" i="91"/>
  <c r="O367" i="91"/>
  <c r="N367" i="91"/>
  <c r="M367" i="91"/>
  <c r="L367" i="91"/>
  <c r="K367" i="91"/>
  <c r="J367" i="91"/>
  <c r="I367" i="91"/>
  <c r="H367" i="91"/>
  <c r="E367" i="91"/>
  <c r="D367" i="91"/>
  <c r="CD366" i="91"/>
  <c r="CC366" i="91"/>
  <c r="CB366" i="91"/>
  <c r="CA366" i="91"/>
  <c r="BZ366" i="91"/>
  <c r="BY366" i="91"/>
  <c r="BX366" i="91"/>
  <c r="BW366" i="91"/>
  <c r="BV366" i="91"/>
  <c r="BU366" i="91"/>
  <c r="BT366" i="91"/>
  <c r="BS366" i="91"/>
  <c r="BR366" i="91"/>
  <c r="BQ366" i="91"/>
  <c r="BQ365" i="91" s="1"/>
  <c r="BP366" i="91"/>
  <c r="BM366" i="91"/>
  <c r="BL366" i="91"/>
  <c r="BL365" i="91" s="1"/>
  <c r="BK366" i="91"/>
  <c r="BJ366" i="91"/>
  <c r="BI366" i="91"/>
  <c r="BH366" i="91"/>
  <c r="BH365" i="91" s="1"/>
  <c r="BG366" i="91"/>
  <c r="BF366" i="91"/>
  <c r="BE366" i="91"/>
  <c r="BD366" i="91"/>
  <c r="BC366" i="91"/>
  <c r="BB366" i="91"/>
  <c r="BB365" i="91" s="1"/>
  <c r="BA366" i="91"/>
  <c r="AZ366" i="91"/>
  <c r="AZ365" i="91" s="1"/>
  <c r="AX366" i="91"/>
  <c r="AW366" i="91"/>
  <c r="AW365" i="91" s="1"/>
  <c r="AV366" i="91"/>
  <c r="AU366" i="91"/>
  <c r="AU365" i="91" s="1"/>
  <c r="AT366" i="91"/>
  <c r="AR366" i="91"/>
  <c r="AR365" i="91" s="1"/>
  <c r="AQ366" i="91"/>
  <c r="AP366" i="91"/>
  <c r="AP365" i="91" s="1"/>
  <c r="AO366" i="91"/>
  <c r="AN366" i="91"/>
  <c r="AN365" i="91" s="1"/>
  <c r="AM366" i="91"/>
  <c r="AL366" i="91"/>
  <c r="AL365" i="91" s="1"/>
  <c r="AK366" i="91"/>
  <c r="AJ366" i="91"/>
  <c r="AJ365" i="91" s="1"/>
  <c r="AH366" i="91"/>
  <c r="AG366" i="91"/>
  <c r="AF366" i="91"/>
  <c r="AE366" i="91"/>
  <c r="AD366" i="91"/>
  <c r="AD365" i="91" s="1"/>
  <c r="AC366" i="91"/>
  <c r="AC365" i="91" s="1"/>
  <c r="AB366" i="91"/>
  <c r="AA366" i="91"/>
  <c r="AA365" i="91" s="1"/>
  <c r="Z366" i="91"/>
  <c r="Z365" i="91" s="1"/>
  <c r="Y366" i="91"/>
  <c r="Y365" i="91" s="1"/>
  <c r="X366" i="91"/>
  <c r="W366" i="91"/>
  <c r="W365" i="91" s="1"/>
  <c r="V366" i="91"/>
  <c r="V365" i="91" s="1"/>
  <c r="U366" i="91"/>
  <c r="U365" i="91" s="1"/>
  <c r="S366" i="91"/>
  <c r="S365" i="91" s="1"/>
  <c r="Q366" i="91"/>
  <c r="P366" i="91"/>
  <c r="P365" i="91" s="1"/>
  <c r="O366" i="91"/>
  <c r="N366" i="91"/>
  <c r="N365" i="91" s="1"/>
  <c r="M366" i="91"/>
  <c r="L366" i="91"/>
  <c r="L365" i="91" s="1"/>
  <c r="K366" i="91"/>
  <c r="J366" i="91"/>
  <c r="J365" i="91" s="1"/>
  <c r="I366" i="91"/>
  <c r="H366" i="91"/>
  <c r="E366" i="91"/>
  <c r="D366" i="91"/>
  <c r="D365" i="91" s="1"/>
  <c r="CD365" i="91"/>
  <c r="CB365" i="91"/>
  <c r="BZ365" i="91"/>
  <c r="BX365" i="91"/>
  <c r="BV365" i="91"/>
  <c r="BU365" i="91"/>
  <c r="BT365" i="91"/>
  <c r="BR365" i="91"/>
  <c r="BP365" i="91"/>
  <c r="BJ365" i="91"/>
  <c r="BF365" i="91"/>
  <c r="BE365" i="91"/>
  <c r="BD365" i="91"/>
  <c r="BA365" i="91"/>
  <c r="AX365" i="91"/>
  <c r="AV365" i="91"/>
  <c r="AT365" i="91"/>
  <c r="AQ365" i="91"/>
  <c r="AO365" i="91"/>
  <c r="AM365" i="91"/>
  <c r="AK365" i="91"/>
  <c r="AH365" i="91"/>
  <c r="AG365" i="91"/>
  <c r="AF365" i="91"/>
  <c r="AB365" i="91"/>
  <c r="X365" i="91"/>
  <c r="Q365" i="91"/>
  <c r="O365" i="91"/>
  <c r="M365" i="91"/>
  <c r="K365" i="91"/>
  <c r="I365" i="91"/>
  <c r="H365" i="91" s="1"/>
  <c r="E365" i="91"/>
  <c r="BO364" i="91"/>
  <c r="AY364" i="91"/>
  <c r="T364" i="91"/>
  <c r="H364" i="91"/>
  <c r="BO363" i="91"/>
  <c r="CF363" i="91" s="1"/>
  <c r="AY363" i="91"/>
  <c r="AX363" i="91"/>
  <c r="AW363" i="91"/>
  <c r="AV363" i="91"/>
  <c r="AU363" i="91"/>
  <c r="AT363" i="91"/>
  <c r="AS363" i="91"/>
  <c r="AR363" i="91"/>
  <c r="AQ363" i="91"/>
  <c r="AP363" i="91"/>
  <c r="AO363" i="91"/>
  <c r="AN363" i="91"/>
  <c r="AM363" i="91"/>
  <c r="AL363" i="91"/>
  <c r="AK363" i="91"/>
  <c r="AJ363" i="91"/>
  <c r="AI363" i="91"/>
  <c r="AH363" i="91"/>
  <c r="AG363" i="91"/>
  <c r="AF363" i="91"/>
  <c r="AE363" i="91"/>
  <c r="AD363" i="91"/>
  <c r="AC363" i="91"/>
  <c r="AB363" i="91"/>
  <c r="AA363" i="91"/>
  <c r="Z363" i="91"/>
  <c r="Y363" i="91"/>
  <c r="X363" i="91"/>
  <c r="W363" i="91"/>
  <c r="V363" i="91"/>
  <c r="U363" i="91"/>
  <c r="T363" i="91"/>
  <c r="S363" i="91"/>
  <c r="Q363" i="91"/>
  <c r="P363" i="91"/>
  <c r="O363" i="91"/>
  <c r="N363" i="91"/>
  <c r="M363" i="91"/>
  <c r="L363" i="91"/>
  <c r="K363" i="91"/>
  <c r="J363" i="91"/>
  <c r="I363" i="91"/>
  <c r="H363" i="91" s="1"/>
  <c r="BO362" i="91"/>
  <c r="AY362" i="91"/>
  <c r="AI362" i="91"/>
  <c r="T362" i="91"/>
  <c r="H362" i="91"/>
  <c r="BO361" i="91"/>
  <c r="AY361" i="91"/>
  <c r="AI361" i="91"/>
  <c r="T361" i="91"/>
  <c r="H361" i="91"/>
  <c r="BO360" i="91"/>
  <c r="AY360" i="91"/>
  <c r="AI360" i="91"/>
  <c r="T360" i="91"/>
  <c r="H360" i="91"/>
  <c r="BO359" i="91"/>
  <c r="AY359" i="91"/>
  <c r="AI359" i="91"/>
  <c r="T359" i="91"/>
  <c r="H359" i="91"/>
  <c r="BO358" i="91"/>
  <c r="AY358" i="91"/>
  <c r="AI358" i="91"/>
  <c r="T358" i="91"/>
  <c r="H358" i="91"/>
  <c r="BO357" i="91"/>
  <c r="AY357" i="91"/>
  <c r="AI357" i="91"/>
  <c r="T357" i="91"/>
  <c r="H357" i="91"/>
  <c r="BO356" i="91"/>
  <c r="AY356" i="91"/>
  <c r="AI356" i="91"/>
  <c r="T356" i="91"/>
  <c r="H356" i="91"/>
  <c r="BO355" i="91"/>
  <c r="AY355" i="91"/>
  <c r="AI355" i="91"/>
  <c r="T355" i="91"/>
  <c r="H355" i="91"/>
  <c r="BO354" i="91"/>
  <c r="AY354" i="91"/>
  <c r="AI354" i="91"/>
  <c r="T354" i="91"/>
  <c r="H354" i="91"/>
  <c r="BO353" i="91"/>
  <c r="AY353" i="91"/>
  <c r="AI353" i="91"/>
  <c r="T353" i="91"/>
  <c r="H353" i="91"/>
  <c r="BO352" i="91"/>
  <c r="AY352" i="91"/>
  <c r="AI352" i="91"/>
  <c r="T352" i="91"/>
  <c r="H352" i="91"/>
  <c r="BO351" i="91"/>
  <c r="AY351" i="91"/>
  <c r="AI351" i="91"/>
  <c r="T351" i="91"/>
  <c r="H351" i="91"/>
  <c r="BO350" i="91"/>
  <c r="AY350" i="91"/>
  <c r="AY348" i="91" s="1"/>
  <c r="AI350" i="91"/>
  <c r="T350" i="91"/>
  <c r="H350" i="91"/>
  <c r="BO349" i="91"/>
  <c r="AY349" i="91"/>
  <c r="AI349" i="91"/>
  <c r="AI348" i="91" s="1"/>
  <c r="T349" i="91"/>
  <c r="H349" i="91"/>
  <c r="CE348" i="91"/>
  <c r="CD348" i="91"/>
  <c r="CV348" i="91" s="1"/>
  <c r="CC348" i="91"/>
  <c r="CB348" i="91"/>
  <c r="CT348" i="91" s="1"/>
  <c r="CA348" i="91"/>
  <c r="BZ348" i="91"/>
  <c r="BY348" i="91"/>
  <c r="BX348" i="91"/>
  <c r="BW348" i="91"/>
  <c r="BV348" i="91"/>
  <c r="BU348" i="91"/>
  <c r="BT348" i="91"/>
  <c r="BS348" i="91"/>
  <c r="BR348" i="91"/>
  <c r="BQ348" i="91"/>
  <c r="BP348" i="91"/>
  <c r="BN348" i="91"/>
  <c r="BM348" i="91"/>
  <c r="BL348" i="91"/>
  <c r="BK348" i="91"/>
  <c r="BJ348" i="91"/>
  <c r="BI348" i="91"/>
  <c r="BH348" i="91"/>
  <c r="BG348" i="91"/>
  <c r="BF348" i="91"/>
  <c r="BE348" i="91"/>
  <c r="BD348" i="91"/>
  <c r="BC348" i="91"/>
  <c r="BB348" i="91"/>
  <c r="BA348" i="91"/>
  <c r="AZ348" i="91"/>
  <c r="AX348" i="91"/>
  <c r="AW348" i="91"/>
  <c r="AV348" i="91"/>
  <c r="AU348" i="91"/>
  <c r="AT348" i="91"/>
  <c r="AS348" i="91"/>
  <c r="AR348" i="91"/>
  <c r="AQ348" i="91"/>
  <c r="AP348" i="91"/>
  <c r="AO348" i="91"/>
  <c r="AN348" i="91"/>
  <c r="AM348" i="91"/>
  <c r="AL348" i="91"/>
  <c r="AK348" i="91"/>
  <c r="AJ348" i="91"/>
  <c r="AH348" i="91"/>
  <c r="AG348" i="91"/>
  <c r="AF348" i="91"/>
  <c r="AE348" i="91"/>
  <c r="AD348" i="91"/>
  <c r="AC348" i="91"/>
  <c r="AB348" i="91"/>
  <c r="AA348" i="91"/>
  <c r="Z348" i="91"/>
  <c r="Y348" i="91"/>
  <c r="X348" i="91"/>
  <c r="W348" i="91"/>
  <c r="V348" i="91"/>
  <c r="U348" i="91"/>
  <c r="S348" i="91"/>
  <c r="Q348" i="91"/>
  <c r="P348" i="91"/>
  <c r="O348" i="91"/>
  <c r="N348" i="91"/>
  <c r="M348" i="91"/>
  <c r="L348" i="91"/>
  <c r="K348" i="91"/>
  <c r="J348" i="91"/>
  <c r="I348" i="91"/>
  <c r="H348" i="91"/>
  <c r="E348" i="91"/>
  <c r="D348" i="91"/>
  <c r="DL347" i="91"/>
  <c r="DC347" i="91"/>
  <c r="CZ347" i="91"/>
  <c r="CY347" i="91"/>
  <c r="CX347" i="91"/>
  <c r="BO347" i="91"/>
  <c r="AL347" i="91"/>
  <c r="AJ347" i="91"/>
  <c r="AI347" i="91" s="1"/>
  <c r="U347" i="91"/>
  <c r="T347" i="91" s="1"/>
  <c r="H347" i="91"/>
  <c r="BS346" i="91"/>
  <c r="BO346" i="91" s="1"/>
  <c r="BC346" i="91"/>
  <c r="AY346" i="91" s="1"/>
  <c r="AY345" i="91" s="1"/>
  <c r="AI346" i="91"/>
  <c r="T346" i="91"/>
  <c r="H346" i="91"/>
  <c r="CS345" i="91"/>
  <c r="CE345" i="91"/>
  <c r="CD345" i="91"/>
  <c r="CC345" i="91"/>
  <c r="CB345" i="91"/>
  <c r="CA345" i="91"/>
  <c r="BZ345" i="91"/>
  <c r="BY345" i="91"/>
  <c r="BX345" i="91"/>
  <c r="BW345" i="91"/>
  <c r="BV345" i="91"/>
  <c r="BU345" i="91"/>
  <c r="BT345" i="91"/>
  <c r="BR345" i="91"/>
  <c r="BQ345" i="91"/>
  <c r="BP345" i="91"/>
  <c r="BN345" i="91"/>
  <c r="BM345" i="91"/>
  <c r="BL345" i="91"/>
  <c r="BK345" i="91"/>
  <c r="BJ345" i="91"/>
  <c r="BI345" i="91"/>
  <c r="BH345" i="91"/>
  <c r="BG345" i="91"/>
  <c r="BF345" i="91"/>
  <c r="BE345" i="91"/>
  <c r="BD345" i="91"/>
  <c r="BB345" i="91"/>
  <c r="BA345" i="91"/>
  <c r="AZ345" i="91"/>
  <c r="AX345" i="91"/>
  <c r="AW345" i="91"/>
  <c r="AV345" i="91"/>
  <c r="AU345" i="91"/>
  <c r="AT345" i="91"/>
  <c r="AS345" i="91"/>
  <c r="AR345" i="91"/>
  <c r="AQ345" i="91"/>
  <c r="AP345" i="91"/>
  <c r="AO345" i="91"/>
  <c r="AN345" i="91"/>
  <c r="AM345" i="91"/>
  <c r="AL345" i="91"/>
  <c r="AK345" i="91"/>
  <c r="AJ345" i="91"/>
  <c r="AH345" i="91"/>
  <c r="AG345" i="91"/>
  <c r="AF345" i="91"/>
  <c r="AE345" i="91"/>
  <c r="AD345" i="91"/>
  <c r="AC345" i="91"/>
  <c r="AB345" i="91"/>
  <c r="AA345" i="91"/>
  <c r="Z345" i="91"/>
  <c r="Y345" i="91"/>
  <c r="X345" i="91"/>
  <c r="W345" i="91"/>
  <c r="V345" i="91"/>
  <c r="S345" i="91"/>
  <c r="Q345" i="91"/>
  <c r="P345" i="91"/>
  <c r="O345" i="91"/>
  <c r="N345" i="91"/>
  <c r="M345" i="91"/>
  <c r="L345" i="91"/>
  <c r="K345" i="91"/>
  <c r="J345" i="91"/>
  <c r="I345" i="91"/>
  <c r="E345" i="91"/>
  <c r="D345" i="91"/>
  <c r="BO344" i="91"/>
  <c r="BF344" i="91"/>
  <c r="CM344" i="91" s="1"/>
  <c r="AC344" i="91"/>
  <c r="AR344" i="91" s="1"/>
  <c r="H344" i="91"/>
  <c r="BO343" i="91"/>
  <c r="AZ343" i="91"/>
  <c r="CG343" i="91" s="1"/>
  <c r="AI343" i="91"/>
  <c r="T343" i="91"/>
  <c r="H343" i="91"/>
  <c r="BO342" i="91"/>
  <c r="BC342" i="91"/>
  <c r="CJ342" i="91" s="1"/>
  <c r="AI342" i="91"/>
  <c r="T342" i="91"/>
  <c r="H342" i="91"/>
  <c r="CE341" i="91"/>
  <c r="CD341" i="91"/>
  <c r="CC341" i="91"/>
  <c r="CB341" i="91"/>
  <c r="CA341" i="91"/>
  <c r="BZ341" i="91"/>
  <c r="BY341" i="91"/>
  <c r="BX341" i="91"/>
  <c r="BW341" i="91"/>
  <c r="BV341" i="91"/>
  <c r="BT341" i="91"/>
  <c r="BS341" i="91"/>
  <c r="BP341" i="91"/>
  <c r="BO341" i="91" s="1"/>
  <c r="BN341" i="91"/>
  <c r="BM341" i="91"/>
  <c r="BL341" i="91"/>
  <c r="BK341" i="91"/>
  <c r="BJ341" i="91"/>
  <c r="BI341" i="91"/>
  <c r="BH341" i="91"/>
  <c r="BG341" i="91"/>
  <c r="BF341" i="91"/>
  <c r="BD341" i="91"/>
  <c r="AX341" i="91"/>
  <c r="AW341" i="91"/>
  <c r="AV341" i="91"/>
  <c r="AU341" i="91"/>
  <c r="AT341" i="91"/>
  <c r="AS341" i="91"/>
  <c r="AQ341" i="91"/>
  <c r="AP341" i="91"/>
  <c r="AO341" i="91"/>
  <c r="AN341" i="91"/>
  <c r="AM341" i="91"/>
  <c r="AL341" i="91"/>
  <c r="AK341" i="91"/>
  <c r="AJ341" i="91"/>
  <c r="AH341" i="91"/>
  <c r="AG341" i="91"/>
  <c r="AF341" i="91"/>
  <c r="AE341" i="91"/>
  <c r="AD341" i="91"/>
  <c r="AC341" i="91"/>
  <c r="AB341" i="91"/>
  <c r="AA341" i="91"/>
  <c r="Z341" i="91"/>
  <c r="Y341" i="91"/>
  <c r="X341" i="91"/>
  <c r="W341" i="91"/>
  <c r="V341" i="91"/>
  <c r="U341" i="91"/>
  <c r="S341" i="91"/>
  <c r="Q341" i="91"/>
  <c r="P341" i="91"/>
  <c r="O341" i="91"/>
  <c r="N341" i="91"/>
  <c r="M341" i="91"/>
  <c r="L341" i="91"/>
  <c r="K341" i="91"/>
  <c r="J341" i="91"/>
  <c r="I341" i="91"/>
  <c r="H341" i="91" s="1"/>
  <c r="E341" i="91"/>
  <c r="D341" i="91"/>
  <c r="BO340" i="91"/>
  <c r="AY340" i="91"/>
  <c r="AY339" i="91" s="1"/>
  <c r="AI340" i="91"/>
  <c r="T340" i="91"/>
  <c r="T339" i="91" s="1"/>
  <c r="H340" i="91"/>
  <c r="CE339" i="91"/>
  <c r="CD339" i="91"/>
  <c r="CC339" i="91"/>
  <c r="CB339" i="91"/>
  <c r="CA339" i="91"/>
  <c r="BZ339" i="91"/>
  <c r="BY339" i="91"/>
  <c r="BX339" i="91"/>
  <c r="BW339" i="91"/>
  <c r="BV339" i="91"/>
  <c r="BU339" i="91"/>
  <c r="BT339" i="91"/>
  <c r="BS339" i="91"/>
  <c r="BR339" i="91"/>
  <c r="BQ339" i="91"/>
  <c r="BP339" i="91"/>
  <c r="BN339" i="91"/>
  <c r="BM339" i="91"/>
  <c r="BL339" i="91"/>
  <c r="BK339" i="91"/>
  <c r="BJ339" i="91"/>
  <c r="BI339" i="91"/>
  <c r="BH339" i="91"/>
  <c r="BG339" i="91"/>
  <c r="BF339" i="91"/>
  <c r="BE339" i="91"/>
  <c r="BD339" i="91"/>
  <c r="BC339" i="91"/>
  <c r="BB339" i="91"/>
  <c r="BA339" i="91"/>
  <c r="AZ339" i="91"/>
  <c r="AX339" i="91"/>
  <c r="AW339" i="91"/>
  <c r="AV339" i="91"/>
  <c r="AU339" i="91"/>
  <c r="AT339" i="91"/>
  <c r="AR339" i="91"/>
  <c r="AQ339" i="91"/>
  <c r="AP339" i="91"/>
  <c r="AO339" i="91"/>
  <c r="AN339" i="91"/>
  <c r="AM339" i="91"/>
  <c r="AL339" i="91"/>
  <c r="AK339" i="91"/>
  <c r="AJ339" i="91"/>
  <c r="AI339" i="91"/>
  <c r="AH339" i="91"/>
  <c r="AG339" i="91"/>
  <c r="AF339" i="91"/>
  <c r="AE339" i="91"/>
  <c r="AD339" i="91"/>
  <c r="AC339" i="91"/>
  <c r="AB339" i="91"/>
  <c r="AA339" i="91"/>
  <c r="Z339" i="91"/>
  <c r="Y339" i="91"/>
  <c r="X339" i="91"/>
  <c r="W339" i="91"/>
  <c r="V339" i="91"/>
  <c r="U339" i="91"/>
  <c r="S339" i="91"/>
  <c r="Q339" i="91"/>
  <c r="P339" i="91"/>
  <c r="O339" i="91"/>
  <c r="N339" i="91"/>
  <c r="M339" i="91"/>
  <c r="L339" i="91"/>
  <c r="K339" i="91"/>
  <c r="J339" i="91"/>
  <c r="I339" i="91"/>
  <c r="H339" i="91"/>
  <c r="E339" i="91"/>
  <c r="D339" i="91"/>
  <c r="CR338" i="91"/>
  <c r="CJ338" i="91"/>
  <c r="BO338" i="91"/>
  <c r="AY338" i="91"/>
  <c r="AY337" i="91" s="1"/>
  <c r="AL338" i="91"/>
  <c r="AI338" i="91" s="1"/>
  <c r="AI337" i="91" s="1"/>
  <c r="T338" i="91"/>
  <c r="T337" i="91" s="1"/>
  <c r="H338" i="91"/>
  <c r="CE337" i="91"/>
  <c r="CD337" i="91"/>
  <c r="CC337" i="91"/>
  <c r="CB337" i="91"/>
  <c r="CA337" i="91"/>
  <c r="BZ337" i="91"/>
  <c r="BY337" i="91"/>
  <c r="BX337" i="91"/>
  <c r="BW337" i="91"/>
  <c r="BV337" i="91"/>
  <c r="BU337" i="91"/>
  <c r="BT337" i="91"/>
  <c r="BS337" i="91"/>
  <c r="BR337" i="91"/>
  <c r="BQ337" i="91"/>
  <c r="BP337" i="91"/>
  <c r="BN337" i="91"/>
  <c r="BM337" i="91"/>
  <c r="BL337" i="91"/>
  <c r="BK337" i="91"/>
  <c r="BJ337" i="91"/>
  <c r="BI337" i="91"/>
  <c r="BH337" i="91"/>
  <c r="BG337" i="91"/>
  <c r="BF337" i="91"/>
  <c r="BE337" i="91"/>
  <c r="BD337" i="91"/>
  <c r="BC337" i="91"/>
  <c r="BB337" i="91"/>
  <c r="BA337" i="91"/>
  <c r="AZ337" i="91"/>
  <c r="AX337" i="91"/>
  <c r="AW337" i="91"/>
  <c r="AV337" i="91"/>
  <c r="AU337" i="91"/>
  <c r="AT337" i="91"/>
  <c r="AS337" i="91"/>
  <c r="AR337" i="91"/>
  <c r="AQ337" i="91"/>
  <c r="AP337" i="91"/>
  <c r="AO337" i="91"/>
  <c r="AN337" i="91"/>
  <c r="AM337" i="91"/>
  <c r="AL337" i="91"/>
  <c r="AK337" i="91"/>
  <c r="AJ337" i="91"/>
  <c r="AH337" i="91"/>
  <c r="AG337" i="91"/>
  <c r="AF337" i="91"/>
  <c r="AE337" i="91"/>
  <c r="AD337" i="91"/>
  <c r="AC337" i="91"/>
  <c r="AB337" i="91"/>
  <c r="AA337" i="91"/>
  <c r="Z337" i="91"/>
  <c r="Y337" i="91"/>
  <c r="X337" i="91"/>
  <c r="W337" i="91"/>
  <c r="V337" i="91"/>
  <c r="U337" i="91"/>
  <c r="S337" i="91"/>
  <c r="Q337" i="91"/>
  <c r="P337" i="91"/>
  <c r="O337" i="91"/>
  <c r="N337" i="91"/>
  <c r="M337" i="91"/>
  <c r="L337" i="91"/>
  <c r="K337" i="91"/>
  <c r="J337" i="91"/>
  <c r="I337" i="91"/>
  <c r="E337" i="91"/>
  <c r="D337" i="91"/>
  <c r="BO336" i="91"/>
  <c r="AY336" i="91"/>
  <c r="AL336" i="91"/>
  <c r="AI336" i="91" s="1"/>
  <c r="T336" i="91"/>
  <c r="H336" i="91"/>
  <c r="BO335" i="91"/>
  <c r="AY335" i="91"/>
  <c r="AL335" i="91"/>
  <c r="AI335" i="91" s="1"/>
  <c r="W335" i="91"/>
  <c r="T335" i="91" s="1"/>
  <c r="H335" i="91"/>
  <c r="BO334" i="91"/>
  <c r="AY334" i="91"/>
  <c r="AI334" i="91"/>
  <c r="T334" i="91"/>
  <c r="H334" i="91"/>
  <c r="BO333" i="91"/>
  <c r="BN333" i="91"/>
  <c r="CW333" i="91" s="1"/>
  <c r="AJ333" i="91"/>
  <c r="AI333" i="91"/>
  <c r="T333" i="91"/>
  <c r="H333" i="91"/>
  <c r="CE332" i="91"/>
  <c r="BO332" i="91" s="1"/>
  <c r="BN332" i="91"/>
  <c r="AY332" i="91" s="1"/>
  <c r="AJ332" i="91"/>
  <c r="AI332" i="91"/>
  <c r="T332" i="91"/>
  <c r="H332" i="91"/>
  <c r="CE331" i="91"/>
  <c r="BO331" i="91" s="1"/>
  <c r="BN331" i="91"/>
  <c r="AY331" i="91" s="1"/>
  <c r="AI331" i="91"/>
  <c r="T331" i="91"/>
  <c r="H331" i="91"/>
  <c r="CE330" i="91"/>
  <c r="BN330" i="91"/>
  <c r="AY330" i="91" s="1"/>
  <c r="AI330" i="91"/>
  <c r="T330" i="91"/>
  <c r="H330" i="91"/>
  <c r="CE329" i="91"/>
  <c r="BO329" i="91" s="1"/>
  <c r="BN329" i="91"/>
  <c r="AY329" i="91" s="1"/>
  <c r="AI329" i="91"/>
  <c r="T329" i="91"/>
  <c r="H329" i="91"/>
  <c r="BO328" i="91"/>
  <c r="BN328" i="91"/>
  <c r="AY328" i="91" s="1"/>
  <c r="AI328" i="91"/>
  <c r="T328" i="91"/>
  <c r="H328" i="91"/>
  <c r="CE327" i="91"/>
  <c r="BN327" i="91"/>
  <c r="AY327" i="91" s="1"/>
  <c r="AI327" i="91"/>
  <c r="T327" i="91"/>
  <c r="H327" i="91"/>
  <c r="CE326" i="91"/>
  <c r="BO326" i="91" s="1"/>
  <c r="BN326" i="91"/>
  <c r="AY326" i="91" s="1"/>
  <c r="AI326" i="91"/>
  <c r="T326" i="91"/>
  <c r="H326" i="91"/>
  <c r="CE325" i="91"/>
  <c r="BN325" i="91"/>
  <c r="AY325" i="91" s="1"/>
  <c r="AI325" i="91"/>
  <c r="T325" i="91"/>
  <c r="H325" i="91"/>
  <c r="BO324" i="91"/>
  <c r="AY324" i="91"/>
  <c r="AI324" i="91"/>
  <c r="T324" i="91"/>
  <c r="T322" i="91" s="1"/>
  <c r="H324" i="91"/>
  <c r="CS323" i="91"/>
  <c r="CJ323" i="91"/>
  <c r="BO323" i="91"/>
  <c r="AY323" i="91"/>
  <c r="AI323" i="91"/>
  <c r="T323" i="91"/>
  <c r="H323" i="91"/>
  <c r="CD322" i="91"/>
  <c r="CC322" i="91"/>
  <c r="CC321" i="91" s="1"/>
  <c r="CB322" i="91"/>
  <c r="CA322" i="91"/>
  <c r="CA321" i="91" s="1"/>
  <c r="BZ322" i="91"/>
  <c r="BY322" i="91"/>
  <c r="BY321" i="91" s="1"/>
  <c r="BX322" i="91"/>
  <c r="BW322" i="91"/>
  <c r="BW321" i="91" s="1"/>
  <c r="BV322" i="91"/>
  <c r="BU322" i="91"/>
  <c r="BU321" i="91" s="1"/>
  <c r="BT322" i="91"/>
  <c r="BS322" i="91"/>
  <c r="BR322" i="91"/>
  <c r="BQ322" i="91"/>
  <c r="BQ321" i="91" s="1"/>
  <c r="BP322" i="91"/>
  <c r="BM322" i="91"/>
  <c r="BM321" i="91" s="1"/>
  <c r="BL322" i="91"/>
  <c r="BK322" i="91"/>
  <c r="BK321" i="91" s="1"/>
  <c r="BJ322" i="91"/>
  <c r="BI322" i="91"/>
  <c r="BI321" i="91" s="1"/>
  <c r="BH322" i="91"/>
  <c r="BG322" i="91"/>
  <c r="BG321" i="91" s="1"/>
  <c r="BF322" i="91"/>
  <c r="BE322" i="91"/>
  <c r="BE321" i="91" s="1"/>
  <c r="BD322" i="91"/>
  <c r="BC322" i="91"/>
  <c r="BB322" i="91"/>
  <c r="BA322" i="91"/>
  <c r="BA321" i="91" s="1"/>
  <c r="AZ322" i="91"/>
  <c r="AX322" i="91"/>
  <c r="AW322" i="91"/>
  <c r="AW321" i="91" s="1"/>
  <c r="AV322" i="91"/>
  <c r="AU322" i="91"/>
  <c r="AU321" i="91" s="1"/>
  <c r="AT322" i="91"/>
  <c r="AS322" i="91"/>
  <c r="AS321" i="91" s="1"/>
  <c r="AR322" i="91"/>
  <c r="AQ322" i="91"/>
  <c r="AQ321" i="91" s="1"/>
  <c r="AP322" i="91"/>
  <c r="AO322" i="91"/>
  <c r="AO321" i="91" s="1"/>
  <c r="AN322" i="91"/>
  <c r="AM322" i="91"/>
  <c r="AM321" i="91" s="1"/>
  <c r="AK322" i="91"/>
  <c r="AK321" i="91" s="1"/>
  <c r="AJ322" i="91"/>
  <c r="AH322" i="91"/>
  <c r="AG322" i="91"/>
  <c r="AG321" i="91" s="1"/>
  <c r="AF322" i="91"/>
  <c r="AE322" i="91"/>
  <c r="AE321" i="91" s="1"/>
  <c r="AD322" i="91"/>
  <c r="AC322" i="91"/>
  <c r="AC321" i="91" s="1"/>
  <c r="AB322" i="91"/>
  <c r="AA322" i="91"/>
  <c r="AA321" i="91" s="1"/>
  <c r="Z322" i="91"/>
  <c r="Y322" i="91"/>
  <c r="Y321" i="91" s="1"/>
  <c r="X322" i="91"/>
  <c r="W322" i="91"/>
  <c r="W321" i="91" s="1"/>
  <c r="V322" i="91"/>
  <c r="U322" i="91"/>
  <c r="U321" i="91" s="1"/>
  <c r="S322" i="91"/>
  <c r="S321" i="91" s="1"/>
  <c r="Q322" i="91"/>
  <c r="P322" i="91"/>
  <c r="P321" i="91" s="1"/>
  <c r="O322" i="91"/>
  <c r="N322" i="91"/>
  <c r="N321" i="91" s="1"/>
  <c r="M322" i="91"/>
  <c r="L322" i="91"/>
  <c r="L321" i="91" s="1"/>
  <c r="K322" i="91"/>
  <c r="J322" i="91"/>
  <c r="J321" i="91" s="1"/>
  <c r="I322" i="91"/>
  <c r="H322" i="91"/>
  <c r="E322" i="91"/>
  <c r="D322" i="91"/>
  <c r="D321" i="91" s="1"/>
  <c r="CD321" i="91"/>
  <c r="CB321" i="91"/>
  <c r="BZ321" i="91"/>
  <c r="BX321" i="91"/>
  <c r="BV321" i="91"/>
  <c r="BT321" i="91"/>
  <c r="BR321" i="91"/>
  <c r="BP321" i="91"/>
  <c r="BL321" i="91"/>
  <c r="BJ321" i="91"/>
  <c r="BH321" i="91"/>
  <c r="BF321" i="91"/>
  <c r="BD321" i="91"/>
  <c r="BB321" i="91"/>
  <c r="AX321" i="91"/>
  <c r="AV321" i="91"/>
  <c r="AT321" i="91"/>
  <c r="AR321" i="91"/>
  <c r="AP321" i="91"/>
  <c r="AN321" i="91"/>
  <c r="AJ321" i="91"/>
  <c r="AH321" i="91"/>
  <c r="AF321" i="91"/>
  <c r="AD321" i="91"/>
  <c r="AB321" i="91"/>
  <c r="Z321" i="91"/>
  <c r="X321" i="91"/>
  <c r="V321" i="91"/>
  <c r="Q321" i="91"/>
  <c r="O321" i="91"/>
  <c r="M321" i="91"/>
  <c r="K321" i="91"/>
  <c r="I321" i="91"/>
  <c r="H321" i="91" s="1"/>
  <c r="E321" i="91"/>
  <c r="CJ320" i="91"/>
  <c r="BO320" i="91"/>
  <c r="AY320" i="91"/>
  <c r="AI320" i="91"/>
  <c r="T320" i="91"/>
  <c r="H320" i="91"/>
  <c r="CE319" i="91"/>
  <c r="CD319" i="91"/>
  <c r="CD318" i="91" s="1"/>
  <c r="CC319" i="91"/>
  <c r="CB319" i="91"/>
  <c r="CB318" i="91" s="1"/>
  <c r="CA319" i="91"/>
  <c r="BZ319" i="91"/>
  <c r="BZ318" i="91" s="1"/>
  <c r="BY319" i="91"/>
  <c r="BX319" i="91"/>
  <c r="BX318" i="91" s="1"/>
  <c r="BW319" i="91"/>
  <c r="BV319" i="91"/>
  <c r="BV318" i="91" s="1"/>
  <c r="BT319" i="91"/>
  <c r="BS319" i="91"/>
  <c r="BP319" i="91"/>
  <c r="BO319" i="91" s="1"/>
  <c r="CF320" i="91" s="1"/>
  <c r="BN319" i="91"/>
  <c r="BM319" i="91"/>
  <c r="BM318" i="91" s="1"/>
  <c r="BL319" i="91"/>
  <c r="BK319" i="91"/>
  <c r="BK318" i="91" s="1"/>
  <c r="BJ319" i="91"/>
  <c r="BI319" i="91"/>
  <c r="BI318" i="91" s="1"/>
  <c r="BH319" i="91"/>
  <c r="BG319" i="91"/>
  <c r="BG318" i="91" s="1"/>
  <c r="BF319" i="91"/>
  <c r="BD319" i="91"/>
  <c r="BD318" i="91" s="1"/>
  <c r="BC319" i="91"/>
  <c r="AZ319" i="91"/>
  <c r="AZ318" i="91" s="1"/>
  <c r="AY319" i="91"/>
  <c r="AX319" i="91"/>
  <c r="AX318" i="91" s="1"/>
  <c r="AW319" i="91"/>
  <c r="AV319" i="91"/>
  <c r="AV318" i="91" s="1"/>
  <c r="AU319" i="91"/>
  <c r="AT319" i="91"/>
  <c r="AT318" i="91" s="1"/>
  <c r="AR319" i="91"/>
  <c r="AQ319" i="91"/>
  <c r="AQ318" i="91" s="1"/>
  <c r="AP319" i="91"/>
  <c r="AO319" i="91"/>
  <c r="AO318" i="91" s="1"/>
  <c r="AN319" i="91"/>
  <c r="AM319" i="91"/>
  <c r="AM318" i="91" s="1"/>
  <c r="AL319" i="91"/>
  <c r="AK319" i="91"/>
  <c r="AK318" i="91" s="1"/>
  <c r="AJ319" i="91"/>
  <c r="AI319" i="91"/>
  <c r="AI318" i="91" s="1"/>
  <c r="AH319" i="91"/>
  <c r="AG319" i="91"/>
  <c r="AG318" i="91" s="1"/>
  <c r="AF319" i="91"/>
  <c r="AE319" i="91"/>
  <c r="AE318" i="91" s="1"/>
  <c r="AD319" i="91"/>
  <c r="AC319" i="91"/>
  <c r="AC318" i="91" s="1"/>
  <c r="AB319" i="91"/>
  <c r="AA319" i="91"/>
  <c r="AA318" i="91" s="1"/>
  <c r="Z319" i="91"/>
  <c r="Y319" i="91"/>
  <c r="Y318" i="91" s="1"/>
  <c r="X319" i="91"/>
  <c r="W319" i="91"/>
  <c r="W318" i="91" s="1"/>
  <c r="V319" i="91"/>
  <c r="U319" i="91"/>
  <c r="U318" i="91" s="1"/>
  <c r="T319" i="91"/>
  <c r="S319" i="91"/>
  <c r="S318" i="91" s="1"/>
  <c r="Q319" i="91"/>
  <c r="P319" i="91"/>
  <c r="P318" i="91" s="1"/>
  <c r="O319" i="91"/>
  <c r="N319" i="91"/>
  <c r="N318" i="91" s="1"/>
  <c r="M319" i="91"/>
  <c r="L319" i="91"/>
  <c r="L318" i="91" s="1"/>
  <c r="K319" i="91"/>
  <c r="J319" i="91"/>
  <c r="J318" i="91" s="1"/>
  <c r="I319" i="91"/>
  <c r="H319" i="91"/>
  <c r="E319" i="91"/>
  <c r="D319" i="91"/>
  <c r="D318" i="91" s="1"/>
  <c r="CE318" i="91"/>
  <c r="CC318" i="91"/>
  <c r="CA318" i="91"/>
  <c r="BY318" i="91"/>
  <c r="BW318" i="91"/>
  <c r="BT318" i="91"/>
  <c r="BP318" i="91"/>
  <c r="BN318" i="91"/>
  <c r="BL318" i="91"/>
  <c r="BJ318" i="91"/>
  <c r="BH318" i="91"/>
  <c r="BF318" i="91"/>
  <c r="BC318" i="91"/>
  <c r="AY318" i="91"/>
  <c r="AW318" i="91"/>
  <c r="AU318" i="91"/>
  <c r="AR318" i="91"/>
  <c r="AP318" i="91"/>
  <c r="AN318" i="91"/>
  <c r="AL318" i="91"/>
  <c r="AJ318" i="91"/>
  <c r="AH318" i="91"/>
  <c r="AF318" i="91"/>
  <c r="AD318" i="91"/>
  <c r="AB318" i="91"/>
  <c r="Z318" i="91"/>
  <c r="X318" i="91"/>
  <c r="V318" i="91"/>
  <c r="T318" i="91"/>
  <c r="Q318" i="91"/>
  <c r="O318" i="91"/>
  <c r="M318" i="91"/>
  <c r="K318" i="91"/>
  <c r="I318" i="91"/>
  <c r="H318" i="91" s="1"/>
  <c r="E318" i="91"/>
  <c r="BO317" i="91"/>
  <c r="AY317" i="91"/>
  <c r="AI317" i="91"/>
  <c r="T317" i="91"/>
  <c r="H317" i="91"/>
  <c r="BO316" i="91"/>
  <c r="AY316" i="91"/>
  <c r="AI316" i="91"/>
  <c r="T316" i="91"/>
  <c r="H316" i="91"/>
  <c r="BO315" i="91"/>
  <c r="AY315" i="91"/>
  <c r="AI315" i="91"/>
  <c r="T315" i="91"/>
  <c r="H315" i="91"/>
  <c r="BO314" i="91"/>
  <c r="AY314" i="91"/>
  <c r="AI314" i="91"/>
  <c r="T314" i="91"/>
  <c r="H314" i="91"/>
  <c r="BO313" i="91"/>
  <c r="AY313" i="91"/>
  <c r="AI313" i="91"/>
  <c r="T313" i="91"/>
  <c r="H313" i="91"/>
  <c r="BO312" i="91"/>
  <c r="AY312" i="91"/>
  <c r="AI312" i="91"/>
  <c r="T312" i="91"/>
  <c r="H312" i="91"/>
  <c r="BO311" i="91"/>
  <c r="AY311" i="91"/>
  <c r="AI311" i="91"/>
  <c r="T311" i="91"/>
  <c r="H311" i="91"/>
  <c r="BO310" i="91"/>
  <c r="AY310" i="91"/>
  <c r="AI310" i="91"/>
  <c r="T310" i="91"/>
  <c r="H310" i="91"/>
  <c r="BO309" i="91"/>
  <c r="AY309" i="91"/>
  <c r="AI309" i="91"/>
  <c r="T309" i="91"/>
  <c r="H309" i="91"/>
  <c r="BO308" i="91"/>
  <c r="AY308" i="91"/>
  <c r="AI308" i="91"/>
  <c r="T308" i="91"/>
  <c r="H308" i="91"/>
  <c r="BO307" i="91"/>
  <c r="AY307" i="91"/>
  <c r="AI307" i="91"/>
  <c r="T307" i="91"/>
  <c r="H307" i="91"/>
  <c r="BO306" i="91"/>
  <c r="AY306" i="91"/>
  <c r="AI306" i="91"/>
  <c r="T306" i="91"/>
  <c r="H306" i="91"/>
  <c r="BO305" i="91"/>
  <c r="AY305" i="91"/>
  <c r="AI305" i="91"/>
  <c r="T305" i="91"/>
  <c r="H305" i="91"/>
  <c r="BO304" i="91"/>
  <c r="AY304" i="91"/>
  <c r="AI304" i="91"/>
  <c r="T304" i="91"/>
  <c r="H304" i="91"/>
  <c r="BO303" i="91"/>
  <c r="AY303" i="91"/>
  <c r="AI303" i="91"/>
  <c r="T303" i="91"/>
  <c r="H303" i="91"/>
  <c r="BO302" i="91"/>
  <c r="AY302" i="91"/>
  <c r="AI302" i="91"/>
  <c r="T302" i="91"/>
  <c r="H302" i="91"/>
  <c r="BO301" i="91"/>
  <c r="AY301" i="91"/>
  <c r="AI301" i="91"/>
  <c r="T301" i="91"/>
  <c r="H301" i="91"/>
  <c r="BO300" i="91"/>
  <c r="AY300" i="91"/>
  <c r="AI300" i="91"/>
  <c r="T300" i="91"/>
  <c r="H300" i="91"/>
  <c r="BO299" i="91"/>
  <c r="AY299" i="91"/>
  <c r="AI299" i="91"/>
  <c r="T299" i="91"/>
  <c r="H299" i="91"/>
  <c r="BO298" i="91"/>
  <c r="AY298" i="91"/>
  <c r="AI298" i="91"/>
  <c r="T298" i="91"/>
  <c r="H298" i="91"/>
  <c r="BO297" i="91"/>
  <c r="AY297" i="91"/>
  <c r="AI297" i="91"/>
  <c r="T297" i="91"/>
  <c r="H297" i="91"/>
  <c r="BO296" i="91"/>
  <c r="AY296" i="91"/>
  <c r="AI296" i="91"/>
  <c r="T296" i="91"/>
  <c r="H296" i="91"/>
  <c r="BO295" i="91"/>
  <c r="AY295" i="91"/>
  <c r="AI295" i="91"/>
  <c r="T295" i="91"/>
  <c r="H295" i="91"/>
  <c r="BO294" i="91"/>
  <c r="AY294" i="91"/>
  <c r="AI294" i="91"/>
  <c r="T294" i="91"/>
  <c r="H294" i="91"/>
  <c r="BO293" i="91"/>
  <c r="AY293" i="91"/>
  <c r="AI293" i="91"/>
  <c r="T293" i="91"/>
  <c r="H293" i="91"/>
  <c r="BO292" i="91"/>
  <c r="AY292" i="91"/>
  <c r="AI292" i="91"/>
  <c r="T292" i="91"/>
  <c r="H292" i="91"/>
  <c r="BO291" i="91"/>
  <c r="AY291" i="91"/>
  <c r="AI291" i="91"/>
  <c r="T291" i="91"/>
  <c r="H291" i="91"/>
  <c r="BO290" i="91"/>
  <c r="AY290" i="91"/>
  <c r="AI290" i="91"/>
  <c r="T290" i="91"/>
  <c r="H290" i="91"/>
  <c r="BO289" i="91"/>
  <c r="AY289" i="91"/>
  <c r="AI289" i="91"/>
  <c r="T289" i="91"/>
  <c r="H289" i="91"/>
  <c r="BO288" i="91"/>
  <c r="AY288" i="91"/>
  <c r="AI288" i="91"/>
  <c r="T288" i="91"/>
  <c r="H288" i="91"/>
  <c r="BO287" i="91"/>
  <c r="AY287" i="91"/>
  <c r="AI287" i="91"/>
  <c r="T287" i="91"/>
  <c r="H287" i="91"/>
  <c r="BO286" i="91"/>
  <c r="AY286" i="91"/>
  <c r="AI286" i="91"/>
  <c r="T286" i="91"/>
  <c r="H286" i="91"/>
  <c r="BO285" i="91"/>
  <c r="AY285" i="91"/>
  <c r="AI285" i="91"/>
  <c r="T285" i="91"/>
  <c r="H285" i="91"/>
  <c r="BO284" i="91"/>
  <c r="AY284" i="91"/>
  <c r="AI284" i="91"/>
  <c r="T284" i="91"/>
  <c r="H284" i="91"/>
  <c r="BO283" i="91"/>
  <c r="AY283" i="91"/>
  <c r="AI283" i="91"/>
  <c r="T283" i="91"/>
  <c r="H283" i="91"/>
  <c r="BO282" i="91"/>
  <c r="AY282" i="91"/>
  <c r="AI282" i="91"/>
  <c r="T282" i="91"/>
  <c r="H282" i="91"/>
  <c r="BO281" i="91"/>
  <c r="AY281" i="91"/>
  <c r="AI281" i="91"/>
  <c r="T281" i="91"/>
  <c r="H281" i="91"/>
  <c r="BO280" i="91"/>
  <c r="AY280" i="91"/>
  <c r="AI280" i="91"/>
  <c r="T280" i="91"/>
  <c r="H280" i="91"/>
  <c r="BO279" i="91"/>
  <c r="AY279" i="91"/>
  <c r="AI279" i="91"/>
  <c r="T279" i="91"/>
  <c r="H279" i="91"/>
  <c r="CE278" i="91"/>
  <c r="BN278" i="91"/>
  <c r="AY278" i="91" s="1"/>
  <c r="AI278" i="91"/>
  <c r="T278" i="91"/>
  <c r="H278" i="91"/>
  <c r="CE277" i="91"/>
  <c r="BN277" i="91"/>
  <c r="AY277" i="91" s="1"/>
  <c r="AI277" i="91"/>
  <c r="T277" i="91"/>
  <c r="H277" i="91"/>
  <c r="BO276" i="91"/>
  <c r="AI276" i="91"/>
  <c r="T276" i="91"/>
  <c r="H276" i="91"/>
  <c r="CS275" i="91"/>
  <c r="BO275" i="91"/>
  <c r="AY275" i="91"/>
  <c r="AI275" i="91"/>
  <c r="T275" i="91"/>
  <c r="H275" i="91"/>
  <c r="CS274" i="91"/>
  <c r="CD274" i="91"/>
  <c r="CD273" i="91" s="1"/>
  <c r="CC274" i="91"/>
  <c r="CB274" i="91"/>
  <c r="CB273" i="91" s="1"/>
  <c r="CA274" i="91"/>
  <c r="BZ274" i="91"/>
  <c r="BZ273" i="91" s="1"/>
  <c r="BY274" i="91"/>
  <c r="BX274" i="91"/>
  <c r="BX273" i="91" s="1"/>
  <c r="BW274" i="91"/>
  <c r="BV274" i="91"/>
  <c r="BV273" i="91" s="1"/>
  <c r="BU274" i="91"/>
  <c r="BT274" i="91"/>
  <c r="BT273" i="91" s="1"/>
  <c r="BS274" i="91"/>
  <c r="BR274" i="91"/>
  <c r="BR273" i="91" s="1"/>
  <c r="BQ274" i="91"/>
  <c r="BP274" i="91"/>
  <c r="BM274" i="91"/>
  <c r="BL274" i="91"/>
  <c r="BL273" i="91" s="1"/>
  <c r="BK274" i="91"/>
  <c r="BJ274" i="91"/>
  <c r="BJ273" i="91" s="1"/>
  <c r="BI274" i="91"/>
  <c r="BH274" i="91"/>
  <c r="BH273" i="91" s="1"/>
  <c r="BG274" i="91"/>
  <c r="BF274" i="91"/>
  <c r="BF273" i="91" s="1"/>
  <c r="BE274" i="91"/>
  <c r="BD274" i="91"/>
  <c r="BD273" i="91" s="1"/>
  <c r="BC274" i="91"/>
  <c r="BB274" i="91"/>
  <c r="BB273" i="91" s="1"/>
  <c r="BA274" i="91"/>
  <c r="AZ274" i="91"/>
  <c r="AZ273" i="91" s="1"/>
  <c r="AX274" i="91"/>
  <c r="AX273" i="91" s="1"/>
  <c r="AW274" i="91"/>
  <c r="AV274" i="91"/>
  <c r="AV273" i="91" s="1"/>
  <c r="AU274" i="91"/>
  <c r="AT274" i="91"/>
  <c r="AT273" i="91" s="1"/>
  <c r="AS274" i="91"/>
  <c r="AR274" i="91"/>
  <c r="AR273" i="91" s="1"/>
  <c r="AQ274" i="91"/>
  <c r="AP274" i="91"/>
  <c r="AP273" i="91" s="1"/>
  <c r="AO274" i="91"/>
  <c r="AN274" i="91"/>
  <c r="AN273" i="91" s="1"/>
  <c r="AM274" i="91"/>
  <c r="AL274" i="91"/>
  <c r="AL273" i="91" s="1"/>
  <c r="AK274" i="91"/>
  <c r="AJ274" i="91"/>
  <c r="AJ273" i="91" s="1"/>
  <c r="AH274" i="91"/>
  <c r="AH273" i="91" s="1"/>
  <c r="AG274" i="91"/>
  <c r="AF274" i="91"/>
  <c r="AF273" i="91" s="1"/>
  <c r="AE274" i="91"/>
  <c r="AD274" i="91"/>
  <c r="AD273" i="91" s="1"/>
  <c r="AC274" i="91"/>
  <c r="AB274" i="91"/>
  <c r="AB273" i="91" s="1"/>
  <c r="AA274" i="91"/>
  <c r="Z274" i="91"/>
  <c r="Z273" i="91" s="1"/>
  <c r="Y274" i="91"/>
  <c r="X274" i="91"/>
  <c r="X273" i="91" s="1"/>
  <c r="W274" i="91"/>
  <c r="V274" i="91"/>
  <c r="V273" i="91" s="1"/>
  <c r="U274" i="91"/>
  <c r="T274" i="91"/>
  <c r="T273" i="91" s="1"/>
  <c r="S274" i="91"/>
  <c r="Q274" i="91"/>
  <c r="Q273" i="91" s="1"/>
  <c r="P274" i="91"/>
  <c r="O274" i="91"/>
  <c r="O273" i="91" s="1"/>
  <c r="N274" i="91"/>
  <c r="M274" i="91"/>
  <c r="M273" i="91" s="1"/>
  <c r="L274" i="91"/>
  <c r="L273" i="91" s="1"/>
  <c r="K274" i="91"/>
  <c r="K273" i="91" s="1"/>
  <c r="J274" i="91"/>
  <c r="I274" i="91"/>
  <c r="E274" i="91"/>
  <c r="E273" i="91" s="1"/>
  <c r="D274" i="91"/>
  <c r="CC273" i="91"/>
  <c r="CA273" i="91"/>
  <c r="BY273" i="91"/>
  <c r="BW273" i="91"/>
  <c r="BU273" i="91"/>
  <c r="BS273" i="91"/>
  <c r="BQ273" i="91"/>
  <c r="BM273" i="91"/>
  <c r="BK273" i="91"/>
  <c r="BI273" i="91"/>
  <c r="BG273" i="91"/>
  <c r="BE273" i="91"/>
  <c r="BC273" i="91"/>
  <c r="BA273" i="91"/>
  <c r="AW273" i="91"/>
  <c r="AU273" i="91"/>
  <c r="AS273" i="91"/>
  <c r="AQ273" i="91"/>
  <c r="AO273" i="91"/>
  <c r="AM273" i="91"/>
  <c r="AK273" i="91"/>
  <c r="AG273" i="91"/>
  <c r="AE273" i="91"/>
  <c r="AC273" i="91"/>
  <c r="AA273" i="91"/>
  <c r="Y273" i="91"/>
  <c r="W273" i="91"/>
  <c r="U273" i="91"/>
  <c r="S273" i="91"/>
  <c r="P273" i="91"/>
  <c r="N273" i="91"/>
  <c r="J273" i="91"/>
  <c r="D273" i="91"/>
  <c r="BO272" i="91"/>
  <c r="BC272" i="91"/>
  <c r="CJ272" i="91" s="1"/>
  <c r="AI272" i="91"/>
  <c r="AI271" i="91" s="1"/>
  <c r="AI270" i="91" s="1"/>
  <c r="T272" i="91"/>
  <c r="H272" i="91"/>
  <c r="CS271" i="91"/>
  <c r="CE271" i="91"/>
  <c r="CD271" i="91"/>
  <c r="CC271" i="91"/>
  <c r="CB271" i="91"/>
  <c r="CA271" i="91"/>
  <c r="BZ271" i="91"/>
  <c r="BY271" i="91"/>
  <c r="BX271" i="91"/>
  <c r="BW271" i="91"/>
  <c r="BV271" i="91"/>
  <c r="BU271" i="91"/>
  <c r="BT271" i="91"/>
  <c r="BS271" i="91"/>
  <c r="BR271" i="91"/>
  <c r="BQ271" i="91"/>
  <c r="BP271" i="91"/>
  <c r="BO271" i="91"/>
  <c r="BN271" i="91"/>
  <c r="BM271" i="91"/>
  <c r="BL271" i="91"/>
  <c r="BK271" i="91"/>
  <c r="BJ271" i="91"/>
  <c r="BI271" i="91"/>
  <c r="BH271" i="91"/>
  <c r="BG271" i="91"/>
  <c r="BF271" i="91"/>
  <c r="BE271" i="91"/>
  <c r="BD271" i="91"/>
  <c r="BB271" i="91"/>
  <c r="BA271" i="91"/>
  <c r="AZ271" i="91"/>
  <c r="AX271" i="91"/>
  <c r="AW271" i="91"/>
  <c r="AV271" i="91"/>
  <c r="AU271" i="91"/>
  <c r="AT271" i="91"/>
  <c r="AR271" i="91"/>
  <c r="AQ271" i="91"/>
  <c r="AP271" i="91"/>
  <c r="AO271" i="91"/>
  <c r="AN271" i="91"/>
  <c r="AM271" i="91"/>
  <c r="AL271" i="91"/>
  <c r="AK271" i="91"/>
  <c r="AJ271" i="91"/>
  <c r="AH271" i="91"/>
  <c r="AG271" i="91"/>
  <c r="AF271" i="91"/>
  <c r="AE271" i="91"/>
  <c r="AD271" i="91"/>
  <c r="AC271" i="91"/>
  <c r="AB271" i="91"/>
  <c r="AA271" i="91"/>
  <c r="Z271" i="91"/>
  <c r="Y271" i="91"/>
  <c r="X271" i="91"/>
  <c r="W271" i="91"/>
  <c r="V271" i="91"/>
  <c r="U271" i="91"/>
  <c r="T271" i="91"/>
  <c r="S271" i="91"/>
  <c r="Q271" i="91"/>
  <c r="P271" i="91"/>
  <c r="O271" i="91"/>
  <c r="N271" i="91"/>
  <c r="M271" i="91"/>
  <c r="L271" i="91"/>
  <c r="K271" i="91"/>
  <c r="J271" i="91"/>
  <c r="I271" i="91"/>
  <c r="E271" i="91"/>
  <c r="D271" i="91"/>
  <c r="CE270" i="91"/>
  <c r="CD270" i="91"/>
  <c r="CC270" i="91"/>
  <c r="CB270" i="91"/>
  <c r="CA270" i="91"/>
  <c r="BZ270" i="91"/>
  <c r="BY270" i="91"/>
  <c r="BX270" i="91"/>
  <c r="BW270" i="91"/>
  <c r="BV270" i="91"/>
  <c r="BU270" i="91"/>
  <c r="BT270" i="91"/>
  <c r="BS270" i="91"/>
  <c r="BR270" i="91"/>
  <c r="BQ270" i="91"/>
  <c r="BP270" i="91"/>
  <c r="BO270" i="91"/>
  <c r="BN270" i="91"/>
  <c r="BM270" i="91"/>
  <c r="BL270" i="91"/>
  <c r="BK270" i="91"/>
  <c r="BJ270" i="91"/>
  <c r="BI270" i="91"/>
  <c r="BH270" i="91"/>
  <c r="BG270" i="91"/>
  <c r="BF270" i="91"/>
  <c r="BE270" i="91"/>
  <c r="BD270" i="91"/>
  <c r="BB270" i="91"/>
  <c r="BA270" i="91"/>
  <c r="AZ270" i="91"/>
  <c r="AX270" i="91"/>
  <c r="AW270" i="91"/>
  <c r="AV270" i="91"/>
  <c r="AU270" i="91"/>
  <c r="AT270" i="91"/>
  <c r="AR270" i="91"/>
  <c r="AQ270" i="91"/>
  <c r="AP270" i="91"/>
  <c r="AO270" i="91"/>
  <c r="AN270" i="91"/>
  <c r="AM270" i="91"/>
  <c r="AL270" i="91"/>
  <c r="AK270" i="91"/>
  <c r="AJ270" i="91"/>
  <c r="AH270" i="91"/>
  <c r="AG270" i="91"/>
  <c r="AF270" i="91"/>
  <c r="AE270" i="91"/>
  <c r="AD270" i="91"/>
  <c r="AC270" i="91"/>
  <c r="AB270" i="91"/>
  <c r="AA270" i="91"/>
  <c r="Z270" i="91"/>
  <c r="Y270" i="91"/>
  <c r="X270" i="91"/>
  <c r="W270" i="91"/>
  <c r="V270" i="91"/>
  <c r="U270" i="91"/>
  <c r="T270" i="91"/>
  <c r="S270" i="91"/>
  <c r="Q270" i="91"/>
  <c r="P270" i="91"/>
  <c r="O270" i="91"/>
  <c r="N270" i="91"/>
  <c r="M270" i="91"/>
  <c r="L270" i="91"/>
  <c r="K270" i="91"/>
  <c r="J270" i="91"/>
  <c r="I270" i="91"/>
  <c r="E270" i="91"/>
  <c r="D270" i="91"/>
  <c r="CS269" i="91"/>
  <c r="CS268" i="91" s="1"/>
  <c r="CJ269" i="91"/>
  <c r="BO269" i="91"/>
  <c r="CF270" i="91" s="1"/>
  <c r="CF269" i="91" s="1"/>
  <c r="CF268" i="91" s="1"/>
  <c r="AY269" i="91"/>
  <c r="AY268" i="91" s="1"/>
  <c r="AY267" i="91" s="1"/>
  <c r="AI269" i="91"/>
  <c r="AI268" i="91" s="1"/>
  <c r="AI267" i="91" s="1"/>
  <c r="T269" i="91"/>
  <c r="T268" i="91" s="1"/>
  <c r="T267" i="91" s="1"/>
  <c r="H269" i="91"/>
  <c r="CE268" i="91"/>
  <c r="CD268" i="91"/>
  <c r="CC268" i="91"/>
  <c r="CB268" i="91"/>
  <c r="CA268" i="91"/>
  <c r="BZ268" i="91"/>
  <c r="BY268" i="91"/>
  <c r="BX268" i="91"/>
  <c r="BW268" i="91"/>
  <c r="BV268" i="91"/>
  <c r="BU268" i="91"/>
  <c r="BT268" i="91"/>
  <c r="BS268" i="91"/>
  <c r="CJ268" i="91" s="1"/>
  <c r="BR268" i="91"/>
  <c r="BQ268" i="91"/>
  <c r="BP268" i="91"/>
  <c r="BN268" i="91"/>
  <c r="BM268" i="91"/>
  <c r="BL268" i="91"/>
  <c r="BK268" i="91"/>
  <c r="BJ268" i="91"/>
  <c r="BI268" i="91"/>
  <c r="BH268" i="91"/>
  <c r="BG268" i="91"/>
  <c r="BF268" i="91"/>
  <c r="BE268" i="91"/>
  <c r="BD268" i="91"/>
  <c r="BC268" i="91"/>
  <c r="BB268" i="91"/>
  <c r="BA268" i="91"/>
  <c r="AZ268" i="91"/>
  <c r="AX268" i="91"/>
  <c r="AW268" i="91"/>
  <c r="AV268" i="91"/>
  <c r="AU268" i="91"/>
  <c r="AT268" i="91"/>
  <c r="AR268" i="91"/>
  <c r="AQ268" i="91"/>
  <c r="AP268" i="91"/>
  <c r="AO268" i="91"/>
  <c r="AN268" i="91"/>
  <c r="AM268" i="91"/>
  <c r="AL268" i="91"/>
  <c r="AK268" i="91"/>
  <c r="AJ268" i="91"/>
  <c r="AH268" i="91"/>
  <c r="AG268" i="91"/>
  <c r="AF268" i="91"/>
  <c r="AE268" i="91"/>
  <c r="AD268" i="91"/>
  <c r="AC268" i="91"/>
  <c r="AB268" i="91"/>
  <c r="AA268" i="91"/>
  <c r="Z268" i="91"/>
  <c r="Y268" i="91"/>
  <c r="X268" i="91"/>
  <c r="W268" i="91"/>
  <c r="V268" i="91"/>
  <c r="U268" i="91"/>
  <c r="S268" i="91"/>
  <c r="Q268" i="91"/>
  <c r="P268" i="91"/>
  <c r="O268" i="91"/>
  <c r="N268" i="91"/>
  <c r="M268" i="91"/>
  <c r="L268" i="91"/>
  <c r="K268" i="91"/>
  <c r="J268" i="91"/>
  <c r="I268" i="91"/>
  <c r="H268" i="91"/>
  <c r="E268" i="91"/>
  <c r="D268" i="91"/>
  <c r="CE267" i="91"/>
  <c r="CD267" i="91"/>
  <c r="CC267" i="91"/>
  <c r="CB267" i="91"/>
  <c r="CA267" i="91"/>
  <c r="BZ267" i="91"/>
  <c r="BY267" i="91"/>
  <c r="BX267" i="91"/>
  <c r="BW267" i="91"/>
  <c r="BV267" i="91"/>
  <c r="BU267" i="91"/>
  <c r="BT267" i="91"/>
  <c r="BS267" i="91"/>
  <c r="BR267" i="91"/>
  <c r="BQ267" i="91"/>
  <c r="BP267" i="91"/>
  <c r="BO267" i="91" s="1"/>
  <c r="BN267" i="91"/>
  <c r="BM267" i="91"/>
  <c r="BL267" i="91"/>
  <c r="BK267" i="91"/>
  <c r="BJ267" i="91"/>
  <c r="BI267" i="91"/>
  <c r="BH267" i="91"/>
  <c r="BG267" i="91"/>
  <c r="BF267" i="91"/>
  <c r="BE267" i="91"/>
  <c r="BD267" i="91"/>
  <c r="BC267" i="91"/>
  <c r="BB267" i="91"/>
  <c r="BA267" i="91"/>
  <c r="AZ267" i="91"/>
  <c r="AX267" i="91"/>
  <c r="AW267" i="91"/>
  <c r="AV267" i="91"/>
  <c r="AU267" i="91"/>
  <c r="AT267" i="91"/>
  <c r="AR267" i="91"/>
  <c r="AQ267" i="91"/>
  <c r="AP267" i="91"/>
  <c r="AO267" i="91"/>
  <c r="AN267" i="91"/>
  <c r="AM267" i="91"/>
  <c r="AL267" i="91"/>
  <c r="AK267" i="91"/>
  <c r="AJ267" i="91"/>
  <c r="AH267" i="91"/>
  <c r="AG267" i="91"/>
  <c r="AF267" i="91"/>
  <c r="AE267" i="91"/>
  <c r="AD267" i="91"/>
  <c r="AC267" i="91"/>
  <c r="AB267" i="91"/>
  <c r="AA267" i="91"/>
  <c r="Z267" i="91"/>
  <c r="Y267" i="91"/>
  <c r="X267" i="91"/>
  <c r="W267" i="91"/>
  <c r="V267" i="91"/>
  <c r="U267" i="91"/>
  <c r="S267" i="91"/>
  <c r="Q267" i="91"/>
  <c r="P267" i="91"/>
  <c r="O267" i="91"/>
  <c r="N267" i="91"/>
  <c r="M267" i="91"/>
  <c r="L267" i="91"/>
  <c r="K267" i="91"/>
  <c r="J267" i="91"/>
  <c r="I267" i="91"/>
  <c r="H267" i="91" s="1"/>
  <c r="E267" i="91"/>
  <c r="D267" i="91"/>
  <c r="CJ266" i="91"/>
  <c r="BO266" i="91"/>
  <c r="AY266" i="91"/>
  <c r="CF267" i="91" s="1"/>
  <c r="AI266" i="91"/>
  <c r="T266" i="91"/>
  <c r="T265" i="91" s="1"/>
  <c r="T264" i="91" s="1"/>
  <c r="H266" i="91"/>
  <c r="CS265" i="91"/>
  <c r="CE265" i="91"/>
  <c r="CD265" i="91"/>
  <c r="CC265" i="91"/>
  <c r="CB265" i="91"/>
  <c r="CA265" i="91"/>
  <c r="BZ265" i="91"/>
  <c r="BY265" i="91"/>
  <c r="BX265" i="91"/>
  <c r="BW265" i="91"/>
  <c r="BV265" i="91"/>
  <c r="BU265" i="91"/>
  <c r="BT265" i="91"/>
  <c r="BS265" i="91"/>
  <c r="BR265" i="91"/>
  <c r="BQ265" i="91"/>
  <c r="BP265" i="91"/>
  <c r="BO265" i="91" s="1"/>
  <c r="BN265" i="91"/>
  <c r="BM265" i="91"/>
  <c r="BL265" i="91"/>
  <c r="BK265" i="91"/>
  <c r="BJ265" i="91"/>
  <c r="BI265" i="91"/>
  <c r="BH265" i="91"/>
  <c r="BG265" i="91"/>
  <c r="BF265" i="91"/>
  <c r="BE265" i="91"/>
  <c r="BD265" i="91"/>
  <c r="BC265" i="91"/>
  <c r="BB265" i="91"/>
  <c r="BA265" i="91"/>
  <c r="AZ265" i="91"/>
  <c r="AX265" i="91"/>
  <c r="AW265" i="91"/>
  <c r="AV265" i="91"/>
  <c r="AU265" i="91"/>
  <c r="AT265" i="91"/>
  <c r="AR265" i="91"/>
  <c r="AQ265" i="91"/>
  <c r="AP265" i="91"/>
  <c r="AO265" i="91"/>
  <c r="AN265" i="91"/>
  <c r="AM265" i="91"/>
  <c r="AL265" i="91"/>
  <c r="AK265" i="91"/>
  <c r="AJ265" i="91"/>
  <c r="AI265" i="91"/>
  <c r="AH265" i="91"/>
  <c r="AG265" i="91"/>
  <c r="AF265" i="91"/>
  <c r="AE265" i="91"/>
  <c r="AD265" i="91"/>
  <c r="AC265" i="91"/>
  <c r="AB265" i="91"/>
  <c r="AA265" i="91"/>
  <c r="Z265" i="91"/>
  <c r="Y265" i="91"/>
  <c r="X265" i="91"/>
  <c r="W265" i="91"/>
  <c r="W264" i="91" s="1"/>
  <c r="V265" i="91"/>
  <c r="U265" i="91"/>
  <c r="U264" i="91" s="1"/>
  <c r="S265" i="91"/>
  <c r="Q265" i="91"/>
  <c r="P265" i="91"/>
  <c r="O265" i="91"/>
  <c r="N265" i="91"/>
  <c r="M265" i="91"/>
  <c r="L265" i="91"/>
  <c r="K265" i="91"/>
  <c r="K264" i="91" s="1"/>
  <c r="H264" i="91" s="1"/>
  <c r="J265" i="91"/>
  <c r="I265" i="91"/>
  <c r="H265" i="91" s="1"/>
  <c r="E265" i="91"/>
  <c r="D265" i="91"/>
  <c r="CE264" i="91"/>
  <c r="CD264" i="91"/>
  <c r="CC264" i="91"/>
  <c r="CB264" i="91"/>
  <c r="CA264" i="91"/>
  <c r="BZ264" i="91"/>
  <c r="BY264" i="91"/>
  <c r="BX264" i="91"/>
  <c r="BW264" i="91"/>
  <c r="BV264" i="91"/>
  <c r="BU264" i="91"/>
  <c r="BT264" i="91"/>
  <c r="BS264" i="91"/>
  <c r="CJ264" i="91" s="1"/>
  <c r="BR264" i="91"/>
  <c r="BQ264" i="91"/>
  <c r="BP264" i="91"/>
  <c r="BN264" i="91"/>
  <c r="BM264" i="91"/>
  <c r="BL264" i="91"/>
  <c r="BK264" i="91"/>
  <c r="BJ264" i="91"/>
  <c r="BI264" i="91"/>
  <c r="BH264" i="91"/>
  <c r="BG264" i="91"/>
  <c r="BF264" i="91"/>
  <c r="BE264" i="91"/>
  <c r="BD264" i="91"/>
  <c r="BC264" i="91"/>
  <c r="BB264" i="91"/>
  <c r="BA264" i="91"/>
  <c r="AZ264" i="91"/>
  <c r="AX264" i="91"/>
  <c r="AW264" i="91"/>
  <c r="AV264" i="91"/>
  <c r="AU264" i="91"/>
  <c r="AT264" i="91"/>
  <c r="AR264" i="91"/>
  <c r="AQ264" i="91"/>
  <c r="AP264" i="91"/>
  <c r="AO264" i="91"/>
  <c r="AN264" i="91"/>
  <c r="AM264" i="91"/>
  <c r="AL264" i="91"/>
  <c r="AK264" i="91"/>
  <c r="AJ264" i="91"/>
  <c r="AI264" i="91"/>
  <c r="AH264" i="91"/>
  <c r="AG264" i="91"/>
  <c r="AF264" i="91"/>
  <c r="AE264" i="91"/>
  <c r="AD264" i="91"/>
  <c r="AC264" i="91"/>
  <c r="AB264" i="91"/>
  <c r="AA264" i="91"/>
  <c r="Z264" i="91"/>
  <c r="Y264" i="91"/>
  <c r="X264" i="91"/>
  <c r="V264" i="91"/>
  <c r="S264" i="91"/>
  <c r="Q264" i="91"/>
  <c r="P264" i="91"/>
  <c r="O264" i="91"/>
  <c r="N264" i="91"/>
  <c r="M264" i="91"/>
  <c r="L264" i="91"/>
  <c r="J264" i="91"/>
  <c r="I264" i="91"/>
  <c r="E264" i="91"/>
  <c r="D264" i="91"/>
  <c r="CJ263" i="91"/>
  <c r="BO263" i="91"/>
  <c r="AY263" i="91"/>
  <c r="AI263" i="91"/>
  <c r="AI262" i="91" s="1"/>
  <c r="AI261" i="91" s="1"/>
  <c r="T263" i="91"/>
  <c r="T262" i="91" s="1"/>
  <c r="T261" i="91" s="1"/>
  <c r="H263" i="91"/>
  <c r="CS262" i="91"/>
  <c r="CE262" i="91"/>
  <c r="CD262" i="91"/>
  <c r="CC262" i="91"/>
  <c r="CB262" i="91"/>
  <c r="CA262" i="91"/>
  <c r="BZ262" i="91"/>
  <c r="BY262" i="91"/>
  <c r="BX262" i="91"/>
  <c r="BW262" i="91"/>
  <c r="BV262" i="91"/>
  <c r="BU262" i="91"/>
  <c r="BT262" i="91"/>
  <c r="BS262" i="91"/>
  <c r="CJ262" i="91" s="1"/>
  <c r="BR262" i="91"/>
  <c r="BQ262" i="91"/>
  <c r="BP262" i="91"/>
  <c r="BN262" i="91"/>
  <c r="BM262" i="91"/>
  <c r="BL262" i="91"/>
  <c r="BK262" i="91"/>
  <c r="BJ262" i="91"/>
  <c r="BI262" i="91"/>
  <c r="BH262" i="91"/>
  <c r="BG262" i="91"/>
  <c r="BF262" i="91"/>
  <c r="BE262" i="91"/>
  <c r="BD262" i="91"/>
  <c r="BC262" i="91"/>
  <c r="BB262" i="91"/>
  <c r="BA262" i="91"/>
  <c r="AZ262" i="91"/>
  <c r="AX262" i="91"/>
  <c r="AW262" i="91"/>
  <c r="AV262" i="91"/>
  <c r="AU262" i="91"/>
  <c r="AT262" i="91"/>
  <c r="AR262" i="91"/>
  <c r="AQ262" i="91"/>
  <c r="AP262" i="91"/>
  <c r="AO262" i="91"/>
  <c r="AN262" i="91"/>
  <c r="AM262" i="91"/>
  <c r="AL262" i="91"/>
  <c r="AK262" i="91"/>
  <c r="AJ262" i="91"/>
  <c r="AH262" i="91"/>
  <c r="AG262" i="91"/>
  <c r="AF262" i="91"/>
  <c r="AE262" i="91"/>
  <c r="AD262" i="91"/>
  <c r="AC262" i="91"/>
  <c r="AB262" i="91"/>
  <c r="AA262" i="91"/>
  <c r="Z262" i="91"/>
  <c r="Y262" i="91"/>
  <c r="X262" i="91"/>
  <c r="W262" i="91"/>
  <c r="V262" i="91"/>
  <c r="U262" i="91"/>
  <c r="S262" i="91"/>
  <c r="Q262" i="91"/>
  <c r="P262" i="91"/>
  <c r="O262" i="91"/>
  <c r="N262" i="91"/>
  <c r="M262" i="91"/>
  <c r="L262" i="91"/>
  <c r="K262" i="91"/>
  <c r="J262" i="91"/>
  <c r="I262" i="91"/>
  <c r="H262" i="91"/>
  <c r="E262" i="91"/>
  <c r="D262" i="91"/>
  <c r="CE261" i="91"/>
  <c r="CD261" i="91"/>
  <c r="CC261" i="91"/>
  <c r="CB261" i="91"/>
  <c r="CA261" i="91"/>
  <c r="BZ261" i="91"/>
  <c r="BY261" i="91"/>
  <c r="BX261" i="91"/>
  <c r="BW261" i="91"/>
  <c r="BV261" i="91"/>
  <c r="BU261" i="91"/>
  <c r="BT261" i="91"/>
  <c r="BS261" i="91"/>
  <c r="BR261" i="91"/>
  <c r="BQ261" i="91"/>
  <c r="BP261" i="91"/>
  <c r="BO261" i="91" s="1"/>
  <c r="BN261" i="91"/>
  <c r="BM261" i="91"/>
  <c r="BL261" i="91"/>
  <c r="BK261" i="91"/>
  <c r="BJ261" i="91"/>
  <c r="BI261" i="91"/>
  <c r="BH261" i="91"/>
  <c r="BG261" i="91"/>
  <c r="BF261" i="91"/>
  <c r="BE261" i="91"/>
  <c r="BD261" i="91"/>
  <c r="BC261" i="91"/>
  <c r="BB261" i="91"/>
  <c r="BA261" i="91"/>
  <c r="AZ261" i="91"/>
  <c r="AX261" i="91"/>
  <c r="AW261" i="91"/>
  <c r="AV261" i="91"/>
  <c r="AU261" i="91"/>
  <c r="AT261" i="91"/>
  <c r="AR261" i="91"/>
  <c r="AQ261" i="91"/>
  <c r="AP261" i="91"/>
  <c r="AO261" i="91"/>
  <c r="AN261" i="91"/>
  <c r="AM261" i="91"/>
  <c r="AL261" i="91"/>
  <c r="AK261" i="91"/>
  <c r="AJ261" i="91"/>
  <c r="AH261" i="91"/>
  <c r="AG261" i="91"/>
  <c r="AF261" i="91"/>
  <c r="AE261" i="91"/>
  <c r="AD261" i="91"/>
  <c r="AC261" i="91"/>
  <c r="AB261" i="91"/>
  <c r="AA261" i="91"/>
  <c r="Z261" i="91"/>
  <c r="Y261" i="91"/>
  <c r="X261" i="91"/>
  <c r="W261" i="91"/>
  <c r="V261" i="91"/>
  <c r="U261" i="91"/>
  <c r="S261" i="91"/>
  <c r="Q261" i="91"/>
  <c r="P261" i="91"/>
  <c r="O261" i="91"/>
  <c r="N261" i="91"/>
  <c r="M261" i="91"/>
  <c r="L261" i="91"/>
  <c r="K261" i="91"/>
  <c r="J261" i="91"/>
  <c r="I261" i="91"/>
  <c r="H261" i="91" s="1"/>
  <c r="E261" i="91"/>
  <c r="D261" i="91"/>
  <c r="BO260" i="91"/>
  <c r="BC260" i="91"/>
  <c r="CJ260" i="91" s="1"/>
  <c r="AI260" i="91"/>
  <c r="AI259" i="91" s="1"/>
  <c r="AI258" i="91" s="1"/>
  <c r="T260" i="91"/>
  <c r="H260" i="91"/>
  <c r="CE259" i="91"/>
  <c r="CD259" i="91"/>
  <c r="CD258" i="91" s="1"/>
  <c r="CC259" i="91"/>
  <c r="CB259" i="91"/>
  <c r="CB258" i="91" s="1"/>
  <c r="CA259" i="91"/>
  <c r="BZ259" i="91"/>
  <c r="BZ258" i="91" s="1"/>
  <c r="BY259" i="91"/>
  <c r="BX259" i="91"/>
  <c r="BX258" i="91" s="1"/>
  <c r="BW259" i="91"/>
  <c r="BV259" i="91"/>
  <c r="BV258" i="91" s="1"/>
  <c r="BU259" i="91"/>
  <c r="BT259" i="91"/>
  <c r="BT258" i="91" s="1"/>
  <c r="BS259" i="91"/>
  <c r="BR259" i="91"/>
  <c r="BR258" i="91" s="1"/>
  <c r="BQ259" i="91"/>
  <c r="BP259" i="91"/>
  <c r="BO259" i="91" s="1"/>
  <c r="BN259" i="91"/>
  <c r="BN258" i="91" s="1"/>
  <c r="BM259" i="91"/>
  <c r="BM258" i="91" s="1"/>
  <c r="BL259" i="91"/>
  <c r="BL258" i="91" s="1"/>
  <c r="BK259" i="91"/>
  <c r="BJ259" i="91"/>
  <c r="BJ258" i="91" s="1"/>
  <c r="BI259" i="91"/>
  <c r="BI258" i="91" s="1"/>
  <c r="BH259" i="91"/>
  <c r="BH258" i="91" s="1"/>
  <c r="BG259" i="91"/>
  <c r="BF259" i="91"/>
  <c r="BF258" i="91" s="1"/>
  <c r="BE259" i="91"/>
  <c r="BE258" i="91" s="1"/>
  <c r="BD259" i="91"/>
  <c r="BD258" i="91" s="1"/>
  <c r="BB259" i="91"/>
  <c r="BB258" i="91" s="1"/>
  <c r="BA259" i="91"/>
  <c r="AZ259" i="91"/>
  <c r="AZ258" i="91" s="1"/>
  <c r="AX259" i="91"/>
  <c r="AX258" i="91" s="1"/>
  <c r="AV259" i="91"/>
  <c r="AU259" i="91"/>
  <c r="AT259" i="91"/>
  <c r="AR259" i="91"/>
  <c r="AQ259" i="91"/>
  <c r="AP259" i="91"/>
  <c r="AO259" i="91"/>
  <c r="AN259" i="91"/>
  <c r="AM259" i="91"/>
  <c r="AL259" i="91"/>
  <c r="AK259" i="91"/>
  <c r="AJ259" i="91"/>
  <c r="AH259" i="91"/>
  <c r="AG259" i="91"/>
  <c r="AF259" i="91"/>
  <c r="AE259" i="91"/>
  <c r="AD259" i="91"/>
  <c r="AC259" i="91"/>
  <c r="AB259" i="91"/>
  <c r="AA259" i="91"/>
  <c r="Z259" i="91"/>
  <c r="Y259" i="91"/>
  <c r="X259" i="91"/>
  <c r="W259" i="91"/>
  <c r="V259" i="91"/>
  <c r="U259" i="91"/>
  <c r="T259" i="91"/>
  <c r="S259" i="91"/>
  <c r="Q259" i="91"/>
  <c r="P259" i="91"/>
  <c r="O259" i="91"/>
  <c r="N259" i="91"/>
  <c r="M259" i="91"/>
  <c r="L259" i="91"/>
  <c r="K259" i="91"/>
  <c r="J259" i="91"/>
  <c r="I259" i="91"/>
  <c r="H259" i="91" s="1"/>
  <c r="E259" i="91"/>
  <c r="D259" i="91"/>
  <c r="CE258" i="91"/>
  <c r="CC258" i="91"/>
  <c r="CA258" i="91"/>
  <c r="BY258" i="91"/>
  <c r="BW258" i="91"/>
  <c r="BU258" i="91"/>
  <c r="BS258" i="91"/>
  <c r="BQ258" i="91"/>
  <c r="BK258" i="91"/>
  <c r="BG258" i="91"/>
  <c r="BA258" i="91"/>
  <c r="AW258" i="91"/>
  <c r="AV258" i="91"/>
  <c r="AU258" i="91"/>
  <c r="AT258" i="91"/>
  <c r="AR258" i="91"/>
  <c r="AQ258" i="91"/>
  <c r="AP258" i="91"/>
  <c r="AO258" i="91"/>
  <c r="AN258" i="91"/>
  <c r="AM258" i="91"/>
  <c r="AL258" i="91"/>
  <c r="AK258" i="91"/>
  <c r="AJ258" i="91"/>
  <c r="AH258" i="91"/>
  <c r="AG258" i="91"/>
  <c r="AF258" i="91"/>
  <c r="AE258" i="91"/>
  <c r="AD258" i="91"/>
  <c r="AC258" i="91"/>
  <c r="AB258" i="91"/>
  <c r="AA258" i="91"/>
  <c r="Z258" i="91"/>
  <c r="Y258" i="91"/>
  <c r="X258" i="91"/>
  <c r="W258" i="91"/>
  <c r="V258" i="91"/>
  <c r="U258" i="91"/>
  <c r="T258" i="91"/>
  <c r="S258" i="91"/>
  <c r="Q258" i="91"/>
  <c r="P258" i="91"/>
  <c r="O258" i="91"/>
  <c r="N258" i="91"/>
  <c r="M258" i="91"/>
  <c r="L258" i="91"/>
  <c r="K258" i="91"/>
  <c r="J258" i="91"/>
  <c r="I258" i="91"/>
  <c r="H258" i="91" s="1"/>
  <c r="E258" i="91"/>
  <c r="D258" i="91"/>
  <c r="CJ257" i="91"/>
  <c r="BO257" i="91"/>
  <c r="CF258" i="91" s="1"/>
  <c r="AY257" i="91"/>
  <c r="AI257" i="91"/>
  <c r="AI256" i="91" s="1"/>
  <c r="AI255" i="91" s="1"/>
  <c r="T257" i="91"/>
  <c r="H257" i="91"/>
  <c r="CS256" i="91"/>
  <c r="CE256" i="91"/>
  <c r="CD256" i="91"/>
  <c r="CC256" i="91"/>
  <c r="CB256" i="91"/>
  <c r="CA256" i="91"/>
  <c r="BZ256" i="91"/>
  <c r="BY256" i="91"/>
  <c r="BX256" i="91"/>
  <c r="BW256" i="91"/>
  <c r="BV256" i="91"/>
  <c r="BU256" i="91"/>
  <c r="BT256" i="91"/>
  <c r="BS256" i="91"/>
  <c r="BR256" i="91"/>
  <c r="BQ256" i="91"/>
  <c r="BP256" i="91"/>
  <c r="BO256" i="91"/>
  <c r="BN256" i="91"/>
  <c r="BM256" i="91"/>
  <c r="BL256" i="91"/>
  <c r="BK256" i="91"/>
  <c r="BJ256" i="91"/>
  <c r="BI256" i="91"/>
  <c r="BH256" i="91"/>
  <c r="BG256" i="91"/>
  <c r="BF256" i="91"/>
  <c r="BE256" i="91"/>
  <c r="BD256" i="91"/>
  <c r="BC256" i="91"/>
  <c r="BB256" i="91"/>
  <c r="BA256" i="91"/>
  <c r="AZ256" i="91"/>
  <c r="AY256" i="91"/>
  <c r="AX256" i="91"/>
  <c r="AW256" i="91"/>
  <c r="AV256" i="91"/>
  <c r="AU256" i="91"/>
  <c r="AT256" i="91"/>
  <c r="AR256" i="91"/>
  <c r="AQ256" i="91"/>
  <c r="AP256" i="91"/>
  <c r="AO256" i="91"/>
  <c r="AN256" i="91"/>
  <c r="AM256" i="91"/>
  <c r="AL256" i="91"/>
  <c r="AK256" i="91"/>
  <c r="AJ256" i="91"/>
  <c r="AH256" i="91"/>
  <c r="AH255" i="91" s="1"/>
  <c r="AG256" i="91"/>
  <c r="AG255" i="91" s="1"/>
  <c r="AF256" i="91"/>
  <c r="AF255" i="91" s="1"/>
  <c r="AE256" i="91"/>
  <c r="AD256" i="91"/>
  <c r="AD255" i="91" s="1"/>
  <c r="AC256" i="91"/>
  <c r="AC255" i="91" s="1"/>
  <c r="AB256" i="91"/>
  <c r="AB255" i="91" s="1"/>
  <c r="AA256" i="91"/>
  <c r="Z256" i="91"/>
  <c r="Z255" i="91" s="1"/>
  <c r="Y256" i="91"/>
  <c r="Y255" i="91" s="1"/>
  <c r="X256" i="91"/>
  <c r="X255" i="91" s="1"/>
  <c r="W256" i="91"/>
  <c r="V256" i="91"/>
  <c r="V255" i="91" s="1"/>
  <c r="U256" i="91"/>
  <c r="U255" i="91" s="1"/>
  <c r="T256" i="91"/>
  <c r="T255" i="91" s="1"/>
  <c r="S256" i="91"/>
  <c r="Q256" i="91"/>
  <c r="Q255" i="91" s="1"/>
  <c r="P256" i="91"/>
  <c r="P255" i="91" s="1"/>
  <c r="O256" i="91"/>
  <c r="O255" i="91" s="1"/>
  <c r="N256" i="91"/>
  <c r="M256" i="91"/>
  <c r="M255" i="91" s="1"/>
  <c r="L256" i="91"/>
  <c r="L255" i="91" s="1"/>
  <c r="K256" i="91"/>
  <c r="K255" i="91" s="1"/>
  <c r="J256" i="91"/>
  <c r="I256" i="91"/>
  <c r="E256" i="91"/>
  <c r="E255" i="91" s="1"/>
  <c r="D256" i="91"/>
  <c r="CE255" i="91"/>
  <c r="CD255" i="91"/>
  <c r="CC255" i="91"/>
  <c r="CB255" i="91"/>
  <c r="CA255" i="91"/>
  <c r="BZ255" i="91"/>
  <c r="BY255" i="91"/>
  <c r="BX255" i="91"/>
  <c r="BW255" i="91"/>
  <c r="BV255" i="91"/>
  <c r="BU255" i="91"/>
  <c r="BT255" i="91"/>
  <c r="BS255" i="91"/>
  <c r="BR255" i="91"/>
  <c r="BQ255" i="91"/>
  <c r="BP255" i="91"/>
  <c r="BO255" i="91"/>
  <c r="BN255" i="91"/>
  <c r="BM255" i="91"/>
  <c r="BL255" i="91"/>
  <c r="BK255" i="91"/>
  <c r="BJ255" i="91"/>
  <c r="BI255" i="91"/>
  <c r="BH255" i="91"/>
  <c r="BG255" i="91"/>
  <c r="BF255" i="91"/>
  <c r="BE255" i="91"/>
  <c r="BD255" i="91"/>
  <c r="BC255" i="91"/>
  <c r="BB255" i="91"/>
  <c r="BA255" i="91"/>
  <c r="AZ255" i="91"/>
  <c r="AY255" i="91"/>
  <c r="AX255" i="91"/>
  <c r="AW255" i="91"/>
  <c r="AV255" i="91"/>
  <c r="AU255" i="91"/>
  <c r="AT255" i="91"/>
  <c r="AR255" i="91"/>
  <c r="AQ255" i="91"/>
  <c r="AP255" i="91"/>
  <c r="AO255" i="91"/>
  <c r="AN255" i="91"/>
  <c r="AM255" i="91"/>
  <c r="AL255" i="91"/>
  <c r="AK255" i="91"/>
  <c r="AJ255" i="91"/>
  <c r="AE255" i="91"/>
  <c r="AA255" i="91"/>
  <c r="W255" i="91"/>
  <c r="S255" i="91"/>
  <c r="N255" i="91"/>
  <c r="J255" i="91"/>
  <c r="D255" i="91"/>
  <c r="CS254" i="91"/>
  <c r="BS254" i="91"/>
  <c r="BO254" i="91" s="1"/>
  <c r="BC254" i="91"/>
  <c r="AY254" i="91" s="1"/>
  <c r="AY253" i="91" s="1"/>
  <c r="AY252" i="91" s="1"/>
  <c r="AI254" i="91"/>
  <c r="T254" i="91"/>
  <c r="H254" i="91"/>
  <c r="CE253" i="91"/>
  <c r="CD253" i="91"/>
  <c r="CD252" i="91" s="1"/>
  <c r="CC253" i="91"/>
  <c r="CB253" i="91"/>
  <c r="CB252" i="91" s="1"/>
  <c r="CA253" i="91"/>
  <c r="BZ253" i="91"/>
  <c r="BZ252" i="91" s="1"/>
  <c r="BY253" i="91"/>
  <c r="BX253" i="91"/>
  <c r="BX252" i="91" s="1"/>
  <c r="BW253" i="91"/>
  <c r="BV253" i="91"/>
  <c r="BV252" i="91" s="1"/>
  <c r="BU253" i="91"/>
  <c r="BT253" i="91"/>
  <c r="BT252" i="91" s="1"/>
  <c r="BR253" i="91"/>
  <c r="BQ253" i="91"/>
  <c r="BP253" i="91"/>
  <c r="BN253" i="91"/>
  <c r="BN252" i="91" s="1"/>
  <c r="BM253" i="91"/>
  <c r="BL253" i="91"/>
  <c r="BL252" i="91" s="1"/>
  <c r="BK253" i="91"/>
  <c r="BJ253" i="91"/>
  <c r="BJ252" i="91" s="1"/>
  <c r="BI253" i="91"/>
  <c r="BH253" i="91"/>
  <c r="BH252" i="91" s="1"/>
  <c r="BG253" i="91"/>
  <c r="BF253" i="91"/>
  <c r="BF252" i="91" s="1"/>
  <c r="BE253" i="91"/>
  <c r="BD253" i="91"/>
  <c r="BD252" i="91" s="1"/>
  <c r="BB253" i="91"/>
  <c r="BA253" i="91"/>
  <c r="AZ253" i="91"/>
  <c r="AX253" i="91"/>
  <c r="AX252" i="91" s="1"/>
  <c r="AW253" i="91"/>
  <c r="AV253" i="91"/>
  <c r="AV252" i="91" s="1"/>
  <c r="AU253" i="91"/>
  <c r="AT253" i="91"/>
  <c r="AT252" i="91" s="1"/>
  <c r="AR253" i="91"/>
  <c r="AQ253" i="91"/>
  <c r="AQ252" i="91" s="1"/>
  <c r="AP253" i="91"/>
  <c r="AO253" i="91"/>
  <c r="AO252" i="91" s="1"/>
  <c r="AN253" i="91"/>
  <c r="AM253" i="91"/>
  <c r="AM252" i="91" s="1"/>
  <c r="AL253" i="91"/>
  <c r="AK253" i="91"/>
  <c r="AK252" i="91" s="1"/>
  <c r="AJ253" i="91"/>
  <c r="AI253" i="91"/>
  <c r="AI252" i="91" s="1"/>
  <c r="AH253" i="91"/>
  <c r="AG253" i="91"/>
  <c r="AG252" i="91" s="1"/>
  <c r="AF253" i="91"/>
  <c r="AE253" i="91"/>
  <c r="AE252" i="91" s="1"/>
  <c r="AD253" i="91"/>
  <c r="AC253" i="91"/>
  <c r="AC252" i="91" s="1"/>
  <c r="AB253" i="91"/>
  <c r="AA253" i="91"/>
  <c r="AA252" i="91" s="1"/>
  <c r="Z253" i="91"/>
  <c r="Y253" i="91"/>
  <c r="Y252" i="91" s="1"/>
  <c r="X253" i="91"/>
  <c r="W253" i="91"/>
  <c r="W252" i="91" s="1"/>
  <c r="V253" i="91"/>
  <c r="U253" i="91"/>
  <c r="U252" i="91" s="1"/>
  <c r="T253" i="91"/>
  <c r="S253" i="91"/>
  <c r="S252" i="91" s="1"/>
  <c r="Q253" i="91"/>
  <c r="P253" i="91"/>
  <c r="P252" i="91" s="1"/>
  <c r="O253" i="91"/>
  <c r="N253" i="91"/>
  <c r="N252" i="91" s="1"/>
  <c r="M253" i="91"/>
  <c r="L253" i="91"/>
  <c r="L252" i="91" s="1"/>
  <c r="K253" i="91"/>
  <c r="J253" i="91"/>
  <c r="J252" i="91" s="1"/>
  <c r="I253" i="91"/>
  <c r="E253" i="91"/>
  <c r="E252" i="91" s="1"/>
  <c r="D253" i="91"/>
  <c r="CE252" i="91"/>
  <c r="CC252" i="91"/>
  <c r="CA252" i="91"/>
  <c r="BY252" i="91"/>
  <c r="BW252" i="91"/>
  <c r="BU252" i="91"/>
  <c r="BR252" i="91"/>
  <c r="BQ252" i="91"/>
  <c r="BP252" i="91"/>
  <c r="BM252" i="91"/>
  <c r="BK252" i="91"/>
  <c r="BI252" i="91"/>
  <c r="BG252" i="91"/>
  <c r="BE252" i="91"/>
  <c r="BB252" i="91"/>
  <c r="BA252" i="91"/>
  <c r="AZ252" i="91"/>
  <c r="AW252" i="91"/>
  <c r="AU252" i="91"/>
  <c r="AR252" i="91"/>
  <c r="AP252" i="91"/>
  <c r="AN252" i="91"/>
  <c r="AL252" i="91"/>
  <c r="AJ252" i="91"/>
  <c r="AH252" i="91"/>
  <c r="AF252" i="91"/>
  <c r="AD252" i="91"/>
  <c r="AB252" i="91"/>
  <c r="Z252" i="91"/>
  <c r="X252" i="91"/>
  <c r="V252" i="91"/>
  <c r="T252" i="91"/>
  <c r="Q252" i="91"/>
  <c r="O252" i="91"/>
  <c r="M252" i="91"/>
  <c r="K252" i="91"/>
  <c r="I252" i="91"/>
  <c r="D252" i="91"/>
  <c r="CS251" i="91"/>
  <c r="CS250" i="91" s="1"/>
  <c r="BO251" i="91"/>
  <c r="BC251" i="91"/>
  <c r="BC250" i="91" s="1"/>
  <c r="AI251" i="91"/>
  <c r="AI250" i="91" s="1"/>
  <c r="AI249" i="91" s="1"/>
  <c r="T251" i="91"/>
  <c r="H251" i="91"/>
  <c r="CE250" i="91"/>
  <c r="CD250" i="91"/>
  <c r="CC250" i="91"/>
  <c r="CB250" i="91"/>
  <c r="CA250" i="91"/>
  <c r="BZ250" i="91"/>
  <c r="BY250" i="91"/>
  <c r="BX250" i="91"/>
  <c r="BW250" i="91"/>
  <c r="BV250" i="91"/>
  <c r="BU250" i="91"/>
  <c r="BT250" i="91"/>
  <c r="BS250" i="91"/>
  <c r="BR250" i="91"/>
  <c r="BQ250" i="91"/>
  <c r="BP250" i="91"/>
  <c r="BO250" i="91" s="1"/>
  <c r="BN250" i="91"/>
  <c r="BM250" i="91"/>
  <c r="BL250" i="91"/>
  <c r="BK250" i="91"/>
  <c r="BJ250" i="91"/>
  <c r="BI250" i="91"/>
  <c r="BH250" i="91"/>
  <c r="BG250" i="91"/>
  <c r="BF250" i="91"/>
  <c r="BE250" i="91"/>
  <c r="BD250" i="91"/>
  <c r="BB250" i="91"/>
  <c r="BA250" i="91"/>
  <c r="AZ250" i="91"/>
  <c r="AX250" i="91"/>
  <c r="AW250" i="91"/>
  <c r="AV250" i="91"/>
  <c r="AU250" i="91"/>
  <c r="AT250" i="91"/>
  <c r="AR250" i="91"/>
  <c r="AQ250" i="91"/>
  <c r="AP250" i="91"/>
  <c r="AO250" i="91"/>
  <c r="AN250" i="91"/>
  <c r="AM250" i="91"/>
  <c r="AL250" i="91"/>
  <c r="AK250" i="91"/>
  <c r="AJ250" i="91"/>
  <c r="AH250" i="91"/>
  <c r="AH249" i="91" s="1"/>
  <c r="AG250" i="91"/>
  <c r="AF250" i="91"/>
  <c r="AF249" i="91" s="1"/>
  <c r="AE250" i="91"/>
  <c r="AD250" i="91"/>
  <c r="AD249" i="91" s="1"/>
  <c r="AC250" i="91"/>
  <c r="AB250" i="91"/>
  <c r="AB249" i="91" s="1"/>
  <c r="AA250" i="91"/>
  <c r="Z250" i="91"/>
  <c r="Z249" i="91" s="1"/>
  <c r="Y250" i="91"/>
  <c r="X250" i="91"/>
  <c r="X249" i="91" s="1"/>
  <c r="W250" i="91"/>
  <c r="V250" i="91"/>
  <c r="V249" i="91" s="1"/>
  <c r="U250" i="91"/>
  <c r="T250" i="91"/>
  <c r="T249" i="91" s="1"/>
  <c r="S250" i="91"/>
  <c r="Q250" i="91"/>
  <c r="Q249" i="91" s="1"/>
  <c r="P250" i="91"/>
  <c r="O250" i="91"/>
  <c r="O249" i="91" s="1"/>
  <c r="N250" i="91"/>
  <c r="M250" i="91"/>
  <c r="M249" i="91" s="1"/>
  <c r="L250" i="91"/>
  <c r="K250" i="91"/>
  <c r="K249" i="91" s="1"/>
  <c r="J250" i="91"/>
  <c r="I250" i="91"/>
  <c r="H250" i="91" s="1"/>
  <c r="E250" i="91"/>
  <c r="D250" i="91"/>
  <c r="D249" i="91" s="1"/>
  <c r="CE249" i="91"/>
  <c r="CD249" i="91"/>
  <c r="CC249" i="91"/>
  <c r="CB249" i="91"/>
  <c r="CA249" i="91"/>
  <c r="BZ249" i="91"/>
  <c r="BY249" i="91"/>
  <c r="BX249" i="91"/>
  <c r="BW249" i="91"/>
  <c r="BV249" i="91"/>
  <c r="BU249" i="91"/>
  <c r="BT249" i="91"/>
  <c r="BS249" i="91"/>
  <c r="BR249" i="91"/>
  <c r="BQ249" i="91"/>
  <c r="BP249" i="91"/>
  <c r="BO249" i="91" s="1"/>
  <c r="BN249" i="91"/>
  <c r="BM249" i="91"/>
  <c r="BL249" i="91"/>
  <c r="BK249" i="91"/>
  <c r="BJ249" i="91"/>
  <c r="BI249" i="91"/>
  <c r="BH249" i="91"/>
  <c r="BG249" i="91"/>
  <c r="BF249" i="91"/>
  <c r="BE249" i="91"/>
  <c r="BD249" i="91"/>
  <c r="BB249" i="91"/>
  <c r="BA249" i="91"/>
  <c r="AZ249" i="91"/>
  <c r="AX249" i="91"/>
  <c r="AW249" i="91"/>
  <c r="AV249" i="91"/>
  <c r="AU249" i="91"/>
  <c r="AT249" i="91"/>
  <c r="AR249" i="91"/>
  <c r="AQ249" i="91"/>
  <c r="AP249" i="91"/>
  <c r="AO249" i="91"/>
  <c r="AN249" i="91"/>
  <c r="AM249" i="91"/>
  <c r="AL249" i="91"/>
  <c r="AK249" i="91"/>
  <c r="AJ249" i="91"/>
  <c r="AG249" i="91"/>
  <c r="AE249" i="91"/>
  <c r="AC249" i="91"/>
  <c r="AA249" i="91"/>
  <c r="Y249" i="91"/>
  <c r="W249" i="91"/>
  <c r="U249" i="91"/>
  <c r="S249" i="91"/>
  <c r="P249" i="91"/>
  <c r="N249" i="91"/>
  <c r="L249" i="91"/>
  <c r="J249" i="91"/>
  <c r="E249" i="91"/>
  <c r="CS248" i="91"/>
  <c r="CJ248" i="91"/>
  <c r="BO248" i="91"/>
  <c r="AY248" i="91"/>
  <c r="AY247" i="91" s="1"/>
  <c r="AY246" i="91" s="1"/>
  <c r="AI248" i="91"/>
  <c r="AI247" i="91" s="1"/>
  <c r="AI246" i="91" s="1"/>
  <c r="T248" i="91"/>
  <c r="T247" i="91" s="1"/>
  <c r="T246" i="91" s="1"/>
  <c r="H248" i="91"/>
  <c r="CE247" i="91"/>
  <c r="CE246" i="91" s="1"/>
  <c r="CD247" i="91"/>
  <c r="CC247" i="91"/>
  <c r="CC246" i="91" s="1"/>
  <c r="CB247" i="91"/>
  <c r="CA247" i="91"/>
  <c r="CA246" i="91" s="1"/>
  <c r="BZ247" i="91"/>
  <c r="BY247" i="91"/>
  <c r="BY246" i="91" s="1"/>
  <c r="BX247" i="91"/>
  <c r="BW247" i="91"/>
  <c r="BW246" i="91" s="1"/>
  <c r="BV247" i="91"/>
  <c r="BU247" i="91"/>
  <c r="BU246" i="91" s="1"/>
  <c r="BT247" i="91"/>
  <c r="BS247" i="91"/>
  <c r="CJ247" i="91" s="1"/>
  <c r="BR247" i="91"/>
  <c r="BQ247" i="91"/>
  <c r="BQ246" i="91" s="1"/>
  <c r="BP247" i="91"/>
  <c r="BO247" i="91"/>
  <c r="BN247" i="91"/>
  <c r="BM247" i="91"/>
  <c r="BM246" i="91" s="1"/>
  <c r="BL247" i="91"/>
  <c r="BK247" i="91"/>
  <c r="BK246" i="91" s="1"/>
  <c r="BJ247" i="91"/>
  <c r="BI247" i="91"/>
  <c r="BI246" i="91" s="1"/>
  <c r="BH247" i="91"/>
  <c r="BG247" i="91"/>
  <c r="BG246" i="91" s="1"/>
  <c r="BF247" i="91"/>
  <c r="BE247" i="91"/>
  <c r="BE246" i="91" s="1"/>
  <c r="BD247" i="91"/>
  <c r="BC247" i="91"/>
  <c r="BC246" i="91" s="1"/>
  <c r="BB247" i="91"/>
  <c r="BA247" i="91"/>
  <c r="BA246" i="91" s="1"/>
  <c r="AZ247" i="91"/>
  <c r="AX247" i="91"/>
  <c r="AX246" i="91" s="1"/>
  <c r="AW247" i="91"/>
  <c r="AV247" i="91"/>
  <c r="AV246" i="91" s="1"/>
  <c r="AU247" i="91"/>
  <c r="AT247" i="91"/>
  <c r="AT246" i="91" s="1"/>
  <c r="AS247" i="91"/>
  <c r="AR247" i="91"/>
  <c r="AR246" i="91" s="1"/>
  <c r="AQ247" i="91"/>
  <c r="AP247" i="91"/>
  <c r="AP246" i="91" s="1"/>
  <c r="AO247" i="91"/>
  <c r="AN247" i="91"/>
  <c r="AN246" i="91" s="1"/>
  <c r="AM247" i="91"/>
  <c r="AL247" i="91"/>
  <c r="AL246" i="91" s="1"/>
  <c r="AK247" i="91"/>
  <c r="AJ247" i="91"/>
  <c r="AJ246" i="91" s="1"/>
  <c r="AH247" i="91"/>
  <c r="AH246" i="91" s="1"/>
  <c r="AG247" i="91"/>
  <c r="AF247" i="91"/>
  <c r="AF246" i="91" s="1"/>
  <c r="AE247" i="91"/>
  <c r="AD247" i="91"/>
  <c r="AD246" i="91" s="1"/>
  <c r="AC247" i="91"/>
  <c r="AB247" i="91"/>
  <c r="AB246" i="91" s="1"/>
  <c r="AA247" i="91"/>
  <c r="Z247" i="91"/>
  <c r="Z246" i="91" s="1"/>
  <c r="Y247" i="91"/>
  <c r="X247" i="91"/>
  <c r="X246" i="91" s="1"/>
  <c r="W247" i="91"/>
  <c r="V247" i="91"/>
  <c r="V246" i="91" s="1"/>
  <c r="U247" i="91"/>
  <c r="S247" i="91"/>
  <c r="S246" i="91" s="1"/>
  <c r="Q247" i="91"/>
  <c r="P247" i="91"/>
  <c r="P246" i="91" s="1"/>
  <c r="O247" i="91"/>
  <c r="N247" i="91"/>
  <c r="N246" i="91" s="1"/>
  <c r="M247" i="91"/>
  <c r="L247" i="91"/>
  <c r="L246" i="91" s="1"/>
  <c r="K247" i="91"/>
  <c r="J247" i="91"/>
  <c r="J246" i="91" s="1"/>
  <c r="I247" i="91"/>
  <c r="H247" i="91"/>
  <c r="E247" i="91"/>
  <c r="D247" i="91"/>
  <c r="D246" i="91" s="1"/>
  <c r="CD246" i="91"/>
  <c r="CB246" i="91"/>
  <c r="BZ246" i="91"/>
  <c r="BX246" i="91"/>
  <c r="BV246" i="91"/>
  <c r="BT246" i="91"/>
  <c r="BR246" i="91"/>
  <c r="BP246" i="91"/>
  <c r="BN246" i="91"/>
  <c r="BL246" i="91"/>
  <c r="BJ246" i="91"/>
  <c r="BH246" i="91"/>
  <c r="BF246" i="91"/>
  <c r="BD246" i="91"/>
  <c r="BB246" i="91"/>
  <c r="AZ246" i="91"/>
  <c r="AW246" i="91"/>
  <c r="AU246" i="91"/>
  <c r="AS246" i="91"/>
  <c r="AQ246" i="91"/>
  <c r="AO246" i="91"/>
  <c r="AM246" i="91"/>
  <c r="AK246" i="91"/>
  <c r="AG246" i="91"/>
  <c r="AE246" i="91"/>
  <c r="AC246" i="91"/>
  <c r="AA246" i="91"/>
  <c r="Y246" i="91"/>
  <c r="W246" i="91"/>
  <c r="U246" i="91"/>
  <c r="Q246" i="91"/>
  <c r="O246" i="91"/>
  <c r="M246" i="91"/>
  <c r="K246" i="91"/>
  <c r="I246" i="91"/>
  <c r="E246" i="91"/>
  <c r="CR245" i="91"/>
  <c r="BO245" i="91"/>
  <c r="AY245" i="91"/>
  <c r="AI245" i="91"/>
  <c r="T245" i="91"/>
  <c r="H245" i="91"/>
  <c r="CR244" i="91"/>
  <c r="BO244" i="91"/>
  <c r="AY244" i="91"/>
  <c r="AI244" i="91"/>
  <c r="T244" i="91"/>
  <c r="H244" i="91"/>
  <c r="CE243" i="91"/>
  <c r="CD243" i="91"/>
  <c r="CC243" i="91"/>
  <c r="CB243" i="91"/>
  <c r="CA243" i="91"/>
  <c r="CR243" i="91" s="1"/>
  <c r="BZ243" i="91"/>
  <c r="BY243" i="91"/>
  <c r="BY242" i="91" s="1"/>
  <c r="BX243" i="91"/>
  <c r="BW243" i="91"/>
  <c r="BW242" i="91" s="1"/>
  <c r="BV243" i="91"/>
  <c r="BU243" i="91"/>
  <c r="BU242" i="91" s="1"/>
  <c r="BT243" i="91"/>
  <c r="BS243" i="91"/>
  <c r="BR243" i="91"/>
  <c r="BQ243" i="91"/>
  <c r="BP243" i="91"/>
  <c r="BN243" i="91"/>
  <c r="BM243" i="91"/>
  <c r="BL243" i="91"/>
  <c r="BK243" i="91"/>
  <c r="BJ243" i="91"/>
  <c r="BI243" i="91"/>
  <c r="BH243" i="91"/>
  <c r="BG243" i="91"/>
  <c r="BF243" i="91"/>
  <c r="BE243" i="91"/>
  <c r="BD243" i="91"/>
  <c r="BC243" i="91"/>
  <c r="BB243" i="91"/>
  <c r="BA243" i="91"/>
  <c r="AZ243" i="91"/>
  <c r="AX243" i="91"/>
  <c r="AW243" i="91"/>
  <c r="AV243" i="91"/>
  <c r="AU243" i="91"/>
  <c r="AT243" i="91"/>
  <c r="AR243" i="91"/>
  <c r="AQ243" i="91"/>
  <c r="AP243" i="91"/>
  <c r="AO243" i="91"/>
  <c r="AN243" i="91"/>
  <c r="AM243" i="91"/>
  <c r="AL243" i="91"/>
  <c r="AK243" i="91"/>
  <c r="AJ243" i="91"/>
  <c r="AI243" i="91"/>
  <c r="AH243" i="91"/>
  <c r="AG243" i="91"/>
  <c r="AF243" i="91"/>
  <c r="AE243" i="91"/>
  <c r="AD243" i="91"/>
  <c r="AC243" i="91"/>
  <c r="AB243" i="91"/>
  <c r="AA243" i="91"/>
  <c r="Z243" i="91"/>
  <c r="Y243" i="91"/>
  <c r="X243" i="91"/>
  <c r="W243" i="91"/>
  <c r="V243" i="91"/>
  <c r="U243" i="91"/>
  <c r="S243" i="91"/>
  <c r="Q243" i="91"/>
  <c r="P243" i="91"/>
  <c r="O243" i="91"/>
  <c r="N243" i="91"/>
  <c r="M243" i="91"/>
  <c r="L243" i="91"/>
  <c r="K243" i="91"/>
  <c r="J243" i="91"/>
  <c r="I243" i="91"/>
  <c r="H243" i="91"/>
  <c r="E243" i="91"/>
  <c r="D243" i="91"/>
  <c r="CE242" i="91"/>
  <c r="CD242" i="91"/>
  <c r="CC242" i="91"/>
  <c r="CB242" i="91"/>
  <c r="BZ242" i="91"/>
  <c r="BX242" i="91"/>
  <c r="BV242" i="91"/>
  <c r="BT242" i="91"/>
  <c r="BS242" i="91"/>
  <c r="BR242" i="91"/>
  <c r="BQ242" i="91"/>
  <c r="BP242" i="91"/>
  <c r="BN242" i="91"/>
  <c r="BM242" i="91"/>
  <c r="BL242" i="91"/>
  <c r="BK242" i="91"/>
  <c r="BJ242" i="91"/>
  <c r="BI242" i="91"/>
  <c r="BH242" i="91"/>
  <c r="BG242" i="91"/>
  <c r="BF242" i="91"/>
  <c r="BE242" i="91"/>
  <c r="BD242" i="91"/>
  <c r="BC242" i="91"/>
  <c r="BB242" i="91"/>
  <c r="BA242" i="91"/>
  <c r="AZ242" i="91"/>
  <c r="AX242" i="91"/>
  <c r="AW242" i="91"/>
  <c r="AV242" i="91"/>
  <c r="AU242" i="91"/>
  <c r="AT242" i="91"/>
  <c r="AR242" i="91"/>
  <c r="AQ242" i="91"/>
  <c r="AP242" i="91"/>
  <c r="AO242" i="91"/>
  <c r="AN242" i="91"/>
  <c r="AM242" i="91"/>
  <c r="AL242" i="91"/>
  <c r="AK242" i="91"/>
  <c r="AJ242" i="91"/>
  <c r="AI242" i="91"/>
  <c r="AH242" i="91"/>
  <c r="AG242" i="91"/>
  <c r="AF242" i="91"/>
  <c r="AE242" i="91"/>
  <c r="AD242" i="91"/>
  <c r="AC242" i="91"/>
  <c r="AB242" i="91"/>
  <c r="AA242" i="91"/>
  <c r="Z242" i="91"/>
  <c r="Y242" i="91"/>
  <c r="X242" i="91"/>
  <c r="W242" i="91"/>
  <c r="V242" i="91"/>
  <c r="U242" i="91"/>
  <c r="S242" i="91"/>
  <c r="Q242" i="91"/>
  <c r="P242" i="91"/>
  <c r="O242" i="91"/>
  <c r="N242" i="91"/>
  <c r="M242" i="91"/>
  <c r="L242" i="91"/>
  <c r="K242" i="91"/>
  <c r="J242" i="91"/>
  <c r="I242" i="91"/>
  <c r="H242" i="91" s="1"/>
  <c r="E242" i="91"/>
  <c r="D242" i="91"/>
  <c r="CS241" i="91"/>
  <c r="CA241" i="91"/>
  <c r="CR241" i="91" s="1"/>
  <c r="AY241" i="91"/>
  <c r="AI241" i="91"/>
  <c r="T241" i="91"/>
  <c r="T240" i="91" s="1"/>
  <c r="H241" i="91"/>
  <c r="CE240" i="91"/>
  <c r="CD240" i="91"/>
  <c r="CC240" i="91"/>
  <c r="CB240" i="91"/>
  <c r="BZ240" i="91"/>
  <c r="BY240" i="91"/>
  <c r="BX240" i="91"/>
  <c r="BW240" i="91"/>
  <c r="BV240" i="91"/>
  <c r="BU240" i="91"/>
  <c r="BT240" i="91"/>
  <c r="BS240" i="91"/>
  <c r="BR240" i="91"/>
  <c r="BQ240" i="91"/>
  <c r="BP240" i="91"/>
  <c r="BN240" i="91"/>
  <c r="BM240" i="91"/>
  <c r="BL240" i="91"/>
  <c r="BK240" i="91"/>
  <c r="BJ240" i="91"/>
  <c r="BI240" i="91"/>
  <c r="BH240" i="91"/>
  <c r="BG240" i="91"/>
  <c r="BF240" i="91"/>
  <c r="BE240" i="91"/>
  <c r="BD240" i="91"/>
  <c r="BC240" i="91"/>
  <c r="BB240" i="91"/>
  <c r="BA240" i="91"/>
  <c r="AZ240" i="91"/>
  <c r="AY240" i="91"/>
  <c r="AX240" i="91"/>
  <c r="AW240" i="91"/>
  <c r="AV240" i="91"/>
  <c r="AU240" i="91"/>
  <c r="AT240" i="91"/>
  <c r="AS240" i="91"/>
  <c r="AR240" i="91"/>
  <c r="AQ240" i="91"/>
  <c r="AP240" i="91"/>
  <c r="AO240" i="91"/>
  <c r="AN240" i="91"/>
  <c r="AM240" i="91"/>
  <c r="AL240" i="91"/>
  <c r="AK240" i="91"/>
  <c r="AJ240" i="91"/>
  <c r="AI240" i="91"/>
  <c r="AH240" i="91"/>
  <c r="AG240" i="91"/>
  <c r="AF240" i="91"/>
  <c r="AE240" i="91"/>
  <c r="AD240" i="91"/>
  <c r="AC240" i="91"/>
  <c r="AB240" i="91"/>
  <c r="AA240" i="91"/>
  <c r="Z240" i="91"/>
  <c r="Y240" i="91"/>
  <c r="X240" i="91"/>
  <c r="W240" i="91"/>
  <c r="V240" i="91"/>
  <c r="U240" i="91"/>
  <c r="S240" i="91"/>
  <c r="Q240" i="91"/>
  <c r="P240" i="91"/>
  <c r="O240" i="91"/>
  <c r="N240" i="91"/>
  <c r="M240" i="91"/>
  <c r="L240" i="91"/>
  <c r="K240" i="91"/>
  <c r="J240" i="91"/>
  <c r="I240" i="91"/>
  <c r="H240" i="91" s="1"/>
  <c r="F240" i="91"/>
  <c r="E240" i="91"/>
  <c r="D240" i="91"/>
  <c r="CS239" i="91"/>
  <c r="CA239" i="91"/>
  <c r="BK239" i="91"/>
  <c r="AY239" i="91" s="1"/>
  <c r="AY238" i="91" s="1"/>
  <c r="AY237" i="91" s="1"/>
  <c r="AI239" i="91"/>
  <c r="T239" i="91"/>
  <c r="H239" i="91"/>
  <c r="CS238" i="91"/>
  <c r="CE238" i="91"/>
  <c r="CD238" i="91"/>
  <c r="CD237" i="91" s="1"/>
  <c r="CC238" i="91"/>
  <c r="CB238" i="91"/>
  <c r="CB237" i="91" s="1"/>
  <c r="CA238" i="91"/>
  <c r="BZ238" i="91"/>
  <c r="BZ237" i="91" s="1"/>
  <c r="BY238" i="91"/>
  <c r="BX238" i="91"/>
  <c r="BX237" i="91" s="1"/>
  <c r="BW238" i="91"/>
  <c r="BV238" i="91"/>
  <c r="BV237" i="91" s="1"/>
  <c r="BU238" i="91"/>
  <c r="BT238" i="91"/>
  <c r="BT237" i="91" s="1"/>
  <c r="BS238" i="91"/>
  <c r="BR238" i="91"/>
  <c r="BR237" i="91" s="1"/>
  <c r="BQ238" i="91"/>
  <c r="BP238" i="91"/>
  <c r="BN238" i="91"/>
  <c r="BN237" i="91" s="1"/>
  <c r="BM238" i="91"/>
  <c r="BL238" i="91"/>
  <c r="BL237" i="91" s="1"/>
  <c r="BK238" i="91"/>
  <c r="BJ238" i="91"/>
  <c r="BJ237" i="91" s="1"/>
  <c r="BI238" i="91"/>
  <c r="BH238" i="91"/>
  <c r="BH237" i="91" s="1"/>
  <c r="BG238" i="91"/>
  <c r="BF238" i="91"/>
  <c r="BF237" i="91" s="1"/>
  <c r="BE238" i="91"/>
  <c r="BD238" i="91"/>
  <c r="BD237" i="91" s="1"/>
  <c r="BC238" i="91"/>
  <c r="BB238" i="91"/>
  <c r="BB237" i="91" s="1"/>
  <c r="BA238" i="91"/>
  <c r="AZ238" i="91"/>
  <c r="AZ237" i="91" s="1"/>
  <c r="AX238" i="91"/>
  <c r="AX237" i="91" s="1"/>
  <c r="AW238" i="91"/>
  <c r="AV238" i="91"/>
  <c r="AV237" i="91" s="1"/>
  <c r="AU238" i="91"/>
  <c r="AT238" i="91"/>
  <c r="AT237" i="91" s="1"/>
  <c r="AS238" i="91"/>
  <c r="AR238" i="91"/>
  <c r="AR237" i="91" s="1"/>
  <c r="AQ238" i="91"/>
  <c r="AP238" i="91"/>
  <c r="AP237" i="91" s="1"/>
  <c r="AO238" i="91"/>
  <c r="AN238" i="91"/>
  <c r="AN237" i="91" s="1"/>
  <c r="AM238" i="91"/>
  <c r="AL238" i="91"/>
  <c r="AL237" i="91" s="1"/>
  <c r="AK238" i="91"/>
  <c r="AJ238" i="91"/>
  <c r="AJ237" i="91" s="1"/>
  <c r="AI238" i="91"/>
  <c r="AH238" i="91"/>
  <c r="AH237" i="91" s="1"/>
  <c r="AG238" i="91"/>
  <c r="AF238" i="91"/>
  <c r="AF237" i="91" s="1"/>
  <c r="AE238" i="91"/>
  <c r="AD238" i="91"/>
  <c r="AD237" i="91" s="1"/>
  <c r="AC238" i="91"/>
  <c r="AB238" i="91"/>
  <c r="AB237" i="91" s="1"/>
  <c r="AA238" i="91"/>
  <c r="Z238" i="91"/>
  <c r="Z237" i="91" s="1"/>
  <c r="Y238" i="91"/>
  <c r="X238" i="91"/>
  <c r="X237" i="91" s="1"/>
  <c r="W238" i="91"/>
  <c r="V238" i="91"/>
  <c r="V237" i="91" s="1"/>
  <c r="U238" i="91"/>
  <c r="T238" i="91"/>
  <c r="T237" i="91" s="1"/>
  <c r="S238" i="91"/>
  <c r="Q238" i="91"/>
  <c r="Q237" i="91" s="1"/>
  <c r="P238" i="91"/>
  <c r="O238" i="91"/>
  <c r="O237" i="91" s="1"/>
  <c r="N238" i="91"/>
  <c r="M238" i="91"/>
  <c r="M237" i="91" s="1"/>
  <c r="L238" i="91"/>
  <c r="K238" i="91"/>
  <c r="K237" i="91" s="1"/>
  <c r="J238" i="91"/>
  <c r="I238" i="91"/>
  <c r="H238" i="91" s="1"/>
  <c r="CE237" i="91"/>
  <c r="CC237" i="91"/>
  <c r="BY237" i="91"/>
  <c r="BW237" i="91"/>
  <c r="BU237" i="91"/>
  <c r="BS237" i="91"/>
  <c r="BQ237" i="91"/>
  <c r="BM237" i="91"/>
  <c r="BK237" i="91"/>
  <c r="BI237" i="91"/>
  <c r="BG237" i="91"/>
  <c r="BE237" i="91"/>
  <c r="BC237" i="91"/>
  <c r="BA237" i="91"/>
  <c r="AW237" i="91"/>
  <c r="AU237" i="91"/>
  <c r="AS237" i="91"/>
  <c r="AQ237" i="91"/>
  <c r="AO237" i="91"/>
  <c r="AM237" i="91"/>
  <c r="AK237" i="91"/>
  <c r="AI237" i="91"/>
  <c r="AG237" i="91"/>
  <c r="AE237" i="91"/>
  <c r="AC237" i="91"/>
  <c r="AA237" i="91"/>
  <c r="Y237" i="91"/>
  <c r="W237" i="91"/>
  <c r="U237" i="91"/>
  <c r="U236" i="91" s="1"/>
  <c r="S237" i="91"/>
  <c r="P237" i="91"/>
  <c r="N237" i="91"/>
  <c r="L237" i="91"/>
  <c r="J237" i="91"/>
  <c r="F237" i="91"/>
  <c r="E237" i="91"/>
  <c r="D237" i="91"/>
  <c r="CR236" i="91"/>
  <c r="BO236" i="91"/>
  <c r="AY236" i="91"/>
  <c r="AI236" i="91"/>
  <c r="H236" i="91"/>
  <c r="CE235" i="91"/>
  <c r="CE234" i="91" s="1"/>
  <c r="CD235" i="91"/>
  <c r="CC235" i="91"/>
  <c r="CC234" i="91" s="1"/>
  <c r="CB235" i="91"/>
  <c r="CA235" i="91"/>
  <c r="BZ235" i="91"/>
  <c r="BY235" i="91"/>
  <c r="BY234" i="91" s="1"/>
  <c r="BX235" i="91"/>
  <c r="BW235" i="91"/>
  <c r="BW234" i="91" s="1"/>
  <c r="BV235" i="91"/>
  <c r="BU235" i="91"/>
  <c r="BU234" i="91" s="1"/>
  <c r="BT235" i="91"/>
  <c r="BS235" i="91"/>
  <c r="BS234" i="91" s="1"/>
  <c r="BR235" i="91"/>
  <c r="BQ235" i="91"/>
  <c r="BQ234" i="91" s="1"/>
  <c r="BP235" i="91"/>
  <c r="BO235" i="91" s="1"/>
  <c r="CF236" i="91" s="1"/>
  <c r="BN235" i="91"/>
  <c r="BM235" i="91"/>
  <c r="BM234" i="91" s="1"/>
  <c r="BL235" i="91"/>
  <c r="BK235" i="91"/>
  <c r="BK234" i="91" s="1"/>
  <c r="BJ235" i="91"/>
  <c r="BI235" i="91"/>
  <c r="BI234" i="91" s="1"/>
  <c r="BH235" i="91"/>
  <c r="BG235" i="91"/>
  <c r="BG234" i="91" s="1"/>
  <c r="BF235" i="91"/>
  <c r="BE235" i="91"/>
  <c r="BE234" i="91" s="1"/>
  <c r="BD235" i="91"/>
  <c r="BC235" i="91"/>
  <c r="BC234" i="91" s="1"/>
  <c r="BB235" i="91"/>
  <c r="BA235" i="91"/>
  <c r="BA234" i="91" s="1"/>
  <c r="AZ235" i="91"/>
  <c r="AY235" i="91"/>
  <c r="AY234" i="91" s="1"/>
  <c r="AX235" i="91"/>
  <c r="AW235" i="91"/>
  <c r="AW234" i="91" s="1"/>
  <c r="AV235" i="91"/>
  <c r="AU235" i="91"/>
  <c r="AU234" i="91" s="1"/>
  <c r="AT235" i="91"/>
  <c r="AS235" i="91"/>
  <c r="AS234" i="91" s="1"/>
  <c r="AR235" i="91"/>
  <c r="AQ235" i="91"/>
  <c r="AQ234" i="91" s="1"/>
  <c r="AP235" i="91"/>
  <c r="AO235" i="91"/>
  <c r="AO234" i="91" s="1"/>
  <c r="AN235" i="91"/>
  <c r="AM235" i="91"/>
  <c r="AM234" i="91" s="1"/>
  <c r="AL235" i="91"/>
  <c r="AK235" i="91"/>
  <c r="AK234" i="91" s="1"/>
  <c r="AJ235" i="91"/>
  <c r="AI235" i="91"/>
  <c r="AI234" i="91" s="1"/>
  <c r="AH235" i="91"/>
  <c r="AG235" i="91"/>
  <c r="AG234" i="91" s="1"/>
  <c r="AF235" i="91"/>
  <c r="AE235" i="91"/>
  <c r="AE234" i="91" s="1"/>
  <c r="AD235" i="91"/>
  <c r="AC235" i="91"/>
  <c r="AC234" i="91" s="1"/>
  <c r="AB235" i="91"/>
  <c r="AA235" i="91"/>
  <c r="AA234" i="91" s="1"/>
  <c r="Z235" i="91"/>
  <c r="Y235" i="91"/>
  <c r="Y234" i="91" s="1"/>
  <c r="X235" i="91"/>
  <c r="W235" i="91"/>
  <c r="W234" i="91" s="1"/>
  <c r="V235" i="91"/>
  <c r="S235" i="91"/>
  <c r="S234" i="91" s="1"/>
  <c r="Q235" i="91"/>
  <c r="P235" i="91"/>
  <c r="P234" i="91" s="1"/>
  <c r="O235" i="91"/>
  <c r="N235" i="91"/>
  <c r="N234" i="91" s="1"/>
  <c r="M235" i="91"/>
  <c r="L235" i="91"/>
  <c r="L234" i="91" s="1"/>
  <c r="K235" i="91"/>
  <c r="J235" i="91"/>
  <c r="J234" i="91" s="1"/>
  <c r="I235" i="91"/>
  <c r="H235" i="91"/>
  <c r="G235" i="91"/>
  <c r="F235" i="91"/>
  <c r="F234" i="91" s="1"/>
  <c r="E235" i="91"/>
  <c r="D235" i="91"/>
  <c r="D234" i="91" s="1"/>
  <c r="CD234" i="91"/>
  <c r="CB234" i="91"/>
  <c r="BZ234" i="91"/>
  <c r="BX234" i="91"/>
  <c r="BV234" i="91"/>
  <c r="BT234" i="91"/>
  <c r="BR234" i="91"/>
  <c r="BP234" i="91"/>
  <c r="BN234" i="91"/>
  <c r="BL234" i="91"/>
  <c r="BJ234" i="91"/>
  <c r="BH234" i="91"/>
  <c r="BF234" i="91"/>
  <c r="BD234" i="91"/>
  <c r="BB234" i="91"/>
  <c r="AZ234" i="91"/>
  <c r="AX234" i="91"/>
  <c r="AV234" i="91"/>
  <c r="AT234" i="91"/>
  <c r="AR234" i="91"/>
  <c r="AP234" i="91"/>
  <c r="AN234" i="91"/>
  <c r="AL234" i="91"/>
  <c r="AJ234" i="91"/>
  <c r="AH234" i="91"/>
  <c r="AF234" i="91"/>
  <c r="AD234" i="91"/>
  <c r="AB234" i="91"/>
  <c r="Z234" i="91"/>
  <c r="X234" i="91"/>
  <c r="V234" i="91"/>
  <c r="Q234" i="91"/>
  <c r="O234" i="91"/>
  <c r="M234" i="91"/>
  <c r="K234" i="91"/>
  <c r="I234" i="91"/>
  <c r="H234" i="91" s="1"/>
  <c r="G234" i="91"/>
  <c r="E234" i="91"/>
  <c r="CJ233" i="91"/>
  <c r="BO233" i="91"/>
  <c r="CF234" i="91" s="1"/>
  <c r="AY233" i="91"/>
  <c r="AI233" i="91"/>
  <c r="AI232" i="91" s="1"/>
  <c r="T233" i="91"/>
  <c r="H233" i="91"/>
  <c r="CE232" i="91"/>
  <c r="CD232" i="91"/>
  <c r="CC232" i="91"/>
  <c r="CB232" i="91"/>
  <c r="CA232" i="91"/>
  <c r="BZ232" i="91"/>
  <c r="BY232" i="91"/>
  <c r="BX232" i="91"/>
  <c r="BW232" i="91"/>
  <c r="BV232" i="91"/>
  <c r="BU232" i="91"/>
  <c r="BT232" i="91"/>
  <c r="BS232" i="91"/>
  <c r="BR232" i="91"/>
  <c r="BQ232" i="91"/>
  <c r="BP232" i="91"/>
  <c r="BO232" i="91" s="1"/>
  <c r="BN232" i="91"/>
  <c r="BM232" i="91"/>
  <c r="BL232" i="91"/>
  <c r="BK232" i="91"/>
  <c r="BJ232" i="91"/>
  <c r="BI232" i="91"/>
  <c r="BH232" i="91"/>
  <c r="BG232" i="91"/>
  <c r="BF232" i="91"/>
  <c r="BE232" i="91"/>
  <c r="BD232" i="91"/>
  <c r="BC232" i="91"/>
  <c r="BB232" i="91"/>
  <c r="BA232" i="91"/>
  <c r="AZ232" i="91"/>
  <c r="AY232" i="91"/>
  <c r="AX232" i="91"/>
  <c r="AW232" i="91"/>
  <c r="AV232" i="91"/>
  <c r="AU232" i="91"/>
  <c r="AT232" i="91"/>
  <c r="AS232" i="91"/>
  <c r="AR232" i="91"/>
  <c r="AQ232" i="91"/>
  <c r="AP232" i="91"/>
  <c r="AO232" i="91"/>
  <c r="AN232" i="91"/>
  <c r="AM232" i="91"/>
  <c r="AL232" i="91"/>
  <c r="AK232" i="91"/>
  <c r="AJ232" i="91"/>
  <c r="AH232" i="91"/>
  <c r="AG232" i="91"/>
  <c r="AF232" i="91"/>
  <c r="AE232" i="91"/>
  <c r="AD232" i="91"/>
  <c r="AC232" i="91"/>
  <c r="AB232" i="91"/>
  <c r="AA232" i="91"/>
  <c r="Z232" i="91"/>
  <c r="Y232" i="91"/>
  <c r="X232" i="91"/>
  <c r="W232" i="91"/>
  <c r="V232" i="91"/>
  <c r="U232" i="91"/>
  <c r="T232" i="91"/>
  <c r="S232" i="91"/>
  <c r="Q232" i="91"/>
  <c r="P232" i="91"/>
  <c r="O232" i="91"/>
  <c r="N232" i="91"/>
  <c r="M232" i="91"/>
  <c r="L232" i="91"/>
  <c r="K232" i="91"/>
  <c r="J232" i="91"/>
  <c r="I232" i="91"/>
  <c r="H232" i="91" s="1"/>
  <c r="F232" i="91"/>
  <c r="E232" i="91"/>
  <c r="D232" i="91"/>
  <c r="CW231" i="91"/>
  <c r="BO231" i="91"/>
  <c r="AY231" i="91"/>
  <c r="CF232" i="91" s="1"/>
  <c r="AI231" i="91"/>
  <c r="T231" i="91"/>
  <c r="H231" i="91"/>
  <c r="CW230" i="91"/>
  <c r="BO230" i="91"/>
  <c r="AY230" i="91"/>
  <c r="AI230" i="91"/>
  <c r="T230" i="91"/>
  <c r="H230" i="91"/>
  <c r="CW229" i="91"/>
  <c r="BO229" i="91"/>
  <c r="AY229" i="91"/>
  <c r="AI229" i="91"/>
  <c r="T229" i="91"/>
  <c r="H229" i="91"/>
  <c r="CW228" i="91"/>
  <c r="BO228" i="91"/>
  <c r="AY228" i="91"/>
  <c r="AI228" i="91"/>
  <c r="T228" i="91"/>
  <c r="H228" i="91"/>
  <c r="CW227" i="91"/>
  <c r="BO227" i="91"/>
  <c r="AY227" i="91"/>
  <c r="AI227" i="91"/>
  <c r="T227" i="91"/>
  <c r="H227" i="91"/>
  <c r="CW226" i="91"/>
  <c r="BO226" i="91"/>
  <c r="AY226" i="91"/>
  <c r="AI226" i="91"/>
  <c r="T226" i="91"/>
  <c r="H226" i="91"/>
  <c r="CW225" i="91"/>
  <c r="BO225" i="91"/>
  <c r="AY225" i="91"/>
  <c r="AI225" i="91"/>
  <c r="T225" i="91"/>
  <c r="H225" i="91"/>
  <c r="CW224" i="91"/>
  <c r="BO224" i="91"/>
  <c r="AY224" i="91"/>
  <c r="AI224" i="91"/>
  <c r="T224" i="91"/>
  <c r="H224" i="91"/>
  <c r="CW223" i="91"/>
  <c r="BO223" i="91"/>
  <c r="AY223" i="91"/>
  <c r="AI223" i="91"/>
  <c r="T223" i="91"/>
  <c r="H223" i="91"/>
  <c r="CW222" i="91"/>
  <c r="BO222" i="91"/>
  <c r="AY222" i="91"/>
  <c r="AI222" i="91"/>
  <c r="T222" i="91"/>
  <c r="H222" i="91"/>
  <c r="CE221" i="91"/>
  <c r="CW221" i="91" s="1"/>
  <c r="AY221" i="91"/>
  <c r="AI221" i="91"/>
  <c r="T221" i="91"/>
  <c r="H221" i="91"/>
  <c r="CS220" i="91"/>
  <c r="CS219" i="91" s="1"/>
  <c r="CE220" i="91"/>
  <c r="CW220" i="91" s="1"/>
  <c r="AY220" i="91"/>
  <c r="AI220" i="91"/>
  <c r="T220" i="91"/>
  <c r="H220" i="91"/>
  <c r="CD219" i="91"/>
  <c r="CD218" i="91" s="1"/>
  <c r="CC219" i="91"/>
  <c r="CB219" i="91"/>
  <c r="CB218" i="91" s="1"/>
  <c r="CA219" i="91"/>
  <c r="BZ219" i="91"/>
  <c r="BZ218" i="91" s="1"/>
  <c r="BY219" i="91"/>
  <c r="BX219" i="91"/>
  <c r="BX218" i="91" s="1"/>
  <c r="BW219" i="91"/>
  <c r="BV219" i="91"/>
  <c r="BV218" i="91" s="1"/>
  <c r="BU219" i="91"/>
  <c r="BT219" i="91"/>
  <c r="BT218" i="91" s="1"/>
  <c r="BS219" i="91"/>
  <c r="BR219" i="91"/>
  <c r="BR218" i="91" s="1"/>
  <c r="BQ219" i="91"/>
  <c r="BP219" i="91"/>
  <c r="BN219" i="91"/>
  <c r="BN218" i="91" s="1"/>
  <c r="BM219" i="91"/>
  <c r="BL219" i="91"/>
  <c r="BL218" i="91" s="1"/>
  <c r="BK219" i="91"/>
  <c r="BJ219" i="91"/>
  <c r="BJ218" i="91" s="1"/>
  <c r="BI219" i="91"/>
  <c r="BH219" i="91"/>
  <c r="BH218" i="91" s="1"/>
  <c r="BG219" i="91"/>
  <c r="BF219" i="91"/>
  <c r="BF218" i="91" s="1"/>
  <c r="BE219" i="91"/>
  <c r="BD219" i="91"/>
  <c r="BD218" i="91" s="1"/>
  <c r="BC219" i="91"/>
  <c r="BB219" i="91"/>
  <c r="BB218" i="91" s="1"/>
  <c r="BA219" i="91"/>
  <c r="AZ219" i="91"/>
  <c r="AZ218" i="91" s="1"/>
  <c r="AX219" i="91"/>
  <c r="AX218" i="91" s="1"/>
  <c r="AW219" i="91"/>
  <c r="AV219" i="91"/>
  <c r="AV218" i="91" s="1"/>
  <c r="AU219" i="91"/>
  <c r="AT219" i="91"/>
  <c r="AT218" i="91" s="1"/>
  <c r="AS219" i="91"/>
  <c r="AR219" i="91"/>
  <c r="AR218" i="91" s="1"/>
  <c r="AQ219" i="91"/>
  <c r="AP219" i="91"/>
  <c r="AP218" i="91" s="1"/>
  <c r="AO219" i="91"/>
  <c r="AN219" i="91"/>
  <c r="AN218" i="91" s="1"/>
  <c r="AM219" i="91"/>
  <c r="AL219" i="91"/>
  <c r="AL218" i="91" s="1"/>
  <c r="AK219" i="91"/>
  <c r="AJ219" i="91"/>
  <c r="AJ218" i="91" s="1"/>
  <c r="AH219" i="91"/>
  <c r="AH218" i="91" s="1"/>
  <c r="AG219" i="91"/>
  <c r="AF219" i="91"/>
  <c r="AF218" i="91" s="1"/>
  <c r="AE219" i="91"/>
  <c r="AD219" i="91"/>
  <c r="AD218" i="91" s="1"/>
  <c r="AC219" i="91"/>
  <c r="AB219" i="91"/>
  <c r="AB218" i="91" s="1"/>
  <c r="AA219" i="91"/>
  <c r="Z219" i="91"/>
  <c r="Z218" i="91" s="1"/>
  <c r="Y219" i="91"/>
  <c r="X219" i="91"/>
  <c r="X218" i="91" s="1"/>
  <c r="W219" i="91"/>
  <c r="V219" i="91"/>
  <c r="V218" i="91" s="1"/>
  <c r="U219" i="91"/>
  <c r="T219" i="91"/>
  <c r="T218" i="91" s="1"/>
  <c r="S219" i="91"/>
  <c r="Q219" i="91"/>
  <c r="Q218" i="91" s="1"/>
  <c r="P219" i="91"/>
  <c r="O219" i="91"/>
  <c r="O218" i="91" s="1"/>
  <c r="N219" i="91"/>
  <c r="M219" i="91"/>
  <c r="M218" i="91" s="1"/>
  <c r="L219" i="91"/>
  <c r="K219" i="91"/>
  <c r="K218" i="91" s="1"/>
  <c r="J219" i="91"/>
  <c r="I219" i="91"/>
  <c r="H219" i="91" s="1"/>
  <c r="E219" i="91"/>
  <c r="E218" i="91" s="1"/>
  <c r="D219" i="91"/>
  <c r="CC218" i="91"/>
  <c r="CA218" i="91"/>
  <c r="BY218" i="91"/>
  <c r="BW218" i="91"/>
  <c r="BU218" i="91"/>
  <c r="BS218" i="91"/>
  <c r="BQ218" i="91"/>
  <c r="BM218" i="91"/>
  <c r="BK218" i="91"/>
  <c r="BI218" i="91"/>
  <c r="BG218" i="91"/>
  <c r="BE218" i="91"/>
  <c r="BC218" i="91"/>
  <c r="BA218" i="91"/>
  <c r="AW218" i="91"/>
  <c r="AU218" i="91"/>
  <c r="AS218" i="91"/>
  <c r="AQ218" i="91"/>
  <c r="AO218" i="91"/>
  <c r="AM218" i="91"/>
  <c r="AK218" i="91"/>
  <c r="AG218" i="91"/>
  <c r="AE218" i="91"/>
  <c r="AC218" i="91"/>
  <c r="AA218" i="91"/>
  <c r="Y218" i="91"/>
  <c r="W218" i="91"/>
  <c r="U218" i="91"/>
  <c r="S218" i="91"/>
  <c r="P218" i="91"/>
  <c r="N218" i="91"/>
  <c r="L218" i="91"/>
  <c r="J218" i="91"/>
  <c r="D218" i="91"/>
  <c r="CS217" i="91"/>
  <c r="BO217" i="91"/>
  <c r="BN217" i="91"/>
  <c r="CW217" i="91" s="1"/>
  <c r="T217" i="91"/>
  <c r="H217" i="91"/>
  <c r="CE216" i="91"/>
  <c r="CD216" i="91"/>
  <c r="CC216" i="91"/>
  <c r="CB216" i="91"/>
  <c r="CA216" i="91"/>
  <c r="BZ216" i="91"/>
  <c r="BY216" i="91"/>
  <c r="BX216" i="91"/>
  <c r="BW216" i="91"/>
  <c r="BV216" i="91"/>
  <c r="BU216" i="91"/>
  <c r="BT216" i="91"/>
  <c r="BS216" i="91"/>
  <c r="BR216" i="91"/>
  <c r="BQ216" i="91"/>
  <c r="BP216" i="91"/>
  <c r="BO216" i="91" s="1"/>
  <c r="BM216" i="91"/>
  <c r="BL216" i="91"/>
  <c r="BK216" i="91"/>
  <c r="BJ216" i="91"/>
  <c r="BI216" i="91"/>
  <c r="BH216" i="91"/>
  <c r="BG216" i="91"/>
  <c r="BF216" i="91"/>
  <c r="BE216" i="91"/>
  <c r="BD216" i="91"/>
  <c r="BC216" i="91"/>
  <c r="BB216" i="91"/>
  <c r="BA216" i="91"/>
  <c r="AZ216" i="91"/>
  <c r="AX216" i="91"/>
  <c r="AW216" i="91"/>
  <c r="AV216" i="91"/>
  <c r="AU216" i="91"/>
  <c r="AT216" i="91"/>
  <c r="AS216" i="91"/>
  <c r="AR216" i="91"/>
  <c r="AQ216" i="91"/>
  <c r="AP216" i="91"/>
  <c r="AO216" i="91"/>
  <c r="AN216" i="91"/>
  <c r="AM216" i="91"/>
  <c r="AL216" i="91"/>
  <c r="AK216" i="91"/>
  <c r="AJ216" i="91"/>
  <c r="AI216" i="91"/>
  <c r="AH216" i="91"/>
  <c r="AG216" i="91"/>
  <c r="AF216" i="91"/>
  <c r="AE216" i="91"/>
  <c r="AD216" i="91"/>
  <c r="AC216" i="91"/>
  <c r="AB216" i="91"/>
  <c r="AA216" i="91"/>
  <c r="Z216" i="91"/>
  <c r="Y216" i="91"/>
  <c r="X216" i="91"/>
  <c r="W216" i="91"/>
  <c r="V216" i="91"/>
  <c r="U216" i="91"/>
  <c r="T216" i="91"/>
  <c r="S216" i="91"/>
  <c r="Q216" i="91"/>
  <c r="P216" i="91"/>
  <c r="O216" i="91"/>
  <c r="N216" i="91"/>
  <c r="M216" i="91"/>
  <c r="L216" i="91"/>
  <c r="K216" i="91"/>
  <c r="J216" i="91"/>
  <c r="I216" i="91"/>
  <c r="H216" i="91"/>
  <c r="E216" i="91"/>
  <c r="D216" i="91"/>
  <c r="BO215" i="91"/>
  <c r="AY215" i="91"/>
  <c r="AI215" i="91"/>
  <c r="T215" i="91"/>
  <c r="H215" i="91"/>
  <c r="BO214" i="91"/>
  <c r="AY214" i="91"/>
  <c r="AI214" i="91"/>
  <c r="T214" i="91"/>
  <c r="H214" i="91"/>
  <c r="BO213" i="91"/>
  <c r="AY213" i="91"/>
  <c r="AI213" i="91"/>
  <c r="T213" i="91"/>
  <c r="H213" i="91"/>
  <c r="BO212" i="91"/>
  <c r="AY212" i="91"/>
  <c r="AI212" i="91"/>
  <c r="T212" i="91"/>
  <c r="H212" i="91"/>
  <c r="BO211" i="91"/>
  <c r="AY211" i="91"/>
  <c r="AI211" i="91"/>
  <c r="T211" i="91"/>
  <c r="H211" i="91"/>
  <c r="BO210" i="91"/>
  <c r="AY210" i="91"/>
  <c r="AI210" i="91"/>
  <c r="T210" i="91"/>
  <c r="H210" i="91"/>
  <c r="BO209" i="91"/>
  <c r="AY209" i="91"/>
  <c r="AI209" i="91"/>
  <c r="T209" i="91"/>
  <c r="H209" i="91"/>
  <c r="BO208" i="91"/>
  <c r="AY208" i="91"/>
  <c r="AI208" i="91"/>
  <c r="T208" i="91"/>
  <c r="H208" i="91"/>
  <c r="BO207" i="91"/>
  <c r="AY207" i="91"/>
  <c r="AI207" i="91"/>
  <c r="T207" i="91"/>
  <c r="H207" i="91"/>
  <c r="BO206" i="91"/>
  <c r="AY206" i="91"/>
  <c r="AI206" i="91"/>
  <c r="T206" i="91"/>
  <c r="H206" i="91"/>
  <c r="BO205" i="91"/>
  <c r="AY205" i="91"/>
  <c r="AI205" i="91"/>
  <c r="T205" i="91"/>
  <c r="H205" i="91"/>
  <c r="BO204" i="91"/>
  <c r="AY204" i="91"/>
  <c r="AI204" i="91"/>
  <c r="T204" i="91"/>
  <c r="H204" i="91"/>
  <c r="BO203" i="91"/>
  <c r="AY203" i="91"/>
  <c r="AI203" i="91"/>
  <c r="T203" i="91"/>
  <c r="H203" i="91"/>
  <c r="BO202" i="91"/>
  <c r="AY202" i="91"/>
  <c r="AI202" i="91"/>
  <c r="T202" i="91"/>
  <c r="H202" i="91"/>
  <c r="BO201" i="91"/>
  <c r="AY201" i="91"/>
  <c r="AI201" i="91"/>
  <c r="T201" i="91"/>
  <c r="H201" i="91"/>
  <c r="BO200" i="91"/>
  <c r="AY200" i="91"/>
  <c r="AI200" i="91"/>
  <c r="T200" i="91"/>
  <c r="H200" i="91"/>
  <c r="CW199" i="91"/>
  <c r="BO199" i="91"/>
  <c r="CF200" i="91" s="1"/>
  <c r="AY199" i="91"/>
  <c r="AI199" i="91"/>
  <c r="T199" i="91"/>
  <c r="H199" i="91"/>
  <c r="CE198" i="91"/>
  <c r="BO198" i="91" s="1"/>
  <c r="BN198" i="91"/>
  <c r="AY198" i="91" s="1"/>
  <c r="AI198" i="91"/>
  <c r="T198" i="91"/>
  <c r="H198" i="91"/>
  <c r="CW197" i="91"/>
  <c r="BO197" i="91"/>
  <c r="AY197" i="91"/>
  <c r="T197" i="91"/>
  <c r="H197" i="91"/>
  <c r="CE196" i="91"/>
  <c r="CW196" i="91" s="1"/>
  <c r="AY196" i="91"/>
  <c r="T196" i="91"/>
  <c r="H196" i="91"/>
  <c r="CW195" i="91"/>
  <c r="BO195" i="91"/>
  <c r="AY195" i="91"/>
  <c r="AI195" i="91"/>
  <c r="AI194" i="91" s="1"/>
  <c r="AI193" i="91" s="1"/>
  <c r="CD194" i="91"/>
  <c r="CD193" i="91" s="1"/>
  <c r="CC194" i="91"/>
  <c r="CB194" i="91"/>
  <c r="CB193" i="91" s="1"/>
  <c r="CA194" i="91"/>
  <c r="BZ194" i="91"/>
  <c r="BZ193" i="91" s="1"/>
  <c r="BY194" i="91"/>
  <c r="BX194" i="91"/>
  <c r="BX193" i="91" s="1"/>
  <c r="BW194" i="91"/>
  <c r="BV194" i="91"/>
  <c r="BV193" i="91" s="1"/>
  <c r="BU194" i="91"/>
  <c r="BT194" i="91"/>
  <c r="BT193" i="91" s="1"/>
  <c r="BS194" i="91"/>
  <c r="BR194" i="91"/>
  <c r="BR193" i="91" s="1"/>
  <c r="BQ194" i="91"/>
  <c r="BP194" i="91"/>
  <c r="BN194" i="91"/>
  <c r="BM194" i="91"/>
  <c r="BL194" i="91"/>
  <c r="BL193" i="91" s="1"/>
  <c r="BK194" i="91"/>
  <c r="BJ194" i="91"/>
  <c r="BJ193" i="91" s="1"/>
  <c r="BI194" i="91"/>
  <c r="BH194" i="91"/>
  <c r="BH193" i="91" s="1"/>
  <c r="BG194" i="91"/>
  <c r="BF194" i="91"/>
  <c r="BF193" i="91" s="1"/>
  <c r="BE194" i="91"/>
  <c r="BD194" i="91"/>
  <c r="BD193" i="91" s="1"/>
  <c r="BC194" i="91"/>
  <c r="BB194" i="91"/>
  <c r="BB193" i="91" s="1"/>
  <c r="BA194" i="91"/>
  <c r="AZ194" i="91"/>
  <c r="AZ193" i="91" s="1"/>
  <c r="AX194" i="91"/>
  <c r="AX193" i="91" s="1"/>
  <c r="AW194" i="91"/>
  <c r="AV194" i="91"/>
  <c r="AV193" i="91" s="1"/>
  <c r="AU194" i="91"/>
  <c r="AT194" i="91"/>
  <c r="AT193" i="91" s="1"/>
  <c r="AS194" i="91"/>
  <c r="AR194" i="91"/>
  <c r="AR193" i="91" s="1"/>
  <c r="AQ194" i="91"/>
  <c r="AP194" i="91"/>
  <c r="AP193" i="91" s="1"/>
  <c r="AO194" i="91"/>
  <c r="AN194" i="91"/>
  <c r="AN193" i="91" s="1"/>
  <c r="AM194" i="91"/>
  <c r="AL194" i="91"/>
  <c r="AL193" i="91" s="1"/>
  <c r="AK194" i="91"/>
  <c r="AJ194" i="91"/>
  <c r="AJ193" i="91" s="1"/>
  <c r="AH194" i="91"/>
  <c r="AH193" i="91" s="1"/>
  <c r="AG194" i="91"/>
  <c r="AF194" i="91"/>
  <c r="AF193" i="91" s="1"/>
  <c r="AE194" i="91"/>
  <c r="AD194" i="91"/>
  <c r="AD193" i="91" s="1"/>
  <c r="AC194" i="91"/>
  <c r="AB194" i="91"/>
  <c r="AB193" i="91" s="1"/>
  <c r="AA194" i="91"/>
  <c r="Z194" i="91"/>
  <c r="Z193" i="91" s="1"/>
  <c r="Y194" i="91"/>
  <c r="X194" i="91"/>
  <c r="X193" i="91" s="1"/>
  <c r="W194" i="91"/>
  <c r="V194" i="91"/>
  <c r="V193" i="91" s="1"/>
  <c r="U194" i="91"/>
  <c r="T194" i="91"/>
  <c r="T193" i="91" s="1"/>
  <c r="S194" i="91"/>
  <c r="Q194" i="91"/>
  <c r="Q193" i="91" s="1"/>
  <c r="P194" i="91"/>
  <c r="O194" i="91"/>
  <c r="O193" i="91" s="1"/>
  <c r="N194" i="91"/>
  <c r="M194" i="91"/>
  <c r="M193" i="91" s="1"/>
  <c r="L194" i="91"/>
  <c r="K194" i="91"/>
  <c r="K193" i="91" s="1"/>
  <c r="J194" i="91"/>
  <c r="I194" i="91"/>
  <c r="H194" i="91" s="1"/>
  <c r="E194" i="91"/>
  <c r="E193" i="91" s="1"/>
  <c r="D194" i="91"/>
  <c r="CC193" i="91"/>
  <c r="CA193" i="91"/>
  <c r="BY193" i="91"/>
  <c r="BW193" i="91"/>
  <c r="BU193" i="91"/>
  <c r="BS193" i="91"/>
  <c r="BQ193" i="91"/>
  <c r="BM193" i="91"/>
  <c r="BK193" i="91"/>
  <c r="BI193" i="91"/>
  <c r="BG193" i="91"/>
  <c r="BE193" i="91"/>
  <c r="BC193" i="91"/>
  <c r="BA193" i="91"/>
  <c r="AW193" i="91"/>
  <c r="AU193" i="91"/>
  <c r="AS193" i="91"/>
  <c r="AQ193" i="91"/>
  <c r="AO193" i="91"/>
  <c r="AM193" i="91"/>
  <c r="AK193" i="91"/>
  <c r="AG193" i="91"/>
  <c r="AE193" i="91"/>
  <c r="AC193" i="91"/>
  <c r="AA193" i="91"/>
  <c r="Y193" i="91"/>
  <c r="W193" i="91"/>
  <c r="U193" i="91"/>
  <c r="S193" i="91"/>
  <c r="P193" i="91"/>
  <c r="N193" i="91"/>
  <c r="L193" i="91"/>
  <c r="J193" i="91"/>
  <c r="D193" i="91"/>
  <c r="BO192" i="91"/>
  <c r="BH192" i="91"/>
  <c r="CO192" i="91" s="1"/>
  <c r="AI192" i="91"/>
  <c r="T192" i="91"/>
  <c r="H192" i="91"/>
  <c r="BO191" i="91"/>
  <c r="BH191" i="91"/>
  <c r="CO191" i="91" s="1"/>
  <c r="AI191" i="91"/>
  <c r="T191" i="91"/>
  <c r="H191" i="91"/>
  <c r="BO190" i="91"/>
  <c r="BH190" i="91"/>
  <c r="CO190" i="91" s="1"/>
  <c r="AI190" i="91"/>
  <c r="T190" i="91"/>
  <c r="H190" i="91"/>
  <c r="BO189" i="91"/>
  <c r="BH189" i="91"/>
  <c r="CO189" i="91" s="1"/>
  <c r="AI189" i="91"/>
  <c r="T189" i="91"/>
  <c r="H189" i="91"/>
  <c r="BO188" i="91"/>
  <c r="BH188" i="91"/>
  <c r="CO188" i="91" s="1"/>
  <c r="AI188" i="91"/>
  <c r="T188" i="91"/>
  <c r="H188" i="91"/>
  <c r="CO187" i="91"/>
  <c r="BO187" i="91"/>
  <c r="AY187" i="91"/>
  <c r="CF188" i="91" s="1"/>
  <c r="AI187" i="91"/>
  <c r="T187" i="91"/>
  <c r="H187" i="91"/>
  <c r="CS186" i="91"/>
  <c r="CE186" i="91"/>
  <c r="BN186" i="91"/>
  <c r="AY186" i="91" s="1"/>
  <c r="AI186" i="91"/>
  <c r="T186" i="91"/>
  <c r="T185" i="91" s="1"/>
  <c r="T184" i="91" s="1"/>
  <c r="H186" i="91"/>
  <c r="CS185" i="91"/>
  <c r="CE185" i="91"/>
  <c r="CE184" i="91" s="1"/>
  <c r="CD185" i="91"/>
  <c r="CC185" i="91"/>
  <c r="CB185" i="91"/>
  <c r="CA185" i="91"/>
  <c r="BZ185" i="91"/>
  <c r="BY185" i="91"/>
  <c r="BX185" i="91"/>
  <c r="BW185" i="91"/>
  <c r="BV185" i="91"/>
  <c r="BU185" i="91"/>
  <c r="BT185" i="91"/>
  <c r="BS185" i="91"/>
  <c r="BR185" i="91"/>
  <c r="BQ185" i="91"/>
  <c r="BP185" i="91"/>
  <c r="BM185" i="91"/>
  <c r="BL185" i="91"/>
  <c r="BK185" i="91"/>
  <c r="BJ185" i="91"/>
  <c r="BI185" i="91"/>
  <c r="BG185" i="91"/>
  <c r="BF185" i="91"/>
  <c r="BE185" i="91"/>
  <c r="BD185" i="91"/>
  <c r="BC185" i="91"/>
  <c r="BB185" i="91"/>
  <c r="BA185" i="91"/>
  <c r="AZ185" i="91"/>
  <c r="AX185" i="91"/>
  <c r="AW185" i="91"/>
  <c r="AV185" i="91"/>
  <c r="AU185" i="91"/>
  <c r="AT185" i="91"/>
  <c r="AS185" i="91"/>
  <c r="AR185" i="91"/>
  <c r="AQ185" i="91"/>
  <c r="AP185" i="91"/>
  <c r="AO185" i="91"/>
  <c r="AN185" i="91"/>
  <c r="AM185" i="91"/>
  <c r="AL185" i="91"/>
  <c r="AK185" i="91"/>
  <c r="AJ185" i="91"/>
  <c r="AI185" i="91"/>
  <c r="AH185" i="91"/>
  <c r="AG185" i="91"/>
  <c r="AF185" i="91"/>
  <c r="AE185" i="91"/>
  <c r="AD185" i="91"/>
  <c r="AC185" i="91"/>
  <c r="AB185" i="91"/>
  <c r="AA185" i="91"/>
  <c r="Z185" i="91"/>
  <c r="Y185" i="91"/>
  <c r="X185" i="91"/>
  <c r="W185" i="91"/>
  <c r="V185" i="91"/>
  <c r="U185" i="91"/>
  <c r="S185" i="91"/>
  <c r="Q185" i="91"/>
  <c r="P185" i="91"/>
  <c r="O185" i="91"/>
  <c r="N185" i="91"/>
  <c r="M185" i="91"/>
  <c r="L185" i="91"/>
  <c r="K185" i="91"/>
  <c r="J185" i="91"/>
  <c r="I185" i="91"/>
  <c r="H185" i="91" s="1"/>
  <c r="G185" i="91"/>
  <c r="E185" i="91"/>
  <c r="D185" i="91"/>
  <c r="CD184" i="91"/>
  <c r="CC184" i="91"/>
  <c r="CB184" i="91"/>
  <c r="CA184" i="91"/>
  <c r="BZ184" i="91"/>
  <c r="BY184" i="91"/>
  <c r="BX184" i="91"/>
  <c r="BW184" i="91"/>
  <c r="BV184" i="91"/>
  <c r="BU184" i="91"/>
  <c r="BT184" i="91"/>
  <c r="BS184" i="91"/>
  <c r="BR184" i="91"/>
  <c r="BQ184" i="91"/>
  <c r="BP184" i="91"/>
  <c r="BM184" i="91"/>
  <c r="BL184" i="91"/>
  <c r="BK184" i="91"/>
  <c r="BJ184" i="91"/>
  <c r="BI184" i="91"/>
  <c r="BG184" i="91"/>
  <c r="BF184" i="91"/>
  <c r="BE184" i="91"/>
  <c r="BD184" i="91"/>
  <c r="BC184" i="91"/>
  <c r="BB184" i="91"/>
  <c r="BA184" i="91"/>
  <c r="AZ184" i="91"/>
  <c r="AX184" i="91"/>
  <c r="AW184" i="91"/>
  <c r="AV184" i="91"/>
  <c r="AU184" i="91"/>
  <c r="AT184" i="91"/>
  <c r="AS184" i="91"/>
  <c r="AR184" i="91"/>
  <c r="AQ184" i="91"/>
  <c r="AP184" i="91"/>
  <c r="AO184" i="91"/>
  <c r="AN184" i="91"/>
  <c r="AM184" i="91"/>
  <c r="AL184" i="91"/>
  <c r="AK184" i="91"/>
  <c r="AJ184" i="91"/>
  <c r="AI184" i="91"/>
  <c r="AH184" i="91"/>
  <c r="AG184" i="91"/>
  <c r="AF184" i="91"/>
  <c r="AE184" i="91"/>
  <c r="AD184" i="91"/>
  <c r="AC184" i="91"/>
  <c r="AB184" i="91"/>
  <c r="AA184" i="91"/>
  <c r="Z184" i="91"/>
  <c r="Y184" i="91"/>
  <c r="X184" i="91"/>
  <c r="W184" i="91"/>
  <c r="V184" i="91"/>
  <c r="U184" i="91"/>
  <c r="S184" i="91"/>
  <c r="Q184" i="91"/>
  <c r="P184" i="91"/>
  <c r="O184" i="91"/>
  <c r="N184" i="91"/>
  <c r="M184" i="91"/>
  <c r="L184" i="91"/>
  <c r="K184" i="91"/>
  <c r="J184" i="91"/>
  <c r="I184" i="91"/>
  <c r="H184" i="91" s="1"/>
  <c r="G184" i="91"/>
  <c r="E184" i="91"/>
  <c r="D184" i="91"/>
  <c r="BO183" i="91"/>
  <c r="AY183" i="91"/>
  <c r="AI183" i="91"/>
  <c r="T183" i="91"/>
  <c r="H183" i="91"/>
  <c r="CF182" i="91"/>
  <c r="BO182" i="91"/>
  <c r="AI182" i="91"/>
  <c r="T182" i="91"/>
  <c r="H182" i="91"/>
  <c r="CJ181" i="91"/>
  <c r="BO181" i="91"/>
  <c r="CF181" i="91" s="1"/>
  <c r="AY181" i="91"/>
  <c r="AI181" i="91"/>
  <c r="AI180" i="91" s="1"/>
  <c r="T181" i="91"/>
  <c r="H181" i="91"/>
  <c r="CE180" i="91"/>
  <c r="CD180" i="91"/>
  <c r="CC180" i="91"/>
  <c r="CB180" i="91"/>
  <c r="CA180" i="91"/>
  <c r="BZ180" i="91"/>
  <c r="BY180" i="91"/>
  <c r="BX180" i="91"/>
  <c r="BW180" i="91"/>
  <c r="BV180" i="91"/>
  <c r="BU180" i="91"/>
  <c r="BT180" i="91"/>
  <c r="BS180" i="91"/>
  <c r="BR180" i="91"/>
  <c r="BQ180" i="91"/>
  <c r="BP180" i="91"/>
  <c r="BO180" i="91" s="1"/>
  <c r="BN180" i="91"/>
  <c r="BM180" i="91"/>
  <c r="BL180" i="91"/>
  <c r="BK180" i="91"/>
  <c r="BJ180" i="91"/>
  <c r="BI180" i="91"/>
  <c r="BH180" i="91"/>
  <c r="BG180" i="91"/>
  <c r="BF180" i="91"/>
  <c r="BE180" i="91"/>
  <c r="BD180" i="91"/>
  <c r="BC180" i="91"/>
  <c r="BB180" i="91"/>
  <c r="BA180" i="91"/>
  <c r="AZ180" i="91"/>
  <c r="AY180" i="91"/>
  <c r="AX180" i="91"/>
  <c r="AW180" i="91"/>
  <c r="AV180" i="91"/>
  <c r="AU180" i="91"/>
  <c r="AT180" i="91"/>
  <c r="AS180" i="91"/>
  <c r="AR180" i="91"/>
  <c r="AQ180" i="91"/>
  <c r="AP180" i="91"/>
  <c r="AO180" i="91"/>
  <c r="AN180" i="91"/>
  <c r="AM180" i="91"/>
  <c r="AL180" i="91"/>
  <c r="AK180" i="91"/>
  <c r="AJ180" i="91"/>
  <c r="AH180" i="91"/>
  <c r="AG180" i="91"/>
  <c r="AF180" i="91"/>
  <c r="AE180" i="91"/>
  <c r="AD180" i="91"/>
  <c r="AC180" i="91"/>
  <c r="AB180" i="91"/>
  <c r="AA180" i="91"/>
  <c r="Z180" i="91"/>
  <c r="Y180" i="91"/>
  <c r="X180" i="91"/>
  <c r="W180" i="91"/>
  <c r="V180" i="91"/>
  <c r="U180" i="91"/>
  <c r="T180" i="91"/>
  <c r="S180" i="91"/>
  <c r="Q180" i="91"/>
  <c r="P180" i="91"/>
  <c r="O180" i="91"/>
  <c r="N180" i="91"/>
  <c r="M180" i="91"/>
  <c r="L180" i="91"/>
  <c r="K180" i="91"/>
  <c r="J180" i="91"/>
  <c r="I180" i="91"/>
  <c r="H180" i="91" s="1"/>
  <c r="E180" i="91"/>
  <c r="D180" i="91"/>
  <c r="BO179" i="91"/>
  <c r="AY179" i="91"/>
  <c r="AI179" i="91"/>
  <c r="T179" i="91"/>
  <c r="H179" i="91"/>
  <c r="BO178" i="91"/>
  <c r="AY178" i="91"/>
  <c r="AI178" i="91"/>
  <c r="T178" i="91"/>
  <c r="H178" i="91"/>
  <c r="BO177" i="91"/>
  <c r="AY177" i="91"/>
  <c r="AI177" i="91"/>
  <c r="T177" i="91"/>
  <c r="H177" i="91"/>
  <c r="BO176" i="91"/>
  <c r="AY176" i="91"/>
  <c r="AI176" i="91"/>
  <c r="T176" i="91"/>
  <c r="H176" i="91"/>
  <c r="BO175" i="91"/>
  <c r="AY175" i="91"/>
  <c r="AI175" i="91"/>
  <c r="T175" i="91"/>
  <c r="H175" i="91"/>
  <c r="BO174" i="91"/>
  <c r="AY174" i="91"/>
  <c r="AI174" i="91"/>
  <c r="T174" i="91"/>
  <c r="H174" i="91"/>
  <c r="BO173" i="91"/>
  <c r="AY173" i="91"/>
  <c r="AI173" i="91"/>
  <c r="T173" i="91"/>
  <c r="H173" i="91"/>
  <c r="BO172" i="91"/>
  <c r="AY172" i="91"/>
  <c r="AI172" i="91"/>
  <c r="T172" i="91"/>
  <c r="H172" i="91"/>
  <c r="BO171" i="91"/>
  <c r="AY171" i="91"/>
  <c r="AI171" i="91"/>
  <c r="T171" i="91"/>
  <c r="H171" i="91"/>
  <c r="BO170" i="91"/>
  <c r="AY170" i="91"/>
  <c r="AI170" i="91"/>
  <c r="T170" i="91"/>
  <c r="H170" i="91"/>
  <c r="BO169" i="91"/>
  <c r="AY169" i="91"/>
  <c r="AI169" i="91"/>
  <c r="T169" i="91"/>
  <c r="H169" i="91"/>
  <c r="BO168" i="91"/>
  <c r="AY168" i="91"/>
  <c r="AI168" i="91"/>
  <c r="T168" i="91"/>
  <c r="H168" i="91"/>
  <c r="BO167" i="91"/>
  <c r="AY167" i="91"/>
  <c r="AI167" i="91"/>
  <c r="T167" i="91"/>
  <c r="H167" i="91"/>
  <c r="BO166" i="91"/>
  <c r="AY166" i="91"/>
  <c r="AI166" i="91"/>
  <c r="T166" i="91"/>
  <c r="H166" i="91"/>
  <c r="BO165" i="91"/>
  <c r="AY165" i="91"/>
  <c r="AI165" i="91"/>
  <c r="T165" i="91"/>
  <c r="H165" i="91"/>
  <c r="BO164" i="91"/>
  <c r="AY164" i="91"/>
  <c r="AI164" i="91"/>
  <c r="T164" i="91"/>
  <c r="H164" i="91"/>
  <c r="BO163" i="91"/>
  <c r="AY163" i="91"/>
  <c r="AI163" i="91"/>
  <c r="T163" i="91"/>
  <c r="H163" i="91"/>
  <c r="BO162" i="91"/>
  <c r="AY162" i="91"/>
  <c r="AI162" i="91"/>
  <c r="T162" i="91"/>
  <c r="H162" i="91"/>
  <c r="BO161" i="91"/>
  <c r="AY161" i="91"/>
  <c r="AI161" i="91"/>
  <c r="T161" i="91"/>
  <c r="H161" i="91"/>
  <c r="BO160" i="91"/>
  <c r="AY160" i="91"/>
  <c r="AI160" i="91"/>
  <c r="T160" i="91"/>
  <c r="H160" i="91"/>
  <c r="BO159" i="91"/>
  <c r="AY159" i="91"/>
  <c r="T159" i="91"/>
  <c r="H159" i="91"/>
  <c r="BO158" i="91"/>
  <c r="AY158" i="91"/>
  <c r="AI158" i="91"/>
  <c r="T158" i="91"/>
  <c r="H158" i="91"/>
  <c r="BO157" i="91"/>
  <c r="AY157" i="91"/>
  <c r="AI157" i="91"/>
  <c r="T157" i="91"/>
  <c r="H157" i="91"/>
  <c r="CA156" i="91"/>
  <c r="BK156" i="91"/>
  <c r="AY156" i="91" s="1"/>
  <c r="AY155" i="91" s="1"/>
  <c r="AI156" i="91"/>
  <c r="T156" i="91"/>
  <c r="H156" i="91"/>
  <c r="CS155" i="91"/>
  <c r="CE155" i="91"/>
  <c r="CD155" i="91"/>
  <c r="CC155" i="91"/>
  <c r="CB155" i="91"/>
  <c r="CA155" i="91"/>
  <c r="BZ155" i="91"/>
  <c r="BY155" i="91"/>
  <c r="BX155" i="91"/>
  <c r="BW155" i="91"/>
  <c r="BV155" i="91"/>
  <c r="BU155" i="91"/>
  <c r="BT155" i="91"/>
  <c r="BS155" i="91"/>
  <c r="BR155" i="91"/>
  <c r="BQ155" i="91"/>
  <c r="BP155" i="91"/>
  <c r="BN155" i="91"/>
  <c r="BM155" i="91"/>
  <c r="BL155" i="91"/>
  <c r="BK155" i="91"/>
  <c r="BK151" i="91" s="1"/>
  <c r="BJ155" i="91"/>
  <c r="BI155" i="91"/>
  <c r="BH155" i="91"/>
  <c r="BG155" i="91"/>
  <c r="BF155" i="91"/>
  <c r="BE155" i="91"/>
  <c r="BD155" i="91"/>
  <c r="BC155" i="91"/>
  <c r="BB155" i="91"/>
  <c r="BA155" i="91"/>
  <c r="AZ155" i="91"/>
  <c r="AX155" i="91"/>
  <c r="AW155" i="91"/>
  <c r="AV155" i="91"/>
  <c r="AU155" i="91"/>
  <c r="AT155" i="91"/>
  <c r="AR155" i="91"/>
  <c r="AQ155" i="91"/>
  <c r="AP155" i="91"/>
  <c r="AO155" i="91"/>
  <c r="AN155" i="91"/>
  <c r="AM155" i="91"/>
  <c r="AL155" i="91"/>
  <c r="AK155" i="91"/>
  <c r="AJ155" i="91"/>
  <c r="AH155" i="91"/>
  <c r="AG155" i="91"/>
  <c r="AF155" i="91"/>
  <c r="AE155" i="91"/>
  <c r="AD155" i="91"/>
  <c r="AC155" i="91"/>
  <c r="AB155" i="91"/>
  <c r="AA155" i="91"/>
  <c r="Z155" i="91"/>
  <c r="Y155" i="91"/>
  <c r="X155" i="91"/>
  <c r="W155" i="91"/>
  <c r="V155" i="91"/>
  <c r="U155" i="91"/>
  <c r="T155" i="91"/>
  <c r="S155" i="91"/>
  <c r="Q155" i="91"/>
  <c r="P155" i="91"/>
  <c r="O155" i="91"/>
  <c r="N155" i="91"/>
  <c r="M155" i="91"/>
  <c r="L155" i="91"/>
  <c r="K155" i="91"/>
  <c r="J155" i="91"/>
  <c r="I155" i="91"/>
  <c r="E155" i="91"/>
  <c r="D155" i="91"/>
  <c r="BO154" i="91"/>
  <c r="CW153" i="91"/>
  <c r="BO153" i="91"/>
  <c r="AY153" i="91"/>
  <c r="AI153" i="91"/>
  <c r="T153" i="91"/>
  <c r="H153" i="91"/>
  <c r="CS152" i="91"/>
  <c r="CE152" i="91"/>
  <c r="CD152" i="91"/>
  <c r="CC152" i="91"/>
  <c r="CB152" i="91"/>
  <c r="CA152" i="91"/>
  <c r="BZ152" i="91"/>
  <c r="BY152" i="91"/>
  <c r="BX152" i="91"/>
  <c r="BW152" i="91"/>
  <c r="BV152" i="91"/>
  <c r="BU152" i="91"/>
  <c r="BT152" i="91"/>
  <c r="BT151" i="91" s="1"/>
  <c r="BS152" i="91"/>
  <c r="BR152" i="91"/>
  <c r="BR151" i="91" s="1"/>
  <c r="BQ152" i="91"/>
  <c r="BP152" i="91"/>
  <c r="BN152" i="91"/>
  <c r="CW152" i="91" s="1"/>
  <c r="BM152" i="91"/>
  <c r="BL152" i="91"/>
  <c r="BL151" i="91" s="1"/>
  <c r="BK152" i="91"/>
  <c r="BJ152" i="91"/>
  <c r="BJ151" i="91" s="1"/>
  <c r="BI152" i="91"/>
  <c r="BH152" i="91"/>
  <c r="BH151" i="91" s="1"/>
  <c r="BG152" i="91"/>
  <c r="BF152" i="91"/>
  <c r="BF151" i="91" s="1"/>
  <c r="BE152" i="91"/>
  <c r="BD152" i="91"/>
  <c r="BD151" i="91" s="1"/>
  <c r="BC152" i="91"/>
  <c r="BB152" i="91"/>
  <c r="BA152" i="91"/>
  <c r="AZ152" i="91"/>
  <c r="AZ151" i="91" s="1"/>
  <c r="AX152" i="91"/>
  <c r="AX151" i="91" s="1"/>
  <c r="AW152" i="91"/>
  <c r="AV152" i="91"/>
  <c r="AV151" i="91" s="1"/>
  <c r="AU152" i="91"/>
  <c r="AT152" i="91"/>
  <c r="AT151" i="91" s="1"/>
  <c r="AS152" i="91"/>
  <c r="AR152" i="91"/>
  <c r="AR151" i="91" s="1"/>
  <c r="AQ152" i="91"/>
  <c r="AP152" i="91"/>
  <c r="AP151" i="91" s="1"/>
  <c r="AO152" i="91"/>
  <c r="AN152" i="91"/>
  <c r="AN151" i="91" s="1"/>
  <c r="AM152" i="91"/>
  <c r="AL152" i="91"/>
  <c r="AL151" i="91" s="1"/>
  <c r="AK152" i="91"/>
  <c r="AJ152" i="91"/>
  <c r="AJ151" i="91" s="1"/>
  <c r="AI152" i="91"/>
  <c r="AH152" i="91"/>
  <c r="AH151" i="91" s="1"/>
  <c r="AG152" i="91"/>
  <c r="AF152" i="91"/>
  <c r="AF151" i="91" s="1"/>
  <c r="AE152" i="91"/>
  <c r="AD152" i="91"/>
  <c r="AD151" i="91" s="1"/>
  <c r="AC152" i="91"/>
  <c r="AB152" i="91"/>
  <c r="AB151" i="91" s="1"/>
  <c r="AA152" i="91"/>
  <c r="Z152" i="91"/>
  <c r="Z151" i="91" s="1"/>
  <c r="Y152" i="91"/>
  <c r="X152" i="91"/>
  <c r="X151" i="91" s="1"/>
  <c r="W152" i="91"/>
  <c r="V152" i="91"/>
  <c r="V151" i="91" s="1"/>
  <c r="U152" i="91"/>
  <c r="T152" i="91"/>
  <c r="T151" i="91" s="1"/>
  <c r="S152" i="91"/>
  <c r="Q152" i="91"/>
  <c r="Q151" i="91" s="1"/>
  <c r="P152" i="91"/>
  <c r="O152" i="91"/>
  <c r="O151" i="91" s="1"/>
  <c r="N152" i="91"/>
  <c r="M152" i="91"/>
  <c r="M151" i="91" s="1"/>
  <c r="L152" i="91"/>
  <c r="K152" i="91"/>
  <c r="K151" i="91" s="1"/>
  <c r="J152" i="91"/>
  <c r="I152" i="91"/>
  <c r="E152" i="91"/>
  <c r="E151" i="91" s="1"/>
  <c r="D152" i="91"/>
  <c r="CD151" i="91"/>
  <c r="CB151" i="91"/>
  <c r="BZ151" i="91"/>
  <c r="BX151" i="91"/>
  <c r="BV151" i="91"/>
  <c r="BS151" i="91"/>
  <c r="BQ151" i="91"/>
  <c r="BM151" i="91"/>
  <c r="BI151" i="91"/>
  <c r="BG151" i="91"/>
  <c r="BE151" i="91"/>
  <c r="BC151" i="91"/>
  <c r="AW151" i="91"/>
  <c r="AU151" i="91"/>
  <c r="AS151" i="91"/>
  <c r="AQ151" i="91"/>
  <c r="AO151" i="91"/>
  <c r="AM151" i="91"/>
  <c r="AK151" i="91"/>
  <c r="AG151" i="91"/>
  <c r="AE151" i="91"/>
  <c r="AC151" i="91"/>
  <c r="AA151" i="91"/>
  <c r="Y151" i="91"/>
  <c r="W151" i="91"/>
  <c r="U151" i="91"/>
  <c r="S151" i="91"/>
  <c r="P151" i="91"/>
  <c r="N151" i="91"/>
  <c r="L151" i="91"/>
  <c r="J151" i="91"/>
  <c r="D151" i="91"/>
  <c r="CW150" i="91"/>
  <c r="BO150" i="91"/>
  <c r="AY150" i="91"/>
  <c r="AI150" i="91"/>
  <c r="T150" i="91"/>
  <c r="T149" i="91" s="1"/>
  <c r="H150" i="91"/>
  <c r="CE149" i="91"/>
  <c r="CD149" i="91"/>
  <c r="CC149" i="91"/>
  <c r="CB149" i="91"/>
  <c r="CA149" i="91"/>
  <c r="BZ149" i="91"/>
  <c r="BY149" i="91"/>
  <c r="BX149" i="91"/>
  <c r="BW149" i="91"/>
  <c r="BV149" i="91"/>
  <c r="BU149" i="91"/>
  <c r="BT149" i="91"/>
  <c r="BS149" i="91"/>
  <c r="BR149" i="91"/>
  <c r="BQ149" i="91"/>
  <c r="BP149" i="91"/>
  <c r="BO149" i="91"/>
  <c r="BN149" i="91"/>
  <c r="BM149" i="91"/>
  <c r="BL149" i="91"/>
  <c r="BK149" i="91"/>
  <c r="BJ149" i="91"/>
  <c r="BI149" i="91"/>
  <c r="BH149" i="91"/>
  <c r="BG149" i="91"/>
  <c r="BF149" i="91"/>
  <c r="BE149" i="91"/>
  <c r="BD149" i="91"/>
  <c r="BC149" i="91"/>
  <c r="BB149" i="91"/>
  <c r="BA149" i="91"/>
  <c r="AZ149" i="91"/>
  <c r="AY149" i="91"/>
  <c r="AX149" i="91"/>
  <c r="AW149" i="91"/>
  <c r="AV149" i="91"/>
  <c r="AU149" i="91"/>
  <c r="AT149" i="91"/>
  <c r="AS149" i="91"/>
  <c r="AR149" i="91"/>
  <c r="AQ149" i="91"/>
  <c r="AP149" i="91"/>
  <c r="AO149" i="91"/>
  <c r="AN149" i="91"/>
  <c r="AM149" i="91"/>
  <c r="AL149" i="91"/>
  <c r="AK149" i="91"/>
  <c r="AJ149" i="91"/>
  <c r="AI149" i="91"/>
  <c r="AH149" i="91"/>
  <c r="AG149" i="91"/>
  <c r="AF149" i="91"/>
  <c r="AE149" i="91"/>
  <c r="AD149" i="91"/>
  <c r="AC149" i="91"/>
  <c r="AB149" i="91"/>
  <c r="AA149" i="91"/>
  <c r="Z149" i="91"/>
  <c r="Y149" i="91"/>
  <c r="X149" i="91"/>
  <c r="W149" i="91"/>
  <c r="V149" i="91"/>
  <c r="U149" i="91"/>
  <c r="S149" i="91"/>
  <c r="Q149" i="91"/>
  <c r="P149" i="91"/>
  <c r="O149" i="91"/>
  <c r="N149" i="91"/>
  <c r="M149" i="91"/>
  <c r="L149" i="91"/>
  <c r="K149" i="91"/>
  <c r="J149" i="91"/>
  <c r="I149" i="91"/>
  <c r="H149" i="91" s="1"/>
  <c r="E149" i="91"/>
  <c r="D149" i="91"/>
  <c r="BO148" i="91"/>
  <c r="AY148" i="91"/>
  <c r="AI148" i="91"/>
  <c r="T148" i="91"/>
  <c r="H148" i="91"/>
  <c r="BO147" i="91"/>
  <c r="AY147" i="91"/>
  <c r="AI147" i="91"/>
  <c r="T147" i="91"/>
  <c r="H147" i="91"/>
  <c r="CB146" i="91"/>
  <c r="BM146" i="91"/>
  <c r="CV146" i="91" s="1"/>
  <c r="AI146" i="91"/>
  <c r="T146" i="91"/>
  <c r="H146" i="91"/>
  <c r="CB145" i="91"/>
  <c r="BM145" i="91"/>
  <c r="CV145" i="91" s="1"/>
  <c r="AI145" i="91"/>
  <c r="T145" i="91"/>
  <c r="H145" i="91"/>
  <c r="CE144" i="91"/>
  <c r="BO144" i="91" s="1"/>
  <c r="BN144" i="91"/>
  <c r="AY144" i="91" s="1"/>
  <c r="AI144" i="91"/>
  <c r="T144" i="91"/>
  <c r="H144" i="91"/>
  <c r="CS143" i="91"/>
  <c r="CE143" i="91"/>
  <c r="CD143" i="91"/>
  <c r="CC143" i="91"/>
  <c r="CA143" i="91"/>
  <c r="BZ143" i="91"/>
  <c r="BY143" i="91"/>
  <c r="BX143" i="91"/>
  <c r="BW143" i="91"/>
  <c r="BV143" i="91"/>
  <c r="BU143" i="91"/>
  <c r="BT143" i="91"/>
  <c r="BS143" i="91"/>
  <c r="BR143" i="91"/>
  <c r="BQ143" i="91"/>
  <c r="BP143" i="91"/>
  <c r="BN143" i="91"/>
  <c r="BL143" i="91"/>
  <c r="BK143" i="91"/>
  <c r="BJ143" i="91"/>
  <c r="BI143" i="91"/>
  <c r="BH143" i="91"/>
  <c r="BG143" i="91"/>
  <c r="BF143" i="91"/>
  <c r="BE143" i="91"/>
  <c r="BD143" i="91"/>
  <c r="BC143" i="91"/>
  <c r="BB143" i="91"/>
  <c r="BA143" i="91"/>
  <c r="AZ143" i="91"/>
  <c r="AX143" i="91"/>
  <c r="AW143" i="91"/>
  <c r="AV143" i="91"/>
  <c r="AU143" i="91"/>
  <c r="AT143" i="91"/>
  <c r="AS143" i="91"/>
  <c r="AR143" i="91"/>
  <c r="AQ143" i="91"/>
  <c r="AP143" i="91"/>
  <c r="AO143" i="91"/>
  <c r="AN143" i="91"/>
  <c r="AM143" i="91"/>
  <c r="AL143" i="91"/>
  <c r="AK143" i="91"/>
  <c r="AJ143" i="91"/>
  <c r="AH143" i="91"/>
  <c r="AG143" i="91"/>
  <c r="AF143" i="91"/>
  <c r="AE143" i="91"/>
  <c r="AD143" i="91"/>
  <c r="AC143" i="91"/>
  <c r="AB143" i="91"/>
  <c r="AA143" i="91"/>
  <c r="Z143" i="91"/>
  <c r="Y143" i="91"/>
  <c r="X143" i="91"/>
  <c r="W143" i="91"/>
  <c r="V143" i="91"/>
  <c r="U143" i="91"/>
  <c r="T143" i="91"/>
  <c r="S143" i="91"/>
  <c r="Q143" i="91"/>
  <c r="P143" i="91"/>
  <c r="O143" i="91"/>
  <c r="N143" i="91"/>
  <c r="M143" i="91"/>
  <c r="L143" i="91"/>
  <c r="K143" i="91"/>
  <c r="J143" i="91"/>
  <c r="I143" i="91"/>
  <c r="E143" i="91"/>
  <c r="D143" i="91"/>
  <c r="CE142" i="91"/>
  <c r="CW142" i="91" s="1"/>
  <c r="BN142" i="91"/>
  <c r="AY142" i="91" s="1"/>
  <c r="AY141" i="91" s="1"/>
  <c r="T142" i="91"/>
  <c r="T141" i="91" s="1"/>
  <c r="T140" i="91" s="1"/>
  <c r="H142" i="91"/>
  <c r="CE141" i="91"/>
  <c r="CD141" i="91"/>
  <c r="CC141" i="91"/>
  <c r="CC140" i="91" s="1"/>
  <c r="CB141" i="91"/>
  <c r="CA141" i="91"/>
  <c r="CA140" i="91" s="1"/>
  <c r="BZ141" i="91"/>
  <c r="BY141" i="91"/>
  <c r="BY140" i="91" s="1"/>
  <c r="BX141" i="91"/>
  <c r="BW141" i="91"/>
  <c r="BW140" i="91" s="1"/>
  <c r="BV141" i="91"/>
  <c r="BU141" i="91"/>
  <c r="BU140" i="91" s="1"/>
  <c r="BT141" i="91"/>
  <c r="BS141" i="91"/>
  <c r="BS140" i="91" s="1"/>
  <c r="BR141" i="91"/>
  <c r="BQ141" i="91"/>
  <c r="BQ140" i="91" s="1"/>
  <c r="BP141" i="91"/>
  <c r="BO141" i="91"/>
  <c r="CF141" i="91" s="1"/>
  <c r="BM141" i="91"/>
  <c r="BL141" i="91"/>
  <c r="BK141" i="91"/>
  <c r="BK140" i="91" s="1"/>
  <c r="BJ141" i="91"/>
  <c r="BI141" i="91"/>
  <c r="BI140" i="91" s="1"/>
  <c r="BH141" i="91"/>
  <c r="BG141" i="91"/>
  <c r="BG140" i="91" s="1"/>
  <c r="BF141" i="91"/>
  <c r="BE141" i="91"/>
  <c r="BE140" i="91" s="1"/>
  <c r="BD141" i="91"/>
  <c r="BC141" i="91"/>
  <c r="BC140" i="91" s="1"/>
  <c r="BB141" i="91"/>
  <c r="BA141" i="91"/>
  <c r="BA140" i="91" s="1"/>
  <c r="AZ141" i="91"/>
  <c r="AX141" i="91"/>
  <c r="AW141" i="91"/>
  <c r="AW140" i="91" s="1"/>
  <c r="AV141" i="91"/>
  <c r="AU141" i="91"/>
  <c r="AU140" i="91" s="1"/>
  <c r="AT141" i="91"/>
  <c r="AS141" i="91"/>
  <c r="AS140" i="91" s="1"/>
  <c r="AR141" i="91"/>
  <c r="AQ141" i="91"/>
  <c r="AQ140" i="91" s="1"/>
  <c r="AP141" i="91"/>
  <c r="AO141" i="91"/>
  <c r="AO140" i="91" s="1"/>
  <c r="AN141" i="91"/>
  <c r="AM141" i="91"/>
  <c r="AM140" i="91" s="1"/>
  <c r="AL141" i="91"/>
  <c r="AK141" i="91"/>
  <c r="AK140" i="91" s="1"/>
  <c r="AJ141" i="91"/>
  <c r="AI141" i="91"/>
  <c r="AH141" i="91"/>
  <c r="AG141" i="91"/>
  <c r="AG140" i="91" s="1"/>
  <c r="AF141" i="91"/>
  <c r="AE141" i="91"/>
  <c r="AE140" i="91" s="1"/>
  <c r="AD141" i="91"/>
  <c r="AC141" i="91"/>
  <c r="AC140" i="91" s="1"/>
  <c r="AB141" i="91"/>
  <c r="AA141" i="91"/>
  <c r="AA140" i="91" s="1"/>
  <c r="Z141" i="91"/>
  <c r="Y141" i="91"/>
  <c r="Y140" i="91" s="1"/>
  <c r="X141" i="91"/>
  <c r="W141" i="91"/>
  <c r="W140" i="91" s="1"/>
  <c r="V141" i="91"/>
  <c r="U141" i="91"/>
  <c r="U140" i="91" s="1"/>
  <c r="S141" i="91"/>
  <c r="S140" i="91" s="1"/>
  <c r="Q141" i="91"/>
  <c r="P141" i="91"/>
  <c r="P140" i="91" s="1"/>
  <c r="O141" i="91"/>
  <c r="O140" i="91" s="1"/>
  <c r="N141" i="91"/>
  <c r="N140" i="91" s="1"/>
  <c r="M141" i="91"/>
  <c r="L141" i="91"/>
  <c r="L140" i="91" s="1"/>
  <c r="K141" i="91"/>
  <c r="K140" i="91" s="1"/>
  <c r="J141" i="91"/>
  <c r="J140" i="91" s="1"/>
  <c r="I141" i="91"/>
  <c r="H141" i="91" s="1"/>
  <c r="E141" i="91"/>
  <c r="E140" i="91" s="1"/>
  <c r="D141" i="91"/>
  <c r="D140" i="91" s="1"/>
  <c r="CD140" i="91"/>
  <c r="BZ140" i="91"/>
  <c r="BX140" i="91"/>
  <c r="BV140" i="91"/>
  <c r="BT140" i="91"/>
  <c r="BR140" i="91"/>
  <c r="BP140" i="91"/>
  <c r="BL140" i="91"/>
  <c r="BJ140" i="91"/>
  <c r="BH140" i="91"/>
  <c r="BF140" i="91"/>
  <c r="BD140" i="91"/>
  <c r="BB140" i="91"/>
  <c r="AZ140" i="91"/>
  <c r="AX140" i="91"/>
  <c r="AV140" i="91"/>
  <c r="AT140" i="91"/>
  <c r="AR140" i="91"/>
  <c r="AP140" i="91"/>
  <c r="AN140" i="91"/>
  <c r="AL140" i="91"/>
  <c r="AJ140" i="91"/>
  <c r="AH140" i="91"/>
  <c r="AF140" i="91"/>
  <c r="AD140" i="91"/>
  <c r="AB140" i="91"/>
  <c r="Z140" i="91"/>
  <c r="X140" i="91"/>
  <c r="V140" i="91"/>
  <c r="Q140" i="91"/>
  <c r="M140" i="91"/>
  <c r="I140" i="91"/>
  <c r="BO139" i="91"/>
  <c r="AY139" i="91"/>
  <c r="AI139" i="91"/>
  <c r="T139" i="91"/>
  <c r="H139" i="91"/>
  <c r="BO138" i="91"/>
  <c r="AY138" i="91"/>
  <c r="AI138" i="91"/>
  <c r="T138" i="91"/>
  <c r="H138" i="91"/>
  <c r="BO137" i="91"/>
  <c r="AY137" i="91"/>
  <c r="AI137" i="91"/>
  <c r="T137" i="91"/>
  <c r="H137" i="91"/>
  <c r="BO136" i="91"/>
  <c r="AY136" i="91"/>
  <c r="AI136" i="91"/>
  <c r="T136" i="91"/>
  <c r="H136" i="91"/>
  <c r="BO135" i="91"/>
  <c r="AY135" i="91"/>
  <c r="AI135" i="91"/>
  <c r="T135" i="91"/>
  <c r="H135" i="91"/>
  <c r="BO134" i="91"/>
  <c r="AY134" i="91"/>
  <c r="AI134" i="91"/>
  <c r="T134" i="91"/>
  <c r="H134" i="91"/>
  <c r="BO133" i="91"/>
  <c r="AY133" i="91"/>
  <c r="AI133" i="91"/>
  <c r="T133" i="91"/>
  <c r="H133" i="91"/>
  <c r="BO132" i="91"/>
  <c r="AY132" i="91"/>
  <c r="AI132" i="91"/>
  <c r="T132" i="91"/>
  <c r="H132" i="91"/>
  <c r="BO131" i="91"/>
  <c r="AY131" i="91"/>
  <c r="AI131" i="91"/>
  <c r="T131" i="91"/>
  <c r="H131" i="91"/>
  <c r="BO130" i="91"/>
  <c r="AY130" i="91"/>
  <c r="AI130" i="91"/>
  <c r="T130" i="91"/>
  <c r="H130" i="91"/>
  <c r="BO129" i="91"/>
  <c r="AY129" i="91"/>
  <c r="AI129" i="91"/>
  <c r="T129" i="91"/>
  <c r="H129" i="91"/>
  <c r="BO128" i="91"/>
  <c r="AY128" i="91"/>
  <c r="AI128" i="91"/>
  <c r="T128" i="91"/>
  <c r="H128" i="91"/>
  <c r="BO127" i="91"/>
  <c r="AY127" i="91"/>
  <c r="AI127" i="91"/>
  <c r="T127" i="91"/>
  <c r="H127" i="91"/>
  <c r="BO126" i="91"/>
  <c r="AY126" i="91"/>
  <c r="AI126" i="91"/>
  <c r="T126" i="91"/>
  <c r="H126" i="91"/>
  <c r="BO125" i="91"/>
  <c r="AY125" i="91"/>
  <c r="AI125" i="91"/>
  <c r="T125" i="91"/>
  <c r="H125" i="91"/>
  <c r="BO124" i="91"/>
  <c r="AY124" i="91"/>
  <c r="AI124" i="91"/>
  <c r="T124" i="91"/>
  <c r="H124" i="91"/>
  <c r="BO123" i="91"/>
  <c r="AY123" i="91"/>
  <c r="AI123" i="91"/>
  <c r="T123" i="91"/>
  <c r="H123" i="91"/>
  <c r="BO122" i="91"/>
  <c r="AY122" i="91"/>
  <c r="AI122" i="91"/>
  <c r="T122" i="91"/>
  <c r="H122" i="91"/>
  <c r="BO121" i="91"/>
  <c r="AY121" i="91"/>
  <c r="AI121" i="91"/>
  <c r="T121" i="91"/>
  <c r="H121" i="91"/>
  <c r="BO120" i="91"/>
  <c r="AY120" i="91"/>
  <c r="AI120" i="91"/>
  <c r="T120" i="91"/>
  <c r="H120" i="91"/>
  <c r="BO119" i="91"/>
  <c r="AY119" i="91"/>
  <c r="AI119" i="91"/>
  <c r="T119" i="91"/>
  <c r="H119" i="91"/>
  <c r="BO118" i="91"/>
  <c r="AY118" i="91"/>
  <c r="AI118" i="91"/>
  <c r="T118" i="91"/>
  <c r="H118" i="91"/>
  <c r="CW117" i="91"/>
  <c r="BO117" i="91"/>
  <c r="AY117" i="91"/>
  <c r="AI117" i="91"/>
  <c r="T117" i="91"/>
  <c r="H117" i="91"/>
  <c r="CE116" i="91"/>
  <c r="BO116" i="91" s="1"/>
  <c r="BN116" i="91"/>
  <c r="AY116" i="91" s="1"/>
  <c r="T116" i="91"/>
  <c r="H116" i="91"/>
  <c r="CE115" i="91"/>
  <c r="BO115" i="91" s="1"/>
  <c r="BN115" i="91"/>
  <c r="AY115" i="91" s="1"/>
  <c r="AI115" i="91"/>
  <c r="T115" i="91"/>
  <c r="H115" i="91"/>
  <c r="BO114" i="91"/>
  <c r="AY114" i="91"/>
  <c r="AI114" i="91"/>
  <c r="T114" i="91"/>
  <c r="H114" i="91"/>
  <c r="CE113" i="91"/>
  <c r="CE112" i="91" s="1"/>
  <c r="CD113" i="91"/>
  <c r="CD112" i="91" s="1"/>
  <c r="CC113" i="91"/>
  <c r="CB113" i="91"/>
  <c r="CB112" i="91" s="1"/>
  <c r="CA113" i="91"/>
  <c r="BZ113" i="91"/>
  <c r="BZ112" i="91" s="1"/>
  <c r="BY113" i="91"/>
  <c r="BX113" i="91"/>
  <c r="BX112" i="91" s="1"/>
  <c r="BW113" i="91"/>
  <c r="BV113" i="91"/>
  <c r="BV112" i="91" s="1"/>
  <c r="BU113" i="91"/>
  <c r="BT113" i="91"/>
  <c r="BT112" i="91" s="1"/>
  <c r="BS113" i="91"/>
  <c r="BR113" i="91"/>
  <c r="BR112" i="91" s="1"/>
  <c r="BQ113" i="91"/>
  <c r="BP113" i="91"/>
  <c r="BM113" i="91"/>
  <c r="BL113" i="91"/>
  <c r="BL112" i="91" s="1"/>
  <c r="BK113" i="91"/>
  <c r="BJ113" i="91"/>
  <c r="BJ112" i="91" s="1"/>
  <c r="BI113" i="91"/>
  <c r="BH113" i="91"/>
  <c r="BH112" i="91" s="1"/>
  <c r="BG113" i="91"/>
  <c r="BF113" i="91"/>
  <c r="BF112" i="91" s="1"/>
  <c r="BE113" i="91"/>
  <c r="BD113" i="91"/>
  <c r="BD112" i="91" s="1"/>
  <c r="BC113" i="91"/>
  <c r="BB113" i="91"/>
  <c r="BB112" i="91" s="1"/>
  <c r="BA113" i="91"/>
  <c r="AZ113" i="91"/>
  <c r="AZ112" i="91" s="1"/>
  <c r="AX113" i="91"/>
  <c r="AX112" i="91" s="1"/>
  <c r="AW113" i="91"/>
  <c r="AV113" i="91"/>
  <c r="AV112" i="91" s="1"/>
  <c r="AU113" i="91"/>
  <c r="AU112" i="91" s="1"/>
  <c r="AT113" i="91"/>
  <c r="AT112" i="91" s="1"/>
  <c r="AS113" i="91"/>
  <c r="AR113" i="91"/>
  <c r="AR112" i="91" s="1"/>
  <c r="AQ113" i="91"/>
  <c r="AQ112" i="91" s="1"/>
  <c r="AP113" i="91"/>
  <c r="AP112" i="91" s="1"/>
  <c r="AO113" i="91"/>
  <c r="AN113" i="91"/>
  <c r="AN112" i="91" s="1"/>
  <c r="AM113" i="91"/>
  <c r="AM112" i="91" s="1"/>
  <c r="AL113" i="91"/>
  <c r="AL112" i="91" s="1"/>
  <c r="AK113" i="91"/>
  <c r="AJ113" i="91"/>
  <c r="AJ112" i="91" s="1"/>
  <c r="AH113" i="91"/>
  <c r="AH112" i="91" s="1"/>
  <c r="AG113" i="91"/>
  <c r="AF113" i="91"/>
  <c r="AF112" i="91" s="1"/>
  <c r="AE113" i="91"/>
  <c r="AD113" i="91"/>
  <c r="AD112" i="91" s="1"/>
  <c r="AC113" i="91"/>
  <c r="AB113" i="91"/>
  <c r="AB112" i="91" s="1"/>
  <c r="AA113" i="91"/>
  <c r="Z113" i="91"/>
  <c r="Z112" i="91" s="1"/>
  <c r="Y113" i="91"/>
  <c r="X113" i="91"/>
  <c r="X112" i="91" s="1"/>
  <c r="W113" i="91"/>
  <c r="V113" i="91"/>
  <c r="V112" i="91" s="1"/>
  <c r="U113" i="91"/>
  <c r="T113" i="91"/>
  <c r="T112" i="91" s="1"/>
  <c r="S113" i="91"/>
  <c r="Q113" i="91"/>
  <c r="Q112" i="91" s="1"/>
  <c r="P113" i="91"/>
  <c r="O113" i="91"/>
  <c r="O112" i="91" s="1"/>
  <c r="N113" i="91"/>
  <c r="M113" i="91"/>
  <c r="M112" i="91" s="1"/>
  <c r="L113" i="91"/>
  <c r="K113" i="91"/>
  <c r="K112" i="91" s="1"/>
  <c r="J113" i="91"/>
  <c r="I113" i="91"/>
  <c r="H113" i="91" s="1"/>
  <c r="E113" i="91"/>
  <c r="E112" i="91" s="1"/>
  <c r="D113" i="91"/>
  <c r="D112" i="91" s="1"/>
  <c r="CC112" i="91"/>
  <c r="CA112" i="91"/>
  <c r="BY112" i="91"/>
  <c r="BW112" i="91"/>
  <c r="BU112" i="91"/>
  <c r="BS112" i="91"/>
  <c r="BQ112" i="91"/>
  <c r="BM112" i="91"/>
  <c r="BK112" i="91"/>
  <c r="BI112" i="91"/>
  <c r="BG112" i="91"/>
  <c r="BE112" i="91"/>
  <c r="BC112" i="91"/>
  <c r="BA112" i="91"/>
  <c r="AW112" i="91"/>
  <c r="AS112" i="91"/>
  <c r="AO112" i="91"/>
  <c r="AK112" i="91"/>
  <c r="AG112" i="91"/>
  <c r="AE112" i="91"/>
  <c r="AC112" i="91"/>
  <c r="AA112" i="91"/>
  <c r="Y112" i="91"/>
  <c r="W112" i="91"/>
  <c r="U112" i="91"/>
  <c r="S112" i="91"/>
  <c r="P112" i="91"/>
  <c r="N112" i="91"/>
  <c r="L112" i="91"/>
  <c r="J112" i="91"/>
  <c r="BO111" i="91"/>
  <c r="BN111" i="91"/>
  <c r="CW111" i="91" s="1"/>
  <c r="T111" i="91"/>
  <c r="T110" i="91" s="1"/>
  <c r="T107" i="91" s="1"/>
  <c r="H111" i="91"/>
  <c r="CS110" i="91"/>
  <c r="CE110" i="91"/>
  <c r="CD110" i="91"/>
  <c r="CC110" i="91"/>
  <c r="CB110" i="91"/>
  <c r="CA110" i="91"/>
  <c r="BZ110" i="91"/>
  <c r="BY110" i="91"/>
  <c r="BX110" i="91"/>
  <c r="BW110" i="91"/>
  <c r="BV110" i="91"/>
  <c r="BU110" i="91"/>
  <c r="BT110" i="91"/>
  <c r="BS110" i="91"/>
  <c r="BR110" i="91"/>
  <c r="BQ110" i="91"/>
  <c r="BP110" i="91"/>
  <c r="BO110" i="91" s="1"/>
  <c r="BN110" i="91"/>
  <c r="CW110" i="91" s="1"/>
  <c r="BM110" i="91"/>
  <c r="BL110" i="91"/>
  <c r="BK110" i="91"/>
  <c r="BJ110" i="91"/>
  <c r="BI110" i="91"/>
  <c r="BH110" i="91"/>
  <c r="BG110" i="91"/>
  <c r="BF110" i="91"/>
  <c r="BE110" i="91"/>
  <c r="BD110" i="91"/>
  <c r="BC110" i="91"/>
  <c r="BB110" i="91"/>
  <c r="BA110" i="91"/>
  <c r="AZ110" i="91"/>
  <c r="AX110" i="91"/>
  <c r="AW110" i="91"/>
  <c r="AV110" i="91"/>
  <c r="AU110" i="91"/>
  <c r="AT110" i="91"/>
  <c r="AR110" i="91"/>
  <c r="AQ110" i="91"/>
  <c r="AQ107" i="91" s="1"/>
  <c r="AP110" i="91"/>
  <c r="AO110" i="91"/>
  <c r="AO107" i="91" s="1"/>
  <c r="AN110" i="91"/>
  <c r="AM110" i="91"/>
  <c r="AM107" i="91" s="1"/>
  <c r="AL110" i="91"/>
  <c r="AK110" i="91"/>
  <c r="AK107" i="91" s="1"/>
  <c r="AJ110" i="91"/>
  <c r="AI110" i="91"/>
  <c r="AH110" i="91"/>
  <c r="AG110" i="91"/>
  <c r="AF110" i="91"/>
  <c r="AE110" i="91"/>
  <c r="AD110" i="91"/>
  <c r="AC110" i="91"/>
  <c r="AB110" i="91"/>
  <c r="AA110" i="91"/>
  <c r="Z110" i="91"/>
  <c r="Y110" i="91"/>
  <c r="X110" i="91"/>
  <c r="W110" i="91"/>
  <c r="V110" i="91"/>
  <c r="U110" i="91"/>
  <c r="S110" i="91"/>
  <c r="Q110" i="91"/>
  <c r="P110" i="91"/>
  <c r="O110" i="91"/>
  <c r="O107" i="91" s="1"/>
  <c r="N110" i="91"/>
  <c r="M110" i="91"/>
  <c r="L110" i="91"/>
  <c r="K110" i="91"/>
  <c r="K107" i="91" s="1"/>
  <c r="J110" i="91"/>
  <c r="I110" i="91"/>
  <c r="H110" i="91" s="1"/>
  <c r="E110" i="91"/>
  <c r="D110" i="91"/>
  <c r="BO109" i="91"/>
  <c r="BN109" i="91"/>
  <c r="CW109" i="91" s="1"/>
  <c r="AI109" i="91"/>
  <c r="AI108" i="91" s="1"/>
  <c r="AI107" i="91" s="1"/>
  <c r="T109" i="91"/>
  <c r="H109" i="91"/>
  <c r="CE108" i="91"/>
  <c r="CD108" i="91"/>
  <c r="CC108" i="91"/>
  <c r="CB108" i="91"/>
  <c r="CA108" i="91"/>
  <c r="BZ108" i="91"/>
  <c r="BY108" i="91"/>
  <c r="BX108" i="91"/>
  <c r="BW108" i="91"/>
  <c r="BV108" i="91"/>
  <c r="BT108" i="91"/>
  <c r="BS108" i="91"/>
  <c r="BS107" i="91" s="1"/>
  <c r="BP108" i="91"/>
  <c r="BO108" i="91"/>
  <c r="BM108" i="91"/>
  <c r="BL108" i="91"/>
  <c r="BK108" i="91"/>
  <c r="BJ108" i="91"/>
  <c r="BJ107" i="91" s="1"/>
  <c r="BI108" i="91"/>
  <c r="BH108" i="91"/>
  <c r="BG108" i="91"/>
  <c r="BF108" i="91"/>
  <c r="BF107" i="91" s="1"/>
  <c r="BD108" i="91"/>
  <c r="BC108" i="91"/>
  <c r="AZ108" i="91"/>
  <c r="AX108" i="91"/>
  <c r="AW108" i="91"/>
  <c r="AV108" i="91"/>
  <c r="AU108" i="91"/>
  <c r="AT108" i="91"/>
  <c r="AS108" i="91"/>
  <c r="AR108" i="91"/>
  <c r="AQ108" i="91"/>
  <c r="AP108" i="91"/>
  <c r="AP107" i="91" s="1"/>
  <c r="AO108" i="91"/>
  <c r="AN108" i="91"/>
  <c r="AM108" i="91"/>
  <c r="AL108" i="91"/>
  <c r="AL107" i="91" s="1"/>
  <c r="AK108" i="91"/>
  <c r="AJ108" i="91"/>
  <c r="AH108" i="91"/>
  <c r="AG108" i="91"/>
  <c r="AF108" i="91"/>
  <c r="AE108" i="91"/>
  <c r="AD108" i="91"/>
  <c r="AC108" i="91"/>
  <c r="AB108" i="91"/>
  <c r="AA108" i="91"/>
  <c r="Z108" i="91"/>
  <c r="Y108" i="91"/>
  <c r="X108" i="91"/>
  <c r="W108" i="91"/>
  <c r="V108" i="91"/>
  <c r="U108" i="91"/>
  <c r="T108" i="91"/>
  <c r="S108" i="91"/>
  <c r="Q108" i="91"/>
  <c r="P108" i="91"/>
  <c r="O108" i="91"/>
  <c r="N108" i="91"/>
  <c r="M108" i="91"/>
  <c r="L108" i="91"/>
  <c r="K108" i="91"/>
  <c r="J108" i="91"/>
  <c r="I108" i="91"/>
  <c r="E108" i="91"/>
  <c r="E107" i="91" s="1"/>
  <c r="D108" i="91"/>
  <c r="CS107" i="91"/>
  <c r="CE107" i="91"/>
  <c r="CD107" i="91"/>
  <c r="CC107" i="91"/>
  <c r="CB107" i="91"/>
  <c r="CA107" i="91"/>
  <c r="BZ107" i="91"/>
  <c r="BY107" i="91"/>
  <c r="BX107" i="91"/>
  <c r="BW107" i="91"/>
  <c r="BV107" i="91"/>
  <c r="BU107" i="91"/>
  <c r="BT107" i="91"/>
  <c r="BR107" i="91"/>
  <c r="BQ107" i="91"/>
  <c r="BP107" i="91"/>
  <c r="BL107" i="91"/>
  <c r="BH107" i="91"/>
  <c r="BE107" i="91"/>
  <c r="BD107" i="91"/>
  <c r="BC107" i="91"/>
  <c r="BB107" i="91"/>
  <c r="BA107" i="91"/>
  <c r="AZ107" i="91"/>
  <c r="AX107" i="91"/>
  <c r="AW107" i="91"/>
  <c r="AV107" i="91"/>
  <c r="AU107" i="91"/>
  <c r="AT107" i="91"/>
  <c r="AS107" i="91"/>
  <c r="AR107" i="91"/>
  <c r="AN107" i="91"/>
  <c r="AJ107" i="91"/>
  <c r="AH107" i="91"/>
  <c r="AF107" i="91"/>
  <c r="AD107" i="91"/>
  <c r="AB107" i="91"/>
  <c r="Z107" i="91"/>
  <c r="X107" i="91"/>
  <c r="V107" i="91"/>
  <c r="Q107" i="91"/>
  <c r="M107" i="91"/>
  <c r="I107" i="91"/>
  <c r="BO106" i="91"/>
  <c r="AY106" i="91"/>
  <c r="AI106" i="91"/>
  <c r="T106" i="91"/>
  <c r="H106" i="91"/>
  <c r="BO105" i="91"/>
  <c r="AY105" i="91"/>
  <c r="AI105" i="91"/>
  <c r="T105" i="91"/>
  <c r="H105" i="91"/>
  <c r="BO104" i="91"/>
  <c r="AY104" i="91"/>
  <c r="AI104" i="91"/>
  <c r="T104" i="91"/>
  <c r="H104" i="91"/>
  <c r="BO103" i="91"/>
  <c r="AY103" i="91"/>
  <c r="AI103" i="91"/>
  <c r="T103" i="91"/>
  <c r="H103" i="91"/>
  <c r="BO102" i="91"/>
  <c r="AY102" i="91"/>
  <c r="AI102" i="91"/>
  <c r="T102" i="91"/>
  <c r="H102" i="91"/>
  <c r="BO101" i="91"/>
  <c r="AY101" i="91"/>
  <c r="AI101" i="91"/>
  <c r="T101" i="91"/>
  <c r="H101" i="91"/>
  <c r="BO100" i="91"/>
  <c r="AY100" i="91"/>
  <c r="AI100" i="91"/>
  <c r="T100" i="91"/>
  <c r="H100" i="91"/>
  <c r="BO99" i="91"/>
  <c r="AY99" i="91"/>
  <c r="AI99" i="91"/>
  <c r="T99" i="91"/>
  <c r="H99" i="91"/>
  <c r="BO98" i="91"/>
  <c r="AY98" i="91"/>
  <c r="AI98" i="91"/>
  <c r="T98" i="91"/>
  <c r="H98" i="91"/>
  <c r="BO97" i="91"/>
  <c r="AY97" i="91"/>
  <c r="AI97" i="91"/>
  <c r="T97" i="91"/>
  <c r="H97" i="91"/>
  <c r="BO96" i="91"/>
  <c r="AY96" i="91"/>
  <c r="AI96" i="91"/>
  <c r="T96" i="91"/>
  <c r="H96" i="91"/>
  <c r="BO95" i="91"/>
  <c r="AY95" i="91"/>
  <c r="AI95" i="91"/>
  <c r="T95" i="91"/>
  <c r="H95" i="91"/>
  <c r="BO94" i="91"/>
  <c r="AY94" i="91"/>
  <c r="AI94" i="91"/>
  <c r="T94" i="91"/>
  <c r="H94" i="91"/>
  <c r="BO93" i="91"/>
  <c r="AY93" i="91"/>
  <c r="AI93" i="91"/>
  <c r="T93" i="91"/>
  <c r="H93" i="91"/>
  <c r="BO92" i="91"/>
  <c r="AY92" i="91"/>
  <c r="AI92" i="91"/>
  <c r="T92" i="91"/>
  <c r="H92" i="91"/>
  <c r="BO91" i="91"/>
  <c r="AY91" i="91"/>
  <c r="AI91" i="91"/>
  <c r="T91" i="91"/>
  <c r="H91" i="91"/>
  <c r="BO90" i="91"/>
  <c r="AY90" i="91"/>
  <c r="AI90" i="91"/>
  <c r="T90" i="91"/>
  <c r="H90" i="91"/>
  <c r="BO89" i="91"/>
  <c r="AY89" i="91"/>
  <c r="AI89" i="91"/>
  <c r="T89" i="91"/>
  <c r="H89" i="91"/>
  <c r="BO88" i="91"/>
  <c r="AY88" i="91"/>
  <c r="AI88" i="91"/>
  <c r="T88" i="91"/>
  <c r="H88" i="91"/>
  <c r="BO87" i="91"/>
  <c r="AY87" i="91"/>
  <c r="AI87" i="91"/>
  <c r="T87" i="91"/>
  <c r="H87" i="91"/>
  <c r="BO86" i="91"/>
  <c r="AY86" i="91"/>
  <c r="AI86" i="91"/>
  <c r="T86" i="91"/>
  <c r="H86" i="91"/>
  <c r="BO85" i="91"/>
  <c r="AY85" i="91"/>
  <c r="AI85" i="91"/>
  <c r="T85" i="91"/>
  <c r="H85" i="91"/>
  <c r="BO84" i="91"/>
  <c r="AY84" i="91"/>
  <c r="AI84" i="91"/>
  <c r="T84" i="91"/>
  <c r="H84" i="91"/>
  <c r="BO83" i="91"/>
  <c r="AY83" i="91"/>
  <c r="AI83" i="91"/>
  <c r="T83" i="91"/>
  <c r="H83" i="91"/>
  <c r="BO82" i="91"/>
  <c r="AY82" i="91"/>
  <c r="AJ82" i="91"/>
  <c r="AI82" i="91" s="1"/>
  <c r="T82" i="91"/>
  <c r="H82" i="91"/>
  <c r="BO81" i="91"/>
  <c r="AY81" i="91"/>
  <c r="AI81" i="91"/>
  <c r="T81" i="91"/>
  <c r="H81" i="91"/>
  <c r="BO80" i="91"/>
  <c r="AY80" i="91"/>
  <c r="AI80" i="91"/>
  <c r="T80" i="91"/>
  <c r="H80" i="91"/>
  <c r="BO79" i="91"/>
  <c r="AY79" i="91"/>
  <c r="AI79" i="91"/>
  <c r="T79" i="91"/>
  <c r="H79" i="91"/>
  <c r="BO78" i="91"/>
  <c r="AY78" i="91"/>
  <c r="AI78" i="91"/>
  <c r="T78" i="91"/>
  <c r="H78" i="91"/>
  <c r="BO77" i="91"/>
  <c r="AY77" i="91"/>
  <c r="AJ77" i="91"/>
  <c r="AI77" i="91" s="1"/>
  <c r="T77" i="91"/>
  <c r="H77" i="91"/>
  <c r="BO76" i="91"/>
  <c r="AY76" i="91"/>
  <c r="AI76" i="91"/>
  <c r="T76" i="91"/>
  <c r="H76" i="91"/>
  <c r="BO75" i="91"/>
  <c r="AY75" i="91"/>
  <c r="AI75" i="91"/>
  <c r="T75" i="91"/>
  <c r="H75" i="91"/>
  <c r="CW74" i="91"/>
  <c r="BO74" i="91"/>
  <c r="AY74" i="91"/>
  <c r="AI74" i="91"/>
  <c r="T74" i="91"/>
  <c r="H74" i="91"/>
  <c r="BO73" i="91"/>
  <c r="AY73" i="91"/>
  <c r="AI73" i="91"/>
  <c r="T73" i="91"/>
  <c r="H73" i="91"/>
  <c r="CS72" i="91"/>
  <c r="CE72" i="91"/>
  <c r="CW72" i="91" s="1"/>
  <c r="CD72" i="91"/>
  <c r="CC72" i="91"/>
  <c r="CC71" i="91" s="1"/>
  <c r="CB72" i="91"/>
  <c r="CA72" i="91"/>
  <c r="CA71" i="91" s="1"/>
  <c r="BZ72" i="91"/>
  <c r="BY72" i="91"/>
  <c r="BY71" i="91" s="1"/>
  <c r="BX72" i="91"/>
  <c r="BW72" i="91"/>
  <c r="BW71" i="91" s="1"/>
  <c r="BV72" i="91"/>
  <c r="BU72" i="91"/>
  <c r="BU71" i="91" s="1"/>
  <c r="BT72" i="91"/>
  <c r="BS72" i="91"/>
  <c r="BS71" i="91" s="1"/>
  <c r="BR72" i="91"/>
  <c r="BQ72" i="91"/>
  <c r="BQ71" i="91" s="1"/>
  <c r="BP72" i="91"/>
  <c r="BO72" i="91"/>
  <c r="BN72" i="91"/>
  <c r="BM72" i="91"/>
  <c r="BM71" i="91" s="1"/>
  <c r="BL72" i="91"/>
  <c r="BK72" i="91"/>
  <c r="BK71" i="91" s="1"/>
  <c r="BJ72" i="91"/>
  <c r="BI72" i="91"/>
  <c r="BI71" i="91" s="1"/>
  <c r="BH72" i="91"/>
  <c r="BG72" i="91"/>
  <c r="BG71" i="91" s="1"/>
  <c r="BF72" i="91"/>
  <c r="BE72" i="91"/>
  <c r="BE71" i="91" s="1"/>
  <c r="BD72" i="91"/>
  <c r="BC72" i="91"/>
  <c r="BC71" i="91" s="1"/>
  <c r="BB72" i="91"/>
  <c r="BA72" i="91"/>
  <c r="BA71" i="91" s="1"/>
  <c r="AZ72" i="91"/>
  <c r="AY72" i="91"/>
  <c r="AY71" i="91" s="1"/>
  <c r="AX72" i="91"/>
  <c r="AW72" i="91"/>
  <c r="AW71" i="91" s="1"/>
  <c r="AV72" i="91"/>
  <c r="AU72" i="91"/>
  <c r="AU71" i="91" s="1"/>
  <c r="AT72" i="91"/>
  <c r="AS72" i="91"/>
  <c r="AS71" i="91" s="1"/>
  <c r="AR72" i="91"/>
  <c r="AQ72" i="91"/>
  <c r="AQ71" i="91" s="1"/>
  <c r="AP72" i="91"/>
  <c r="AO72" i="91"/>
  <c r="AO71" i="91" s="1"/>
  <c r="AN72" i="91"/>
  <c r="AM72" i="91"/>
  <c r="AM71" i="91" s="1"/>
  <c r="AL72" i="91"/>
  <c r="AK72" i="91"/>
  <c r="AK71" i="91" s="1"/>
  <c r="AH72" i="91"/>
  <c r="AG72" i="91"/>
  <c r="AG71" i="91" s="1"/>
  <c r="AF72" i="91"/>
  <c r="AE72" i="91"/>
  <c r="AE71" i="91" s="1"/>
  <c r="AD72" i="91"/>
  <c r="AC72" i="91"/>
  <c r="AC71" i="91" s="1"/>
  <c r="AB72" i="91"/>
  <c r="AA72" i="91"/>
  <c r="AA71" i="91" s="1"/>
  <c r="Z72" i="91"/>
  <c r="Y72" i="91"/>
  <c r="Y71" i="91" s="1"/>
  <c r="X72" i="91"/>
  <c r="W72" i="91"/>
  <c r="W71" i="91" s="1"/>
  <c r="V72" i="91"/>
  <c r="U72" i="91"/>
  <c r="U71" i="91" s="1"/>
  <c r="S72" i="91"/>
  <c r="S71" i="91" s="1"/>
  <c r="Q72" i="91"/>
  <c r="Q71" i="91" s="1"/>
  <c r="P72" i="91"/>
  <c r="P71" i="91" s="1"/>
  <c r="O72" i="91"/>
  <c r="N72" i="91"/>
  <c r="N71" i="91" s="1"/>
  <c r="M72" i="91"/>
  <c r="M71" i="91" s="1"/>
  <c r="L72" i="91"/>
  <c r="L71" i="91" s="1"/>
  <c r="K72" i="91"/>
  <c r="J72" i="91"/>
  <c r="J71" i="91" s="1"/>
  <c r="I72" i="91"/>
  <c r="H72" i="91" s="1"/>
  <c r="E72" i="91"/>
  <c r="D72" i="91"/>
  <c r="D71" i="91" s="1"/>
  <c r="CS71" i="91"/>
  <c r="CD71" i="91"/>
  <c r="CB71" i="91"/>
  <c r="BZ71" i="91"/>
  <c r="BX71" i="91"/>
  <c r="BV71" i="91"/>
  <c r="BT71" i="91"/>
  <c r="BR71" i="91"/>
  <c r="BP71" i="91"/>
  <c r="BN71" i="91"/>
  <c r="BL71" i="91"/>
  <c r="BJ71" i="91"/>
  <c r="BH71" i="91"/>
  <c r="BF71" i="91"/>
  <c r="BD71" i="91"/>
  <c r="BB71" i="91"/>
  <c r="AZ71" i="91"/>
  <c r="AX71" i="91"/>
  <c r="AV71" i="91"/>
  <c r="AT71" i="91"/>
  <c r="AR71" i="91"/>
  <c r="AP71" i="91"/>
  <c r="AN71" i="91"/>
  <c r="AL71" i="91"/>
  <c r="AH71" i="91"/>
  <c r="AF71" i="91"/>
  <c r="AD71" i="91"/>
  <c r="AB71" i="91"/>
  <c r="Z71" i="91"/>
  <c r="X71" i="91"/>
  <c r="V71" i="91"/>
  <c r="O71" i="91"/>
  <c r="K71" i="91"/>
  <c r="E71" i="91"/>
  <c r="CR70" i="91"/>
  <c r="BO70" i="91"/>
  <c r="CF70" i="91" s="1"/>
  <c r="CF69" i="91" s="1"/>
  <c r="AY70" i="91"/>
  <c r="AI70" i="91"/>
  <c r="T70" i="91"/>
  <c r="H70" i="91"/>
  <c r="CS69" i="91"/>
  <c r="CE69" i="91"/>
  <c r="CD69" i="91"/>
  <c r="CC69" i="91"/>
  <c r="CC65" i="91" s="1"/>
  <c r="CB69" i="91"/>
  <c r="CA69" i="91"/>
  <c r="CA65" i="91" s="1"/>
  <c r="CR65" i="91" s="1"/>
  <c r="BZ69" i="91"/>
  <c r="BY69" i="91"/>
  <c r="BY65" i="91" s="1"/>
  <c r="BX69" i="91"/>
  <c r="BW69" i="91"/>
  <c r="BW65" i="91" s="1"/>
  <c r="BV69" i="91"/>
  <c r="BU69" i="91"/>
  <c r="BU65" i="91" s="1"/>
  <c r="BT69" i="91"/>
  <c r="BS69" i="91"/>
  <c r="BS65" i="91" s="1"/>
  <c r="BR69" i="91"/>
  <c r="BQ69" i="91"/>
  <c r="BQ65" i="91" s="1"/>
  <c r="BP69" i="91"/>
  <c r="BO69" i="91"/>
  <c r="BN69" i="91"/>
  <c r="BM69" i="91"/>
  <c r="BL69" i="91"/>
  <c r="BK69" i="91"/>
  <c r="BJ69" i="91"/>
  <c r="BI69" i="91"/>
  <c r="BH69" i="91"/>
  <c r="BG69" i="91"/>
  <c r="BF69" i="91"/>
  <c r="BE69" i="91"/>
  <c r="BD69" i="91"/>
  <c r="BC69" i="91"/>
  <c r="BB69" i="91"/>
  <c r="BA69" i="91"/>
  <c r="AZ69" i="91"/>
  <c r="AY69" i="91"/>
  <c r="AX69" i="91"/>
  <c r="AW69" i="91"/>
  <c r="AW65" i="91" s="1"/>
  <c r="AV69" i="91"/>
  <c r="AU69" i="91"/>
  <c r="AU65" i="91" s="1"/>
  <c r="AT69" i="91"/>
  <c r="AS69" i="91"/>
  <c r="AR69" i="91"/>
  <c r="AQ69" i="91"/>
  <c r="AP69" i="91"/>
  <c r="AO69" i="91"/>
  <c r="AN69" i="91"/>
  <c r="AM69" i="91"/>
  <c r="AL69" i="91"/>
  <c r="AK69" i="91"/>
  <c r="AJ69" i="91"/>
  <c r="AI69" i="91"/>
  <c r="AH69" i="91"/>
  <c r="AG69" i="91"/>
  <c r="AF69" i="91"/>
  <c r="AE69" i="91"/>
  <c r="AD69" i="91"/>
  <c r="AC69" i="91"/>
  <c r="AB69" i="91"/>
  <c r="AA69" i="91"/>
  <c r="Z69" i="91"/>
  <c r="Y69" i="91"/>
  <c r="X69" i="91"/>
  <c r="W69" i="91"/>
  <c r="V69" i="91"/>
  <c r="U69" i="91"/>
  <c r="T69" i="91"/>
  <c r="S69" i="91"/>
  <c r="Q69" i="91"/>
  <c r="P69" i="91"/>
  <c r="O69" i="91"/>
  <c r="N69" i="91"/>
  <c r="M69" i="91"/>
  <c r="L69" i="91"/>
  <c r="K69" i="91"/>
  <c r="J69" i="91"/>
  <c r="I69" i="91"/>
  <c r="H69" i="91"/>
  <c r="E69" i="91"/>
  <c r="D69" i="91"/>
  <c r="CE68" i="91"/>
  <c r="BO68" i="91" s="1"/>
  <c r="BN68" i="91"/>
  <c r="AY68" i="91" s="1"/>
  <c r="AI68" i="91"/>
  <c r="AI66" i="91" s="1"/>
  <c r="AI65" i="91" s="1"/>
  <c r="T68" i="91"/>
  <c r="H68" i="91"/>
  <c r="CE67" i="91"/>
  <c r="BN67" i="91"/>
  <c r="AY67" i="91" s="1"/>
  <c r="AI67" i="91"/>
  <c r="T67" i="91"/>
  <c r="H67" i="91"/>
  <c r="CS66" i="91"/>
  <c r="CE66" i="91"/>
  <c r="CD66" i="91"/>
  <c r="CC66" i="91"/>
  <c r="CB66" i="91"/>
  <c r="CA66" i="91"/>
  <c r="BZ66" i="91"/>
  <c r="BY66" i="91"/>
  <c r="BX66" i="91"/>
  <c r="BW66" i="91"/>
  <c r="BV66" i="91"/>
  <c r="BU66" i="91"/>
  <c r="BT66" i="91"/>
  <c r="BS66" i="91"/>
  <c r="BR66" i="91"/>
  <c r="BQ66" i="91"/>
  <c r="BP66" i="91"/>
  <c r="BM66" i="91"/>
  <c r="BL66" i="91"/>
  <c r="BK66" i="91"/>
  <c r="BJ66" i="91"/>
  <c r="BI66" i="91"/>
  <c r="BH66" i="91"/>
  <c r="BG66" i="91"/>
  <c r="BF66" i="91"/>
  <c r="BE66" i="91"/>
  <c r="BD66" i="91"/>
  <c r="BC66" i="91"/>
  <c r="BB66" i="91"/>
  <c r="BA66" i="91"/>
  <c r="AZ66" i="91"/>
  <c r="AX66" i="91"/>
  <c r="AW66" i="91"/>
  <c r="AV66" i="91"/>
  <c r="AU66" i="91"/>
  <c r="AT66" i="91"/>
  <c r="AS66" i="91"/>
  <c r="AR66" i="91"/>
  <c r="AQ66" i="91"/>
  <c r="AP66" i="91"/>
  <c r="AO66" i="91"/>
  <c r="AN66" i="91"/>
  <c r="AM66" i="91"/>
  <c r="AL66" i="91"/>
  <c r="AK66" i="91"/>
  <c r="AJ66" i="91"/>
  <c r="AH66" i="91"/>
  <c r="AG66" i="91"/>
  <c r="AF66" i="91"/>
  <c r="AE66" i="91"/>
  <c r="AD66" i="91"/>
  <c r="AC66" i="91"/>
  <c r="AB66" i="91"/>
  <c r="AA66" i="91"/>
  <c r="Z66" i="91"/>
  <c r="Y66" i="91"/>
  <c r="X66" i="91"/>
  <c r="W66" i="91"/>
  <c r="V66" i="91"/>
  <c r="U66" i="91"/>
  <c r="S66" i="91"/>
  <c r="Q66" i="91"/>
  <c r="P66" i="91"/>
  <c r="O66" i="91"/>
  <c r="N66" i="91"/>
  <c r="M66" i="91"/>
  <c r="L66" i="91"/>
  <c r="K66" i="91"/>
  <c r="J66" i="91"/>
  <c r="I66" i="91"/>
  <c r="H66" i="91"/>
  <c r="E66" i="91"/>
  <c r="D66" i="91"/>
  <c r="CD65" i="91"/>
  <c r="CB65" i="91"/>
  <c r="BZ65" i="91"/>
  <c r="BX65" i="91"/>
  <c r="BV65" i="91"/>
  <c r="BT65" i="91"/>
  <c r="BR65" i="91"/>
  <c r="BP65" i="91"/>
  <c r="BM65" i="91"/>
  <c r="BL65" i="91"/>
  <c r="BK65" i="91"/>
  <c r="BJ65" i="91"/>
  <c r="BI65" i="91"/>
  <c r="BH65" i="91"/>
  <c r="BG65" i="91"/>
  <c r="BF65" i="91"/>
  <c r="BE65" i="91"/>
  <c r="BD65" i="91"/>
  <c r="BC65" i="91"/>
  <c r="BB65" i="91"/>
  <c r="BA65" i="91"/>
  <c r="AZ65" i="91"/>
  <c r="AX65" i="91"/>
  <c r="AV65" i="91"/>
  <c r="AT65" i="91"/>
  <c r="AS65" i="91"/>
  <c r="AR65" i="91"/>
  <c r="AQ65" i="91"/>
  <c r="AP65" i="91"/>
  <c r="AO65" i="91"/>
  <c r="AN65" i="91"/>
  <c r="AM65" i="91"/>
  <c r="AL65" i="91"/>
  <c r="AK65" i="91"/>
  <c r="AJ65" i="91"/>
  <c r="AH65" i="91"/>
  <c r="AG65" i="91"/>
  <c r="AF65" i="91"/>
  <c r="AE65" i="91"/>
  <c r="AD65" i="91"/>
  <c r="AC65" i="91"/>
  <c r="AB65" i="91"/>
  <c r="AA65" i="91"/>
  <c r="Z65" i="91"/>
  <c r="Y65" i="91"/>
  <c r="X65" i="91"/>
  <c r="W65" i="91"/>
  <c r="V65" i="91"/>
  <c r="U65" i="91"/>
  <c r="S65" i="91"/>
  <c r="Q65" i="91"/>
  <c r="P65" i="91"/>
  <c r="O65" i="91"/>
  <c r="N65" i="91"/>
  <c r="M65" i="91"/>
  <c r="L65" i="91"/>
  <c r="K65" i="91"/>
  <c r="J65" i="91"/>
  <c r="I65" i="91"/>
  <c r="H65" i="91"/>
  <c r="E65" i="91"/>
  <c r="D65" i="91"/>
  <c r="BX64" i="91"/>
  <c r="BO64" i="91" s="1"/>
  <c r="BK64" i="91"/>
  <c r="CR64" i="91" s="1"/>
  <c r="BF64" i="91"/>
  <c r="AJ64" i="91"/>
  <c r="AI64" i="91" s="1"/>
  <c r="AI63" i="91" s="1"/>
  <c r="AI62" i="91" s="1"/>
  <c r="T64" i="91"/>
  <c r="T63" i="91" s="1"/>
  <c r="T62" i="91" s="1"/>
  <c r="H64" i="91"/>
  <c r="CE63" i="91"/>
  <c r="CD63" i="91"/>
  <c r="CD62" i="91" s="1"/>
  <c r="CC63" i="91"/>
  <c r="CB63" i="91"/>
  <c r="CB62" i="91" s="1"/>
  <c r="CA63" i="91"/>
  <c r="BZ63" i="91"/>
  <c r="BZ62" i="91" s="1"/>
  <c r="BY63" i="91"/>
  <c r="BW63" i="91"/>
  <c r="BW62" i="91" s="1"/>
  <c r="BV63" i="91"/>
  <c r="BU63" i="91"/>
  <c r="BU62" i="91" s="1"/>
  <c r="BT63" i="91"/>
  <c r="BS63" i="91"/>
  <c r="BS62" i="91" s="1"/>
  <c r="BR63" i="91"/>
  <c r="BQ63" i="91"/>
  <c r="BQ62" i="91" s="1"/>
  <c r="BP63" i="91"/>
  <c r="BN63" i="91"/>
  <c r="BN62" i="91" s="1"/>
  <c r="BM63" i="91"/>
  <c r="BL63" i="91"/>
  <c r="BL62" i="91" s="1"/>
  <c r="BL11" i="91" s="1"/>
  <c r="BJ63" i="91"/>
  <c r="BJ62" i="91" s="1"/>
  <c r="BI63" i="91"/>
  <c r="BH63" i="91"/>
  <c r="BH62" i="91" s="1"/>
  <c r="BG63" i="91"/>
  <c r="BE63" i="91"/>
  <c r="BE62" i="91" s="1"/>
  <c r="BD63" i="91"/>
  <c r="BC63" i="91"/>
  <c r="BC62" i="91" s="1"/>
  <c r="BB63" i="91"/>
  <c r="BA63" i="91"/>
  <c r="BA62" i="91" s="1"/>
  <c r="AZ63" i="91"/>
  <c r="AX63" i="91"/>
  <c r="AX62" i="91" s="1"/>
  <c r="AW63" i="91"/>
  <c r="AV63" i="91"/>
  <c r="AV62" i="91" s="1"/>
  <c r="AU63" i="91"/>
  <c r="AT63" i="91"/>
  <c r="AT62" i="91" s="1"/>
  <c r="AS63" i="91"/>
  <c r="AR63" i="91"/>
  <c r="AR62" i="91" s="1"/>
  <c r="AQ63" i="91"/>
  <c r="AP63" i="91"/>
  <c r="AP62" i="91" s="1"/>
  <c r="AO63" i="91"/>
  <c r="AN63" i="91"/>
  <c r="AN62" i="91" s="1"/>
  <c r="AM63" i="91"/>
  <c r="AL63" i="91"/>
  <c r="AL62" i="91" s="1"/>
  <c r="AK63" i="91"/>
  <c r="AH63" i="91"/>
  <c r="AH62" i="91" s="1"/>
  <c r="AG63" i="91"/>
  <c r="AF63" i="91"/>
  <c r="AF62" i="91" s="1"/>
  <c r="AE63" i="91"/>
  <c r="AD63" i="91"/>
  <c r="AD62" i="91" s="1"/>
  <c r="AC63" i="91"/>
  <c r="AB63" i="91"/>
  <c r="AB62" i="91" s="1"/>
  <c r="AA63" i="91"/>
  <c r="Z63" i="91"/>
  <c r="Z62" i="91" s="1"/>
  <c r="Y63" i="91"/>
  <c r="X63" i="91"/>
  <c r="X62" i="91" s="1"/>
  <c r="W63" i="91"/>
  <c r="V63" i="91"/>
  <c r="V62" i="91" s="1"/>
  <c r="U63" i="91"/>
  <c r="S63" i="91"/>
  <c r="S62" i="91" s="1"/>
  <c r="Q63" i="91"/>
  <c r="P63" i="91"/>
  <c r="P62" i="91" s="1"/>
  <c r="O63" i="91"/>
  <c r="N63" i="91"/>
  <c r="N62" i="91" s="1"/>
  <c r="M63" i="91"/>
  <c r="L63" i="91"/>
  <c r="L62" i="91" s="1"/>
  <c r="K63" i="91"/>
  <c r="J63" i="91"/>
  <c r="J62" i="91" s="1"/>
  <c r="I63" i="91"/>
  <c r="H63" i="91"/>
  <c r="E63" i="91"/>
  <c r="D63" i="91"/>
  <c r="D62" i="91" s="1"/>
  <c r="CS62" i="91"/>
  <c r="CE62" i="91"/>
  <c r="CC62" i="91"/>
  <c r="CA62" i="91"/>
  <c r="BY62" i="91"/>
  <c r="BV62" i="91"/>
  <c r="BT62" i="91"/>
  <c r="BR62" i="91"/>
  <c r="BP62" i="91"/>
  <c r="BM62" i="91"/>
  <c r="BI62" i="91"/>
  <c r="BG62" i="91"/>
  <c r="BD62" i="91"/>
  <c r="BB62" i="91"/>
  <c r="AZ62" i="91"/>
  <c r="AW62" i="91"/>
  <c r="AU62" i="91"/>
  <c r="AS62" i="91"/>
  <c r="AQ62" i="91"/>
  <c r="AO62" i="91"/>
  <c r="AM62" i="91"/>
  <c r="AK62" i="91"/>
  <c r="AG62" i="91"/>
  <c r="AE62" i="91"/>
  <c r="AC62" i="91"/>
  <c r="AA62" i="91"/>
  <c r="Y62" i="91"/>
  <c r="W62" i="91"/>
  <c r="U62" i="91"/>
  <c r="Q62" i="91"/>
  <c r="O62" i="91"/>
  <c r="M62" i="91"/>
  <c r="K62" i="91"/>
  <c r="I62" i="91"/>
  <c r="H62" i="91" s="1"/>
  <c r="E62" i="91"/>
  <c r="BO61" i="91"/>
  <c r="AY61" i="91"/>
  <c r="AI61" i="91"/>
  <c r="T61" i="91"/>
  <c r="H61" i="91"/>
  <c r="BO60" i="91"/>
  <c r="AY60" i="91"/>
  <c r="AI60" i="91"/>
  <c r="T60" i="91"/>
  <c r="H60" i="91"/>
  <c r="BO59" i="91"/>
  <c r="AY59" i="91"/>
  <c r="AI59" i="91"/>
  <c r="T59" i="91"/>
  <c r="H59" i="91"/>
  <c r="BO58" i="91"/>
  <c r="AY58" i="91"/>
  <c r="AI58" i="91"/>
  <c r="T58" i="91"/>
  <c r="H58" i="91"/>
  <c r="BO57" i="91"/>
  <c r="AY57" i="91"/>
  <c r="AI57" i="91"/>
  <c r="T57" i="91"/>
  <c r="H57" i="91"/>
  <c r="BO56" i="91"/>
  <c r="AY56" i="91"/>
  <c r="AI56" i="91"/>
  <c r="T56" i="91"/>
  <c r="H56" i="91"/>
  <c r="BO55" i="91"/>
  <c r="AY55" i="91"/>
  <c r="AI55" i="91"/>
  <c r="T55" i="91"/>
  <c r="H55" i="91"/>
  <c r="BO54" i="91"/>
  <c r="AY54" i="91"/>
  <c r="AI54" i="91"/>
  <c r="T54" i="91"/>
  <c r="H54" i="91"/>
  <c r="BO53" i="91"/>
  <c r="AY53" i="91"/>
  <c r="AI53" i="91"/>
  <c r="T53" i="91"/>
  <c r="H53" i="91"/>
  <c r="BO52" i="91"/>
  <c r="AY52" i="91"/>
  <c r="AI52" i="91"/>
  <c r="T52" i="91"/>
  <c r="H52" i="91"/>
  <c r="BO51" i="91"/>
  <c r="AY51" i="91"/>
  <c r="AI51" i="91"/>
  <c r="T51" i="91"/>
  <c r="H51" i="91"/>
  <c r="BO50" i="91"/>
  <c r="AY50" i="91"/>
  <c r="AI50" i="91"/>
  <c r="T50" i="91"/>
  <c r="H50" i="91"/>
  <c r="BO49" i="91"/>
  <c r="AY49" i="91"/>
  <c r="AI49" i="91"/>
  <c r="T49" i="91"/>
  <c r="H49" i="91"/>
  <c r="BO48" i="91"/>
  <c r="AY48" i="91"/>
  <c r="AI48" i="91"/>
  <c r="T48" i="91"/>
  <c r="H48" i="91"/>
  <c r="BO47" i="91"/>
  <c r="AY47" i="91"/>
  <c r="AI47" i="91"/>
  <c r="T47" i="91"/>
  <c r="H47" i="91"/>
  <c r="BO46" i="91"/>
  <c r="AY46" i="91"/>
  <c r="AJ46" i="91"/>
  <c r="AI46" i="91" s="1"/>
  <c r="T46" i="91"/>
  <c r="H46" i="91"/>
  <c r="CE45" i="91"/>
  <c r="CW45" i="91" s="1"/>
  <c r="BN45" i="91"/>
  <c r="AY45" i="91" s="1"/>
  <c r="AI45" i="91"/>
  <c r="T45" i="91"/>
  <c r="H45" i="91"/>
  <c r="CJ44" i="91"/>
  <c r="BO44" i="91"/>
  <c r="AY44" i="91"/>
  <c r="AJ44" i="91"/>
  <c r="AI44" i="91" s="1"/>
  <c r="AI43" i="91" s="1"/>
  <c r="AI42" i="91" s="1"/>
  <c r="T44" i="91"/>
  <c r="H44" i="91"/>
  <c r="CS43" i="91"/>
  <c r="CD43" i="91"/>
  <c r="CC43" i="91"/>
  <c r="CB43" i="91"/>
  <c r="CA43" i="91"/>
  <c r="BZ43" i="91"/>
  <c r="BY43" i="91"/>
  <c r="BX43" i="91"/>
  <c r="BW43" i="91"/>
  <c r="BV43" i="91"/>
  <c r="BU43" i="91"/>
  <c r="BT43" i="91"/>
  <c r="BS43" i="91"/>
  <c r="CJ43" i="91" s="1"/>
  <c r="BR43" i="91"/>
  <c r="BQ43" i="91"/>
  <c r="BP43" i="91"/>
  <c r="BN43" i="91"/>
  <c r="BM43" i="91"/>
  <c r="BL43" i="91"/>
  <c r="BK43" i="91"/>
  <c r="BJ43" i="91"/>
  <c r="BI43" i="91"/>
  <c r="BH43" i="91"/>
  <c r="BG43" i="91"/>
  <c r="BF43" i="91"/>
  <c r="BE43" i="91"/>
  <c r="BD43" i="91"/>
  <c r="BC43" i="91"/>
  <c r="BB43" i="91"/>
  <c r="BA43" i="91"/>
  <c r="AZ43" i="91"/>
  <c r="AX43" i="91"/>
  <c r="AW43" i="91"/>
  <c r="AV43" i="91"/>
  <c r="AU43" i="91"/>
  <c r="AT43" i="91"/>
  <c r="AS43" i="91"/>
  <c r="AR43" i="91"/>
  <c r="AQ43" i="91"/>
  <c r="AP43" i="91"/>
  <c r="AO43" i="91"/>
  <c r="AN43" i="91"/>
  <c r="AM43" i="91"/>
  <c r="AL43" i="91"/>
  <c r="AK43" i="91"/>
  <c r="AH43" i="91"/>
  <c r="AG43" i="91"/>
  <c r="AF43" i="91"/>
  <c r="AE43" i="91"/>
  <c r="AD43" i="91"/>
  <c r="AC43" i="91"/>
  <c r="AB43" i="91"/>
  <c r="AA43" i="91"/>
  <c r="Z43" i="91"/>
  <c r="Y43" i="91"/>
  <c r="X43" i="91"/>
  <c r="W43" i="91"/>
  <c r="V43" i="91"/>
  <c r="U43" i="91"/>
  <c r="T43" i="91"/>
  <c r="S43" i="91"/>
  <c r="Q43" i="91"/>
  <c r="P43" i="91"/>
  <c r="O43" i="91"/>
  <c r="N43" i="91"/>
  <c r="M43" i="91"/>
  <c r="L43" i="91"/>
  <c r="K43" i="91"/>
  <c r="J43" i="91"/>
  <c r="I43" i="91"/>
  <c r="H43" i="91" s="1"/>
  <c r="E43" i="91"/>
  <c r="D43" i="91"/>
  <c r="CD42" i="91"/>
  <c r="CC42" i="91"/>
  <c r="CB42" i="91"/>
  <c r="CA42" i="91"/>
  <c r="BZ42" i="91"/>
  <c r="BY42" i="91"/>
  <c r="BX42" i="91"/>
  <c r="BW42" i="91"/>
  <c r="BV42" i="91"/>
  <c r="BU42" i="91"/>
  <c r="BT42" i="91"/>
  <c r="BS42" i="91"/>
  <c r="CJ42" i="91" s="1"/>
  <c r="BR42" i="91"/>
  <c r="BQ42" i="91"/>
  <c r="BP42" i="91"/>
  <c r="BN42" i="91"/>
  <c r="BM42" i="91"/>
  <c r="BL42" i="91"/>
  <c r="BK42" i="91"/>
  <c r="BJ42" i="91"/>
  <c r="BI42" i="91"/>
  <c r="BH42" i="91"/>
  <c r="BG42" i="91"/>
  <c r="BF42" i="91"/>
  <c r="BE42" i="91"/>
  <c r="BD42" i="91"/>
  <c r="BC42" i="91"/>
  <c r="BB42" i="91"/>
  <c r="BA42" i="91"/>
  <c r="AZ42" i="91"/>
  <c r="AX42" i="91"/>
  <c r="AW42" i="91"/>
  <c r="AV42" i="91"/>
  <c r="AU42" i="91"/>
  <c r="AT42" i="91"/>
  <c r="AS42" i="91"/>
  <c r="AR42" i="91"/>
  <c r="AQ42" i="91"/>
  <c r="AP42" i="91"/>
  <c r="AO42" i="91"/>
  <c r="AN42" i="91"/>
  <c r="AM42" i="91"/>
  <c r="AL42" i="91"/>
  <c r="AK42" i="91"/>
  <c r="AH42" i="91"/>
  <c r="AG42" i="91"/>
  <c r="AF42" i="91"/>
  <c r="AE42" i="91"/>
  <c r="AD42" i="91"/>
  <c r="AC42" i="91"/>
  <c r="AB42" i="91"/>
  <c r="AA42" i="91"/>
  <c r="Z42" i="91"/>
  <c r="Y42" i="91"/>
  <c r="X42" i="91"/>
  <c r="W42" i="91"/>
  <c r="V42" i="91"/>
  <c r="U42" i="91"/>
  <c r="T42" i="91"/>
  <c r="S42" i="91"/>
  <c r="Q42" i="91"/>
  <c r="P42" i="91"/>
  <c r="O42" i="91"/>
  <c r="N42" i="91"/>
  <c r="M42" i="91"/>
  <c r="L42" i="91"/>
  <c r="K42" i="91"/>
  <c r="J42" i="91"/>
  <c r="I42" i="91"/>
  <c r="H42" i="91" s="1"/>
  <c r="E42" i="91"/>
  <c r="D42" i="91"/>
  <c r="BS41" i="91"/>
  <c r="BC41" i="91"/>
  <c r="AY41" i="91" s="1"/>
  <c r="AY40" i="91" s="1"/>
  <c r="AI41" i="91"/>
  <c r="T41" i="91"/>
  <c r="T40" i="91" s="1"/>
  <c r="H41" i="91"/>
  <c r="CS40" i="91"/>
  <c r="CE40" i="91"/>
  <c r="CD40" i="91"/>
  <c r="CC40" i="91"/>
  <c r="CB40" i="91"/>
  <c r="CA40" i="91"/>
  <c r="BZ40" i="91"/>
  <c r="BY40" i="91"/>
  <c r="BX40" i="91"/>
  <c r="BW40" i="91"/>
  <c r="BV40" i="91"/>
  <c r="BU40" i="91"/>
  <c r="BT40" i="91"/>
  <c r="BS40" i="91"/>
  <c r="BR40" i="91"/>
  <c r="BQ40" i="91"/>
  <c r="BP40" i="91"/>
  <c r="BN40" i="91"/>
  <c r="BN37" i="91" s="1"/>
  <c r="BM40" i="91"/>
  <c r="BL40" i="91"/>
  <c r="BK40" i="91"/>
  <c r="BJ40" i="91"/>
  <c r="BI40" i="91"/>
  <c r="BH40" i="91"/>
  <c r="BG40" i="91"/>
  <c r="BF40" i="91"/>
  <c r="BE40" i="91"/>
  <c r="BD40" i="91"/>
  <c r="BB40" i="91"/>
  <c r="BA40" i="91"/>
  <c r="AZ40" i="91"/>
  <c r="AX40" i="91"/>
  <c r="AW40" i="91"/>
  <c r="AV40" i="91"/>
  <c r="AU40" i="91"/>
  <c r="AT40" i="91"/>
  <c r="AS40" i="91"/>
  <c r="AR40" i="91"/>
  <c r="AQ40" i="91"/>
  <c r="AP40" i="91"/>
  <c r="AO40" i="91"/>
  <c r="AN40" i="91"/>
  <c r="AM40" i="91"/>
  <c r="AL40" i="91"/>
  <c r="AK40" i="91"/>
  <c r="AJ40" i="91"/>
  <c r="AI40" i="91"/>
  <c r="AH40" i="91"/>
  <c r="AG40" i="91"/>
  <c r="AF40" i="91"/>
  <c r="AE40" i="91"/>
  <c r="AD40" i="91"/>
  <c r="AC40" i="91"/>
  <c r="AB40" i="91"/>
  <c r="AA40" i="91"/>
  <c r="Z40" i="91"/>
  <c r="Y40" i="91"/>
  <c r="X40" i="91"/>
  <c r="W40" i="91"/>
  <c r="V40" i="91"/>
  <c r="U40" i="91"/>
  <c r="S40" i="91"/>
  <c r="Q40" i="91"/>
  <c r="P40" i="91"/>
  <c r="O40" i="91"/>
  <c r="N40" i="91"/>
  <c r="M40" i="91"/>
  <c r="L40" i="91"/>
  <c r="K40" i="91"/>
  <c r="J40" i="91"/>
  <c r="I40" i="91"/>
  <c r="H40" i="91"/>
  <c r="E40" i="91"/>
  <c r="D40" i="91"/>
  <c r="D37" i="91" s="1"/>
  <c r="CA39" i="91"/>
  <c r="BK39" i="91"/>
  <c r="AY39" i="91" s="1"/>
  <c r="AY38" i="91" s="1"/>
  <c r="AY37" i="91" s="1"/>
  <c r="AI39" i="91"/>
  <c r="T39" i="91"/>
  <c r="T38" i="91" s="1"/>
  <c r="H39" i="91"/>
  <c r="CS38" i="91"/>
  <c r="CE38" i="91"/>
  <c r="CD38" i="91"/>
  <c r="CD37" i="91" s="1"/>
  <c r="CC38" i="91"/>
  <c r="CB38" i="91"/>
  <c r="CA38" i="91"/>
  <c r="BZ38" i="91"/>
  <c r="BZ37" i="91" s="1"/>
  <c r="BY38" i="91"/>
  <c r="BX38" i="91"/>
  <c r="BW38" i="91"/>
  <c r="BV38" i="91"/>
  <c r="BV37" i="91" s="1"/>
  <c r="BU38" i="91"/>
  <c r="BT38" i="91"/>
  <c r="BS38" i="91"/>
  <c r="BR38" i="91"/>
  <c r="BR37" i="91" s="1"/>
  <c r="BQ38" i="91"/>
  <c r="BP38" i="91"/>
  <c r="BN38" i="91"/>
  <c r="BM38" i="91"/>
  <c r="BL38" i="91"/>
  <c r="BJ38" i="91"/>
  <c r="BJ37" i="91" s="1"/>
  <c r="BI38" i="91"/>
  <c r="BH38" i="91"/>
  <c r="BG38" i="91"/>
  <c r="BF38" i="91"/>
  <c r="BF37" i="91" s="1"/>
  <c r="BE38" i="91"/>
  <c r="BD38" i="91"/>
  <c r="BC38" i="91"/>
  <c r="BB38" i="91"/>
  <c r="BB37" i="91" s="1"/>
  <c r="BB11" i="91" s="1"/>
  <c r="BA38" i="91"/>
  <c r="AZ38" i="91"/>
  <c r="AX38" i="91"/>
  <c r="AW38" i="91"/>
  <c r="AV38" i="91"/>
  <c r="AU38" i="91"/>
  <c r="AT38" i="91"/>
  <c r="AS38" i="91"/>
  <c r="AR38" i="91"/>
  <c r="AQ38" i="91"/>
  <c r="AP38" i="91"/>
  <c r="AO38" i="91"/>
  <c r="AN38" i="91"/>
  <c r="AM38" i="91"/>
  <c r="AL38" i="91"/>
  <c r="AK38" i="91"/>
  <c r="AJ38" i="91"/>
  <c r="AI38" i="91"/>
  <c r="AH38" i="91"/>
  <c r="AG38" i="91"/>
  <c r="AF38" i="91"/>
  <c r="AE38" i="91"/>
  <c r="AD38" i="91"/>
  <c r="AC38" i="91"/>
  <c r="AB38" i="91"/>
  <c r="AA38" i="91"/>
  <c r="Z38" i="91"/>
  <c r="Y38" i="91"/>
  <c r="X38" i="91"/>
  <c r="W38" i="91"/>
  <c r="V38" i="91"/>
  <c r="U38" i="91"/>
  <c r="S38" i="91"/>
  <c r="Q38" i="91"/>
  <c r="P38" i="91"/>
  <c r="O38" i="91"/>
  <c r="N38" i="91"/>
  <c r="M38" i="91"/>
  <c r="L38" i="91"/>
  <c r="K38" i="91"/>
  <c r="J38" i="91"/>
  <c r="I38" i="91"/>
  <c r="E38" i="91"/>
  <c r="D38" i="91"/>
  <c r="CS37" i="91"/>
  <c r="CB37" i="91"/>
  <c r="BX37" i="91"/>
  <c r="BT37" i="91"/>
  <c r="BP37" i="91"/>
  <c r="BL37" i="91"/>
  <c r="BH37" i="91"/>
  <c r="BD37" i="91"/>
  <c r="AZ37" i="91"/>
  <c r="AX37" i="91"/>
  <c r="AV37" i="91"/>
  <c r="AT37" i="91"/>
  <c r="AR37" i="91"/>
  <c r="AP37" i="91"/>
  <c r="AN37" i="91"/>
  <c r="AL37" i="91"/>
  <c r="AJ37" i="91"/>
  <c r="AH37" i="91"/>
  <c r="AF37" i="91"/>
  <c r="AD37" i="91"/>
  <c r="AB37" i="91"/>
  <c r="Z37" i="91"/>
  <c r="X37" i="91"/>
  <c r="V37" i="91"/>
  <c r="Q37" i="91"/>
  <c r="O37" i="91"/>
  <c r="M37" i="91"/>
  <c r="K37" i="91"/>
  <c r="I37" i="91"/>
  <c r="E37" i="91"/>
  <c r="BX36" i="91"/>
  <c r="BO36" i="91"/>
  <c r="BJ36" i="91"/>
  <c r="CQ36" i="91" s="1"/>
  <c r="BF36" i="91"/>
  <c r="CM36" i="91" s="1"/>
  <c r="AI36" i="91"/>
  <c r="T36" i="91"/>
  <c r="H36" i="91"/>
  <c r="BX35" i="91"/>
  <c r="BO35" i="91" s="1"/>
  <c r="BJ35" i="91"/>
  <c r="CQ35" i="91" s="1"/>
  <c r="BF35" i="91"/>
  <c r="CM35" i="91" s="1"/>
  <c r="AI35" i="91"/>
  <c r="T35" i="91"/>
  <c r="H35" i="91"/>
  <c r="BX34" i="91"/>
  <c r="BO34" i="91" s="1"/>
  <c r="BJ34" i="91"/>
  <c r="CQ34" i="91" s="1"/>
  <c r="BF34" i="91"/>
  <c r="CM34" i="91" s="1"/>
  <c r="AI34" i="91"/>
  <c r="T34" i="91"/>
  <c r="H34" i="91"/>
  <c r="BX33" i="91"/>
  <c r="BO33" i="91" s="1"/>
  <c r="BJ33" i="91"/>
  <c r="CQ33" i="91" s="1"/>
  <c r="BF33" i="91"/>
  <c r="CM33" i="91" s="1"/>
  <c r="AI33" i="91"/>
  <c r="T33" i="91"/>
  <c r="H33" i="91"/>
  <c r="BX32" i="91"/>
  <c r="BO32" i="91"/>
  <c r="BJ32" i="91"/>
  <c r="CQ32" i="91" s="1"/>
  <c r="BF32" i="91"/>
  <c r="CM32" i="91" s="1"/>
  <c r="AI32" i="91"/>
  <c r="T32" i="91"/>
  <c r="H32" i="91"/>
  <c r="BX31" i="91"/>
  <c r="BO31" i="91" s="1"/>
  <c r="BJ31" i="91"/>
  <c r="CQ31" i="91" s="1"/>
  <c r="BF31" i="91"/>
  <c r="CM31" i="91" s="1"/>
  <c r="AI31" i="91"/>
  <c r="T31" i="91"/>
  <c r="H31" i="91"/>
  <c r="BX30" i="91"/>
  <c r="BO30" i="91" s="1"/>
  <c r="BJ30" i="91"/>
  <c r="CQ30" i="91" s="1"/>
  <c r="BF30" i="91"/>
  <c r="CM30" i="91" s="1"/>
  <c r="AI30" i="91"/>
  <c r="T30" i="91"/>
  <c r="H30" i="91"/>
  <c r="BX29" i="91"/>
  <c r="BO29" i="91" s="1"/>
  <c r="BJ29" i="91"/>
  <c r="CQ29" i="91" s="1"/>
  <c r="BF29" i="91"/>
  <c r="CM29" i="91" s="1"/>
  <c r="AI29" i="91"/>
  <c r="T29" i="91"/>
  <c r="H29" i="91"/>
  <c r="BX28" i="91"/>
  <c r="BO28" i="91"/>
  <c r="BJ28" i="91"/>
  <c r="CQ28" i="91" s="1"/>
  <c r="BF28" i="91"/>
  <c r="CM28" i="91" s="1"/>
  <c r="AI28" i="91"/>
  <c r="T28" i="91"/>
  <c r="H28" i="91"/>
  <c r="BX27" i="91"/>
  <c r="BO27" i="91" s="1"/>
  <c r="BJ27" i="91"/>
  <c r="CQ27" i="91" s="1"/>
  <c r="BF27" i="91"/>
  <c r="CM27" i="91" s="1"/>
  <c r="AI27" i="91"/>
  <c r="T27" i="91"/>
  <c r="H27" i="91"/>
  <c r="BX26" i="91"/>
  <c r="BO26" i="91" s="1"/>
  <c r="BJ26" i="91"/>
  <c r="CQ26" i="91" s="1"/>
  <c r="BF26" i="91"/>
  <c r="CM26" i="91" s="1"/>
  <c r="AI26" i="91"/>
  <c r="T26" i="91"/>
  <c r="H26" i="91"/>
  <c r="BX25" i="91"/>
  <c r="BO25" i="91" s="1"/>
  <c r="BJ25" i="91"/>
  <c r="CQ25" i="91" s="1"/>
  <c r="BF25" i="91"/>
  <c r="CM25" i="91" s="1"/>
  <c r="AI25" i="91"/>
  <c r="T25" i="91"/>
  <c r="H25" i="91"/>
  <c r="CA24" i="91"/>
  <c r="BK24" i="91"/>
  <c r="AY24" i="91" s="1"/>
  <c r="AI24" i="91"/>
  <c r="T24" i="91"/>
  <c r="H24" i="91"/>
  <c r="CA23" i="91"/>
  <c r="BO23" i="91" s="1"/>
  <c r="BK23" i="91"/>
  <c r="AY23" i="91" s="1"/>
  <c r="AI23" i="91"/>
  <c r="T23" i="91"/>
  <c r="H23" i="91"/>
  <c r="CA22" i="91"/>
  <c r="BK22" i="91"/>
  <c r="AY22" i="91" s="1"/>
  <c r="AI22" i="91"/>
  <c r="T22" i="91"/>
  <c r="H22" i="91"/>
  <c r="CE21" i="91"/>
  <c r="CD21" i="91"/>
  <c r="CC21" i="91"/>
  <c r="CB21" i="91"/>
  <c r="BZ21" i="91"/>
  <c r="BY21" i="91"/>
  <c r="BX21" i="91"/>
  <c r="BW21" i="91"/>
  <c r="BV21" i="91"/>
  <c r="BU21" i="91"/>
  <c r="BT21" i="91"/>
  <c r="BS21" i="91"/>
  <c r="BR21" i="91"/>
  <c r="BQ21" i="91"/>
  <c r="BP21" i="91"/>
  <c r="BN21" i="91"/>
  <c r="BM21" i="91"/>
  <c r="BL21" i="91"/>
  <c r="BI21" i="91"/>
  <c r="BH21" i="91"/>
  <c r="BG21" i="91"/>
  <c r="BE21" i="91"/>
  <c r="BD21" i="91"/>
  <c r="BD17" i="91" s="1"/>
  <c r="BC21" i="91"/>
  <c r="BB21" i="91"/>
  <c r="BA21" i="91"/>
  <c r="AZ21" i="91"/>
  <c r="AZ17" i="91" s="1"/>
  <c r="AX21" i="91"/>
  <c r="AW21" i="91"/>
  <c r="AV21" i="91"/>
  <c r="AU21" i="91"/>
  <c r="AT21" i="91"/>
  <c r="AS21" i="91"/>
  <c r="AR21" i="91"/>
  <c r="AQ21" i="91"/>
  <c r="AP21" i="91"/>
  <c r="AO21" i="91"/>
  <c r="AN21" i="91"/>
  <c r="AM21" i="91"/>
  <c r="AL21" i="91"/>
  <c r="AK21" i="91"/>
  <c r="AJ21" i="91"/>
  <c r="AH21" i="91"/>
  <c r="AG21" i="91"/>
  <c r="AF21" i="91"/>
  <c r="AE21" i="91"/>
  <c r="AD21" i="91"/>
  <c r="AC21" i="91"/>
  <c r="AB21" i="91"/>
  <c r="AA21" i="91"/>
  <c r="Z21" i="91"/>
  <c r="Y21" i="91"/>
  <c r="X21" i="91"/>
  <c r="W21" i="91"/>
  <c r="V21" i="91"/>
  <c r="U21" i="91"/>
  <c r="T21" i="91"/>
  <c r="S21" i="91"/>
  <c r="Q21" i="91"/>
  <c r="Q17" i="91" s="1"/>
  <c r="P21" i="91"/>
  <c r="O21" i="91"/>
  <c r="N21" i="91"/>
  <c r="M21" i="91"/>
  <c r="M17" i="91" s="1"/>
  <c r="L21" i="91"/>
  <c r="K21" i="91"/>
  <c r="J21" i="91"/>
  <c r="I21" i="91"/>
  <c r="H21" i="91" s="1"/>
  <c r="E21" i="91"/>
  <c r="D21" i="91"/>
  <c r="CE20" i="91"/>
  <c r="BN20" i="91"/>
  <c r="AY20" i="91" s="1"/>
  <c r="AI20" i="91"/>
  <c r="AA20" i="91"/>
  <c r="T20" i="91" s="1"/>
  <c r="H20" i="91"/>
  <c r="CE19" i="91"/>
  <c r="BO19" i="91" s="1"/>
  <c r="BN19" i="91"/>
  <c r="AY19" i="91" s="1"/>
  <c r="AY18" i="91" s="1"/>
  <c r="AI19" i="91"/>
  <c r="AA19" i="91"/>
  <c r="T19" i="91" s="1"/>
  <c r="H19" i="91"/>
  <c r="CE18" i="91"/>
  <c r="CD18" i="91"/>
  <c r="CD17" i="91" s="1"/>
  <c r="CC18" i="91"/>
  <c r="CB18" i="91"/>
  <c r="CA18" i="91"/>
  <c r="BZ18" i="91"/>
  <c r="BZ17" i="91" s="1"/>
  <c r="BY18" i="91"/>
  <c r="BY17" i="91" s="1"/>
  <c r="BX18" i="91"/>
  <c r="BW18" i="91"/>
  <c r="BW17" i="91" s="1"/>
  <c r="BV18" i="91"/>
  <c r="BV17" i="91" s="1"/>
  <c r="BU18" i="91"/>
  <c r="BU17" i="91" s="1"/>
  <c r="BT18" i="91"/>
  <c r="BS18" i="91"/>
  <c r="BS17" i="91" s="1"/>
  <c r="BR18" i="91"/>
  <c r="BR17" i="91" s="1"/>
  <c r="BQ18" i="91"/>
  <c r="BQ17" i="91" s="1"/>
  <c r="BP18" i="91"/>
  <c r="BM18" i="91"/>
  <c r="BM17" i="91" s="1"/>
  <c r="BL18" i="91"/>
  <c r="BK18" i="91"/>
  <c r="BJ18" i="91"/>
  <c r="BI18" i="91"/>
  <c r="BI17" i="91" s="1"/>
  <c r="BH18" i="91"/>
  <c r="BG18" i="91"/>
  <c r="BG17" i="91" s="1"/>
  <c r="BF18" i="91"/>
  <c r="BE18" i="91"/>
  <c r="BE17" i="91" s="1"/>
  <c r="BD18" i="91"/>
  <c r="BC18" i="91"/>
  <c r="BC17" i="91" s="1"/>
  <c r="BB18" i="91"/>
  <c r="BA18" i="91"/>
  <c r="BA17" i="91" s="1"/>
  <c r="AZ18" i="91"/>
  <c r="AX18" i="91"/>
  <c r="AW18" i="91"/>
  <c r="AV18" i="91"/>
  <c r="AV17" i="91" s="1"/>
  <c r="AU18" i="91"/>
  <c r="AT18" i="91"/>
  <c r="AS18" i="91"/>
  <c r="AR18" i="91"/>
  <c r="AR17" i="91" s="1"/>
  <c r="AQ18" i="91"/>
  <c r="AP18" i="91"/>
  <c r="AO18" i="91"/>
  <c r="AN18" i="91"/>
  <c r="AN17" i="91" s="1"/>
  <c r="AM18" i="91"/>
  <c r="AL18" i="91"/>
  <c r="AK18" i="91"/>
  <c r="AJ18" i="91"/>
  <c r="AJ17" i="91" s="1"/>
  <c r="AI18" i="91"/>
  <c r="AH18" i="91"/>
  <c r="AG18" i="91"/>
  <c r="AG17" i="91" s="1"/>
  <c r="AF18" i="91"/>
  <c r="AF17" i="91" s="1"/>
  <c r="AE18" i="91"/>
  <c r="AE17" i="91" s="1"/>
  <c r="AD18" i="91"/>
  <c r="AC18" i="91"/>
  <c r="AC17" i="91" s="1"/>
  <c r="AB18" i="91"/>
  <c r="AB17" i="91" s="1"/>
  <c r="Z18" i="91"/>
  <c r="Y18" i="91"/>
  <c r="Y17" i="91" s="1"/>
  <c r="X18" i="91"/>
  <c r="X17" i="91" s="1"/>
  <c r="W18" i="91"/>
  <c r="W17" i="91" s="1"/>
  <c r="V18" i="91"/>
  <c r="U18" i="91"/>
  <c r="S18" i="91"/>
  <c r="S17" i="91" s="1"/>
  <c r="Q18" i="91"/>
  <c r="P18" i="91"/>
  <c r="P17" i="91" s="1"/>
  <c r="O18" i="91"/>
  <c r="N18" i="91"/>
  <c r="N17" i="91" s="1"/>
  <c r="M18" i="91"/>
  <c r="L18" i="91"/>
  <c r="L17" i="91" s="1"/>
  <c r="K18" i="91"/>
  <c r="J18" i="91"/>
  <c r="J17" i="91" s="1"/>
  <c r="I18" i="91"/>
  <c r="E18" i="91"/>
  <c r="CB17" i="91"/>
  <c r="BX17" i="91"/>
  <c r="BT17" i="91"/>
  <c r="BP17" i="91"/>
  <c r="BL17" i="91"/>
  <c r="BH17" i="91"/>
  <c r="BB17" i="91"/>
  <c r="AX17" i="91"/>
  <c r="AT17" i="91"/>
  <c r="AP17" i="91"/>
  <c r="AL17" i="91"/>
  <c r="AH17" i="91"/>
  <c r="AD17" i="91"/>
  <c r="Z17" i="91"/>
  <c r="V17" i="91"/>
  <c r="O17" i="91"/>
  <c r="K17" i="91"/>
  <c r="E17" i="91"/>
  <c r="CE16" i="91"/>
  <c r="BO16" i="91" s="1"/>
  <c r="BN16" i="91"/>
  <c r="AY16" i="91" s="1"/>
  <c r="AI16" i="91"/>
  <c r="T16" i="91"/>
  <c r="H16" i="91"/>
  <c r="BO15" i="91"/>
  <c r="BN15" i="91"/>
  <c r="CW15" i="91" s="1"/>
  <c r="AI15" i="91"/>
  <c r="AI13" i="91" s="1"/>
  <c r="AI12" i="91" s="1"/>
  <c r="AA15" i="91"/>
  <c r="T15" i="91" s="1"/>
  <c r="H15" i="91"/>
  <c r="CE14" i="91"/>
  <c r="BO14" i="91" s="1"/>
  <c r="BN14" i="91"/>
  <c r="AY14" i="91" s="1"/>
  <c r="AI14" i="91"/>
  <c r="T14" i="91"/>
  <c r="H14" i="91"/>
  <c r="CD13" i="91"/>
  <c r="CD12" i="91" s="1"/>
  <c r="CC13" i="91"/>
  <c r="CB13" i="91"/>
  <c r="CB12" i="91" s="1"/>
  <c r="CA13" i="91"/>
  <c r="BZ13" i="91"/>
  <c r="BZ12" i="91" s="1"/>
  <c r="BY13" i="91"/>
  <c r="BX13" i="91"/>
  <c r="BX12" i="91" s="1"/>
  <c r="BW13" i="91"/>
  <c r="BV13" i="91"/>
  <c r="BV12" i="91" s="1"/>
  <c r="BU13" i="91"/>
  <c r="BT13" i="91"/>
  <c r="BS13" i="91"/>
  <c r="BS12" i="91" s="1"/>
  <c r="BR13" i="91"/>
  <c r="BR12" i="91" s="1"/>
  <c r="BR11" i="91" s="1"/>
  <c r="BQ13" i="91"/>
  <c r="BQ12" i="91" s="1"/>
  <c r="BP13" i="91"/>
  <c r="BM13" i="91"/>
  <c r="BM12" i="91" s="1"/>
  <c r="BL13" i="91"/>
  <c r="BK13" i="91"/>
  <c r="BK12" i="91" s="1"/>
  <c r="BJ13" i="91"/>
  <c r="BI13" i="91"/>
  <c r="BI12" i="91" s="1"/>
  <c r="BH13" i="91"/>
  <c r="BG13" i="91"/>
  <c r="BG12" i="91" s="1"/>
  <c r="BF13" i="91"/>
  <c r="BE13" i="91"/>
  <c r="BE12" i="91" s="1"/>
  <c r="BD13" i="91"/>
  <c r="BC13" i="91"/>
  <c r="BC12" i="91" s="1"/>
  <c r="BB13" i="91"/>
  <c r="BA13" i="91"/>
  <c r="BA12" i="91" s="1"/>
  <c r="AZ13" i="91"/>
  <c r="AX13" i="91"/>
  <c r="AX12" i="91" s="1"/>
  <c r="AX11" i="91" s="1"/>
  <c r="AW13" i="91"/>
  <c r="AW12" i="91" s="1"/>
  <c r="AV13" i="91"/>
  <c r="AU13" i="91"/>
  <c r="AU12" i="91" s="1"/>
  <c r="AT13" i="91"/>
  <c r="AT12" i="91" s="1"/>
  <c r="AT11" i="91" s="1"/>
  <c r="AT10" i="91" s="1"/>
  <c r="AS13" i="91"/>
  <c r="AS12" i="91" s="1"/>
  <c r="AR13" i="91"/>
  <c r="AQ13" i="91"/>
  <c r="AQ12" i="91" s="1"/>
  <c r="AP13" i="91"/>
  <c r="AP12" i="91" s="1"/>
  <c r="AP11" i="91" s="1"/>
  <c r="AO13" i="91"/>
  <c r="AO12" i="91" s="1"/>
  <c r="AN13" i="91"/>
  <c r="AM13" i="91"/>
  <c r="AM12" i="91" s="1"/>
  <c r="AL13" i="91"/>
  <c r="AL12" i="91" s="1"/>
  <c r="AK13" i="91"/>
  <c r="AK12" i="91" s="1"/>
  <c r="AJ13" i="91"/>
  <c r="AH13" i="91"/>
  <c r="AH12" i="91" s="1"/>
  <c r="AH11" i="91" s="1"/>
  <c r="AG13" i="91"/>
  <c r="AG12" i="91" s="1"/>
  <c r="AF13" i="91"/>
  <c r="AE13" i="91"/>
  <c r="AE12" i="91" s="1"/>
  <c r="AD13" i="91"/>
  <c r="AD12" i="91" s="1"/>
  <c r="AD11" i="91" s="1"/>
  <c r="AD10" i="91" s="1"/>
  <c r="AC13" i="91"/>
  <c r="AC12" i="91" s="1"/>
  <c r="AB13" i="91"/>
  <c r="AA13" i="91"/>
  <c r="AA12" i="91" s="1"/>
  <c r="Z13" i="91"/>
  <c r="Z12" i="91" s="1"/>
  <c r="Z11" i="91" s="1"/>
  <c r="Y13" i="91"/>
  <c r="Y12" i="91" s="1"/>
  <c r="X13" i="91"/>
  <c r="W13" i="91"/>
  <c r="W12" i="91" s="1"/>
  <c r="V13" i="91"/>
  <c r="V12" i="91" s="1"/>
  <c r="V11" i="91" s="1"/>
  <c r="U13" i="91"/>
  <c r="U12" i="91" s="1"/>
  <c r="S13" i="91"/>
  <c r="S12" i="91" s="1"/>
  <c r="R13" i="91"/>
  <c r="Q13" i="91"/>
  <c r="Q12" i="91" s="1"/>
  <c r="P13" i="91"/>
  <c r="O13" i="91"/>
  <c r="O12" i="91" s="1"/>
  <c r="N13" i="91"/>
  <c r="M13" i="91"/>
  <c r="M12" i="91" s="1"/>
  <c r="L13" i="91"/>
  <c r="K13" i="91"/>
  <c r="K12" i="91" s="1"/>
  <c r="J13" i="91"/>
  <c r="I13" i="91"/>
  <c r="H13" i="91" s="1"/>
  <c r="CC12" i="91"/>
  <c r="CA12" i="91"/>
  <c r="BY12" i="91"/>
  <c r="BW12" i="91"/>
  <c r="BT12" i="91"/>
  <c r="BP12" i="91"/>
  <c r="BL12" i="91"/>
  <c r="BJ12" i="91"/>
  <c r="BH12" i="91"/>
  <c r="BF12" i="91"/>
  <c r="BD12" i="91"/>
  <c r="BD11" i="91" s="1"/>
  <c r="BB12" i="91"/>
  <c r="AZ12" i="91"/>
  <c r="AV12" i="91"/>
  <c r="AV11" i="91" s="1"/>
  <c r="AV10" i="91" s="1"/>
  <c r="AR12" i="91"/>
  <c r="AR11" i="91" s="1"/>
  <c r="AN12" i="91"/>
  <c r="AN11" i="91" s="1"/>
  <c r="AJ12" i="91"/>
  <c r="AF12" i="91"/>
  <c r="AF11" i="91" s="1"/>
  <c r="AB12" i="91"/>
  <c r="AB11" i="91" s="1"/>
  <c r="X12" i="91"/>
  <c r="X11" i="91" s="1"/>
  <c r="R12" i="91"/>
  <c r="R11" i="91" s="1"/>
  <c r="R10" i="91" s="1"/>
  <c r="P12" i="91"/>
  <c r="N12" i="91"/>
  <c r="L12" i="91"/>
  <c r="J12" i="91"/>
  <c r="CW143" i="91" l="1"/>
  <c r="BN113" i="91"/>
  <c r="BN112" i="91" s="1"/>
  <c r="BO185" i="91"/>
  <c r="BN216" i="91"/>
  <c r="BN193" i="91" s="1"/>
  <c r="BO402" i="91"/>
  <c r="BN414" i="91"/>
  <c r="CW414" i="91" s="1"/>
  <c r="BN442" i="91"/>
  <c r="CW454" i="91"/>
  <c r="BS482" i="91"/>
  <c r="BS472" i="91" s="1"/>
  <c r="BO472" i="91" s="1"/>
  <c r="AY507" i="91"/>
  <c r="CT146" i="91"/>
  <c r="CW277" i="91"/>
  <c r="BN430" i="91"/>
  <c r="CW430" i="91" s="1"/>
  <c r="CE65" i="91"/>
  <c r="BO65" i="91" s="1"/>
  <c r="BO18" i="91"/>
  <c r="CF18" i="91" s="1"/>
  <c r="BO40" i="91"/>
  <c r="BO66" i="91"/>
  <c r="CB143" i="91"/>
  <c r="CB140" i="91" s="1"/>
  <c r="BO155" i="91"/>
  <c r="AY217" i="91"/>
  <c r="AY216" i="91" s="1"/>
  <c r="BO238" i="91"/>
  <c r="BN274" i="91"/>
  <c r="BN273" i="91" s="1"/>
  <c r="CW325" i="91"/>
  <c r="CW327" i="91"/>
  <c r="CW330" i="91"/>
  <c r="BC341" i="91"/>
  <c r="CJ341" i="91" s="1"/>
  <c r="BN367" i="91"/>
  <c r="BN399" i="91"/>
  <c r="CW399" i="91" s="1"/>
  <c r="CE442" i="91"/>
  <c r="BO442" i="91" s="1"/>
  <c r="CF457" i="91"/>
  <c r="CW458" i="91"/>
  <c r="BD463" i="91"/>
  <c r="BD498" i="91"/>
  <c r="BD497" i="91" s="1"/>
  <c r="BN498" i="91"/>
  <c r="BN497" i="91" s="1"/>
  <c r="CW497" i="91" s="1"/>
  <c r="BN503" i="91"/>
  <c r="BN502" i="91" s="1"/>
  <c r="BD515" i="91"/>
  <c r="BD512" i="91" s="1"/>
  <c r="CK512" i="91" s="1"/>
  <c r="BD519" i="91"/>
  <c r="BT520" i="91"/>
  <c r="BO520" i="91" s="1"/>
  <c r="CF520" i="91" s="1"/>
  <c r="BS545" i="91"/>
  <c r="CW564" i="91"/>
  <c r="T37" i="91"/>
  <c r="K11" i="91"/>
  <c r="O11" i="91"/>
  <c r="Q11" i="91"/>
  <c r="BN13" i="91"/>
  <c r="BN12" i="91" s="1"/>
  <c r="CF16" i="91"/>
  <c r="I17" i="91"/>
  <c r="H17" i="91" s="1"/>
  <c r="T18" i="91"/>
  <c r="T17" i="91" s="1"/>
  <c r="AA18" i="91"/>
  <c r="AA17" i="91" s="1"/>
  <c r="AK17" i="91"/>
  <c r="AM17" i="91"/>
  <c r="AO17" i="91"/>
  <c r="AQ17" i="91"/>
  <c r="AS17" i="91"/>
  <c r="AU17" i="91"/>
  <c r="AW17" i="91"/>
  <c r="CC17" i="91"/>
  <c r="AI21" i="91"/>
  <c r="AI17" i="91" s="1"/>
  <c r="H38" i="91"/>
  <c r="BA37" i="91"/>
  <c r="BC40" i="91"/>
  <c r="BC37" i="91" s="1"/>
  <c r="BE37" i="91"/>
  <c r="BG37" i="91"/>
  <c r="BI37" i="91"/>
  <c r="BM37" i="91"/>
  <c r="BQ37" i="91"/>
  <c r="BU37" i="91"/>
  <c r="BU11" i="91" s="1"/>
  <c r="BU10" i="91" s="1"/>
  <c r="BW37" i="91"/>
  <c r="BY37" i="91"/>
  <c r="CC37" i="91"/>
  <c r="CE37" i="91"/>
  <c r="AJ43" i="91"/>
  <c r="AJ42" i="91" s="1"/>
  <c r="CF44" i="91"/>
  <c r="BK63" i="91"/>
  <c r="BK62" i="91" s="1"/>
  <c r="CW67" i="91"/>
  <c r="T66" i="91"/>
  <c r="T65" i="91" s="1"/>
  <c r="I71" i="91"/>
  <c r="H71" i="91" s="1"/>
  <c r="T72" i="91"/>
  <c r="T71" i="91" s="1"/>
  <c r="CF74" i="91"/>
  <c r="H108" i="91"/>
  <c r="BG107" i="91"/>
  <c r="BI107" i="91"/>
  <c r="BK107" i="91"/>
  <c r="BM107" i="91"/>
  <c r="D107" i="91"/>
  <c r="J107" i="91"/>
  <c r="L107" i="91"/>
  <c r="N107" i="91"/>
  <c r="P107" i="91"/>
  <c r="S107" i="91"/>
  <c r="AI113" i="91"/>
  <c r="AI112" i="91" s="1"/>
  <c r="AY113" i="91"/>
  <c r="AY112" i="91" s="1"/>
  <c r="CF117" i="91"/>
  <c r="H143" i="91"/>
  <c r="AI143" i="91"/>
  <c r="CF180" i="91"/>
  <c r="AI219" i="91"/>
  <c r="CF233" i="91"/>
  <c r="CR235" i="91"/>
  <c r="CF237" i="91"/>
  <c r="H246" i="91"/>
  <c r="M11" i="91"/>
  <c r="J37" i="91"/>
  <c r="J11" i="91" s="1"/>
  <c r="L37" i="91"/>
  <c r="L11" i="91" s="1"/>
  <c r="N37" i="91"/>
  <c r="N11" i="91" s="1"/>
  <c r="P37" i="91"/>
  <c r="P11" i="91" s="1"/>
  <c r="S37" i="91"/>
  <c r="S11" i="91" s="1"/>
  <c r="S10" i="91" s="1"/>
  <c r="U37" i="91"/>
  <c r="W37" i="91"/>
  <c r="Y37" i="91"/>
  <c r="AA37" i="91"/>
  <c r="AC37" i="91"/>
  <c r="AE37" i="91"/>
  <c r="AG37" i="91"/>
  <c r="AI37" i="91"/>
  <c r="AK37" i="91"/>
  <c r="AM37" i="91"/>
  <c r="AO37" i="91"/>
  <c r="AQ37" i="91"/>
  <c r="AS37" i="91"/>
  <c r="AU37" i="91"/>
  <c r="AW37" i="91"/>
  <c r="AY66" i="91"/>
  <c r="AY65" i="91" s="1"/>
  <c r="CR69" i="91"/>
  <c r="H107" i="91"/>
  <c r="U107" i="91"/>
  <c r="W107" i="91"/>
  <c r="Y107" i="91"/>
  <c r="AA107" i="91"/>
  <c r="AC107" i="91"/>
  <c r="AE107" i="91"/>
  <c r="AG107" i="91"/>
  <c r="H140" i="91"/>
  <c r="AI140" i="91"/>
  <c r="CF149" i="91"/>
  <c r="CW149" i="91"/>
  <c r="CF150" i="91"/>
  <c r="H152" i="91"/>
  <c r="BO152" i="91"/>
  <c r="CF153" i="91"/>
  <c r="CF152" i="91" s="1"/>
  <c r="H155" i="91"/>
  <c r="BW151" i="91"/>
  <c r="BY151" i="91"/>
  <c r="CC151" i="91"/>
  <c r="CE151" i="91"/>
  <c r="AI155" i="91"/>
  <c r="AI151" i="91" s="1"/>
  <c r="CR156" i="91"/>
  <c r="CJ180" i="91"/>
  <c r="CF198" i="91"/>
  <c r="AY219" i="91"/>
  <c r="AY218" i="91" s="1"/>
  <c r="CF223" i="91"/>
  <c r="CF224" i="91"/>
  <c r="CF225" i="91"/>
  <c r="CF226" i="91"/>
  <c r="CF227" i="91"/>
  <c r="CF228" i="91"/>
  <c r="CF229" i="91"/>
  <c r="CF230" i="91"/>
  <c r="CF231" i="91"/>
  <c r="CJ232" i="91"/>
  <c r="BO246" i="91"/>
  <c r="CA242" i="91"/>
  <c r="CR242" i="91" s="1"/>
  <c r="BO243" i="91"/>
  <c r="CF245" i="91"/>
  <c r="CF246" i="91"/>
  <c r="BS246" i="91"/>
  <c r="H253" i="91"/>
  <c r="BC253" i="91"/>
  <c r="BC252" i="91" s="1"/>
  <c r="BS253" i="91"/>
  <c r="BS252" i="91" s="1"/>
  <c r="BO252" i="91" s="1"/>
  <c r="H256" i="91"/>
  <c r="CJ261" i="91"/>
  <c r="BO262" i="91"/>
  <c r="CF264" i="91"/>
  <c r="BO264" i="91"/>
  <c r="CJ265" i="91"/>
  <c r="CJ267" i="91"/>
  <c r="BO268" i="91"/>
  <c r="H270" i="91"/>
  <c r="H271" i="91"/>
  <c r="H274" i="91"/>
  <c r="AY274" i="91"/>
  <c r="AY273" i="91" s="1"/>
  <c r="T321" i="91"/>
  <c r="CM345" i="91"/>
  <c r="CG348" i="91"/>
  <c r="CI348" i="91"/>
  <c r="CK348" i="91"/>
  <c r="CM348" i="91"/>
  <c r="CO348" i="91"/>
  <c r="CQ348" i="91"/>
  <c r="AY371" i="91"/>
  <c r="BC365" i="91"/>
  <c r="BW365" i="91"/>
  <c r="BY365" i="91"/>
  <c r="CA365" i="91"/>
  <c r="CC365" i="91"/>
  <c r="BG365" i="91"/>
  <c r="BI365" i="91"/>
  <c r="BK365" i="91"/>
  <c r="BM365" i="91"/>
  <c r="CJ376" i="91"/>
  <c r="K388" i="91"/>
  <c r="M388" i="91"/>
  <c r="CS393" i="91"/>
  <c r="AY393" i="91"/>
  <c r="AY392" i="91" s="1"/>
  <c r="AY388" i="91" s="1"/>
  <c r="H398" i="91"/>
  <c r="BB394" i="91"/>
  <c r="BB10" i="91" s="1"/>
  <c r="H429" i="91"/>
  <c r="AI472" i="91"/>
  <c r="T243" i="91"/>
  <c r="T242" i="91" s="1"/>
  <c r="AY243" i="91"/>
  <c r="AY242" i="91" s="1"/>
  <c r="H252" i="91"/>
  <c r="CJ255" i="91"/>
  <c r="AI274" i="91"/>
  <c r="AI273" i="91" s="1"/>
  <c r="CJ319" i="91"/>
  <c r="CF321" i="91"/>
  <c r="CE322" i="91"/>
  <c r="BO322" i="91" s="1"/>
  <c r="AI322" i="91"/>
  <c r="AI321" i="91" s="1"/>
  <c r="H337" i="91"/>
  <c r="BO337" i="91"/>
  <c r="CF337" i="91" s="1"/>
  <c r="CF338" i="91"/>
  <c r="BO339" i="91"/>
  <c r="AZ341" i="91"/>
  <c r="AZ321" i="91" s="1"/>
  <c r="AZ11" i="91" s="1"/>
  <c r="AY343" i="91"/>
  <c r="T344" i="91"/>
  <c r="T341" i="91" s="1"/>
  <c r="H345" i="91"/>
  <c r="T345" i="91"/>
  <c r="BO348" i="91"/>
  <c r="CH348" i="91"/>
  <c r="CJ348" i="91"/>
  <c r="CL348" i="91"/>
  <c r="CN348" i="91"/>
  <c r="CP348" i="91"/>
  <c r="CR348" i="91"/>
  <c r="CU348" i="91"/>
  <c r="CW348" i="91"/>
  <c r="T348" i="91"/>
  <c r="CF364" i="91"/>
  <c r="BN371" i="91"/>
  <c r="BN366" i="91" s="1"/>
  <c r="BN365" i="91" s="1"/>
  <c r="CW372" i="91"/>
  <c r="T371" i="91"/>
  <c r="CF374" i="91"/>
  <c r="H375" i="91"/>
  <c r="H376" i="91"/>
  <c r="AI376" i="91"/>
  <c r="AI375" i="91" s="1"/>
  <c r="AI365" i="91" s="1"/>
  <c r="CF378" i="91"/>
  <c r="AY385" i="91"/>
  <c r="AY384" i="91" s="1"/>
  <c r="AY383" i="91" s="1"/>
  <c r="I389" i="91"/>
  <c r="H389" i="91" s="1"/>
  <c r="CS388" i="91"/>
  <c r="BO390" i="91"/>
  <c r="CF390" i="91" s="1"/>
  <c r="CK391" i="91"/>
  <c r="E388" i="91"/>
  <c r="AJ394" i="91"/>
  <c r="AL394" i="91"/>
  <c r="AN394" i="91"/>
  <c r="AP394" i="91"/>
  <c r="AR394" i="91"/>
  <c r="AU394" i="91"/>
  <c r="AW394" i="91"/>
  <c r="BU394" i="91"/>
  <c r="BW394" i="91"/>
  <c r="BY394" i="91"/>
  <c r="CA394" i="91"/>
  <c r="CC394" i="91"/>
  <c r="J410" i="91"/>
  <c r="J394" i="91" s="1"/>
  <c r="L410" i="91"/>
  <c r="L394" i="91" s="1"/>
  <c r="N410" i="91"/>
  <c r="N394" i="91" s="1"/>
  <c r="P410" i="91"/>
  <c r="P394" i="91" s="1"/>
  <c r="S410" i="91"/>
  <c r="S394" i="91" s="1"/>
  <c r="CF420" i="91"/>
  <c r="CW419" i="91"/>
  <c r="H423" i="91"/>
  <c r="T426" i="91"/>
  <c r="H426" i="91"/>
  <c r="T429" i="91"/>
  <c r="H435" i="91"/>
  <c r="D446" i="91"/>
  <c r="L446" i="91"/>
  <c r="P446" i="91"/>
  <c r="T448" i="91"/>
  <c r="T447" i="91" s="1"/>
  <c r="H453" i="91"/>
  <c r="BQ446" i="91"/>
  <c r="BS446" i="91"/>
  <c r="BU446" i="91"/>
  <c r="T456" i="91"/>
  <c r="AI456" i="91"/>
  <c r="BF446" i="91"/>
  <c r="BH446" i="91"/>
  <c r="K512" i="91"/>
  <c r="K446" i="91" s="1"/>
  <c r="M512" i="91"/>
  <c r="M446" i="91" s="1"/>
  <c r="O512" i="91"/>
  <c r="O446" i="91" s="1"/>
  <c r="Q512" i="91"/>
  <c r="Q446" i="91" s="1"/>
  <c r="V512" i="91"/>
  <c r="X512" i="91"/>
  <c r="Z512" i="91"/>
  <c r="AB512" i="91"/>
  <c r="CW528" i="91"/>
  <c r="CE527" i="91"/>
  <c r="H538" i="91"/>
  <c r="AG539" i="91"/>
  <c r="AH538" i="91"/>
  <c r="AH446" i="91" s="1"/>
  <c r="O388" i="91"/>
  <c r="Q388" i="91"/>
  <c r="T388" i="91"/>
  <c r="V388" i="91"/>
  <c r="X388" i="91"/>
  <c r="Z388" i="91"/>
  <c r="AB388" i="91"/>
  <c r="AF388" i="91"/>
  <c r="AH388" i="91"/>
  <c r="AH10" i="91" s="1"/>
  <c r="AJ388" i="91"/>
  <c r="AL388" i="91"/>
  <c r="AN388" i="91"/>
  <c r="AP388" i="91"/>
  <c r="AP10" i="91" s="1"/>
  <c r="AR388" i="91"/>
  <c r="AR10" i="91" s="1"/>
  <c r="AU388" i="91"/>
  <c r="AW388" i="91"/>
  <c r="BC388" i="91"/>
  <c r="BF394" i="91"/>
  <c r="BH394" i="91"/>
  <c r="BJ394" i="91"/>
  <c r="BL394" i="91"/>
  <c r="BL10" i="91" s="1"/>
  <c r="BO399" i="91"/>
  <c r="BR394" i="91"/>
  <c r="BR10" i="91" s="1"/>
  <c r="I401" i="91"/>
  <c r="H401" i="91" s="1"/>
  <c r="E394" i="91"/>
  <c r="I404" i="91"/>
  <c r="H404" i="91" s="1"/>
  <c r="H411" i="91"/>
  <c r="U410" i="91"/>
  <c r="W410" i="91"/>
  <c r="W394" i="91" s="1"/>
  <c r="Y410" i="91"/>
  <c r="Y394" i="91" s="1"/>
  <c r="AA410" i="91"/>
  <c r="AA394" i="91" s="1"/>
  <c r="AC410" i="91"/>
  <c r="AC394" i="91" s="1"/>
  <c r="AG410" i="91"/>
  <c r="AG394" i="91" s="1"/>
  <c r="BT410" i="91"/>
  <c r="BT394" i="91" s="1"/>
  <c r="AX417" i="91"/>
  <c r="AX416" i="91" s="1"/>
  <c r="BO419" i="91"/>
  <c r="CF419" i="91" s="1"/>
  <c r="CF421" i="91"/>
  <c r="CF422" i="91"/>
  <c r="U423" i="91"/>
  <c r="T423" i="91" s="1"/>
  <c r="H424" i="91"/>
  <c r="BN424" i="91"/>
  <c r="BN423" i="91" s="1"/>
  <c r="T427" i="91"/>
  <c r="CE427" i="91"/>
  <c r="V434" i="91"/>
  <c r="Z434" i="91"/>
  <c r="D434" i="91"/>
  <c r="J434" i="91"/>
  <c r="L434" i="91"/>
  <c r="N434" i="91"/>
  <c r="P434" i="91"/>
  <c r="S434" i="91"/>
  <c r="AJ434" i="91"/>
  <c r="AL434" i="91"/>
  <c r="AN434" i="91"/>
  <c r="AP434" i="91"/>
  <c r="AR434" i="91"/>
  <c r="AU434" i="91"/>
  <c r="AW434" i="91"/>
  <c r="BA434" i="91"/>
  <c r="AY436" i="91"/>
  <c r="AY435" i="91" s="1"/>
  <c r="BO440" i="91"/>
  <c r="CF440" i="91" s="1"/>
  <c r="CF439" i="91" s="1"/>
  <c r="T442" i="91"/>
  <c r="T444" i="91"/>
  <c r="J446" i="91"/>
  <c r="N446" i="91"/>
  <c r="S446" i="91"/>
  <c r="BP447" i="91"/>
  <c r="BO447" i="91" s="1"/>
  <c r="AK446" i="91"/>
  <c r="AO446" i="91"/>
  <c r="E456" i="91"/>
  <c r="E446" i="91" s="1"/>
  <c r="BE456" i="91"/>
  <c r="BE446" i="91" s="1"/>
  <c r="BG456" i="91"/>
  <c r="BG446" i="91" s="1"/>
  <c r="BI456" i="91"/>
  <c r="BI446" i="91" s="1"/>
  <c r="BK456" i="91"/>
  <c r="BM456" i="91"/>
  <c r="BM446" i="91" s="1"/>
  <c r="H459" i="91"/>
  <c r="H467" i="91"/>
  <c r="BD467" i="91"/>
  <c r="H482" i="91"/>
  <c r="AX482" i="91"/>
  <c r="AX472" i="91" s="1"/>
  <c r="AX446" i="91" s="1"/>
  <c r="BC482" i="91"/>
  <c r="BC472" i="91" s="1"/>
  <c r="BO482" i="91"/>
  <c r="CF482" i="91" s="1"/>
  <c r="CK492" i="91"/>
  <c r="T497" i="91"/>
  <c r="AY500" i="91"/>
  <c r="AY498" i="91" s="1"/>
  <c r="AY497" i="91" s="1"/>
  <c r="H502" i="91"/>
  <c r="CW502" i="91"/>
  <c r="H503" i="91"/>
  <c r="CW503" i="91"/>
  <c r="AI503" i="91"/>
  <c r="AI502" i="91" s="1"/>
  <c r="T512" i="91"/>
  <c r="E512" i="91"/>
  <c r="W519" i="91"/>
  <c r="Y519" i="91"/>
  <c r="T519" i="91" s="1"/>
  <c r="AA519" i="91"/>
  <c r="AC519" i="91"/>
  <c r="CW522" i="91"/>
  <c r="CK523" i="91"/>
  <c r="CF524" i="91"/>
  <c r="T528" i="91"/>
  <c r="BO528" i="91"/>
  <c r="AY528" i="91"/>
  <c r="AY527" i="91" s="1"/>
  <c r="CF531" i="91"/>
  <c r="CW538" i="91"/>
  <c r="CW539" i="91"/>
  <c r="H543" i="91"/>
  <c r="T547" i="91"/>
  <c r="U546" i="91"/>
  <c r="BO557" i="91"/>
  <c r="T541" i="91"/>
  <c r="CF555" i="91"/>
  <c r="CF554" i="91" s="1"/>
  <c r="T571" i="91"/>
  <c r="H547" i="91"/>
  <c r="BO552" i="91"/>
  <c r="CF552" i="91" s="1"/>
  <c r="CR552" i="91"/>
  <c r="CF553" i="91"/>
  <c r="I554" i="91"/>
  <c r="BO554" i="91"/>
  <c r="CW557" i="91"/>
  <c r="CW558" i="91"/>
  <c r="CF561" i="91"/>
  <c r="CF560" i="91" s="1"/>
  <c r="AI564" i="91"/>
  <c r="AI563" i="91" s="1"/>
  <c r="AI562" i="91" s="1"/>
  <c r="AI545" i="91" s="1"/>
  <c r="AL563" i="91"/>
  <c r="AL562" i="91" s="1"/>
  <c r="AL545" i="91" s="1"/>
  <c r="CB571" i="91"/>
  <c r="CJ578" i="91"/>
  <c r="AY578" i="91"/>
  <c r="CR578" i="91"/>
  <c r="BK576" i="91"/>
  <c r="BK575" i="91" s="1"/>
  <c r="BK571" i="91" s="1"/>
  <c r="BN545" i="91"/>
  <c r="AY563" i="91"/>
  <c r="AY562" i="91" s="1"/>
  <c r="CQ577" i="91"/>
  <c r="CF19" i="91"/>
  <c r="CW20" i="91"/>
  <c r="CR22" i="91"/>
  <c r="CR24" i="91"/>
  <c r="AY25" i="91"/>
  <c r="CF25" i="91" s="1"/>
  <c r="AY27" i="91"/>
  <c r="AY29" i="91"/>
  <c r="CF29" i="91" s="1"/>
  <c r="AY31" i="91"/>
  <c r="AY33" i="91"/>
  <c r="CF33" i="91" s="1"/>
  <c r="AY35" i="91"/>
  <c r="BX63" i="91"/>
  <c r="AY194" i="91"/>
  <c r="CW216" i="91"/>
  <c r="CA240" i="91"/>
  <c r="BN405" i="91"/>
  <c r="BN404" i="91" s="1"/>
  <c r="CW406" i="91"/>
  <c r="BO408" i="91"/>
  <c r="CF408" i="91" s="1"/>
  <c r="CE411" i="91"/>
  <c r="BO411" i="91" s="1"/>
  <c r="CE424" i="91"/>
  <c r="CW424" i="91" s="1"/>
  <c r="BO427" i="91"/>
  <c r="CF427" i="91" s="1"/>
  <c r="BO428" i="91"/>
  <c r="CF428" i="91" s="1"/>
  <c r="CW442" i="91"/>
  <c r="BN444" i="91"/>
  <c r="BN434" i="91" s="1"/>
  <c r="AY450" i="91"/>
  <c r="CK463" i="91"/>
  <c r="CW464" i="91"/>
  <c r="AY465" i="91"/>
  <c r="AY463" i="91" s="1"/>
  <c r="AY514" i="91"/>
  <c r="AY513" i="91" s="1"/>
  <c r="AY574" i="91"/>
  <c r="AY573" i="91" s="1"/>
  <c r="AY572" i="91" s="1"/>
  <c r="AY15" i="91"/>
  <c r="AY13" i="91" s="1"/>
  <c r="AY12" i="91" s="1"/>
  <c r="CW186" i="91"/>
  <c r="CE467" i="91"/>
  <c r="BO467" i="91" s="1"/>
  <c r="AY470" i="91"/>
  <c r="CW473" i="91"/>
  <c r="AY474" i="91"/>
  <c r="AY473" i="91" s="1"/>
  <c r="CF473" i="91" s="1"/>
  <c r="BN479" i="91"/>
  <c r="BN472" i="91" s="1"/>
  <c r="AY481" i="91"/>
  <c r="CF481" i="91" s="1"/>
  <c r="AY496" i="91"/>
  <c r="CW515" i="91"/>
  <c r="CJ568" i="91"/>
  <c r="CF14" i="91"/>
  <c r="CF115" i="91"/>
  <c r="CF116" i="91"/>
  <c r="CF144" i="91"/>
  <c r="BO184" i="91"/>
  <c r="CE13" i="91"/>
  <c r="BF21" i="91"/>
  <c r="BF17" i="91" s="1"/>
  <c r="BJ21" i="91"/>
  <c r="BJ17" i="91" s="1"/>
  <c r="BJ11" i="91" s="1"/>
  <c r="BJ10" i="91" s="1"/>
  <c r="CM21" i="91"/>
  <c r="CQ21" i="91"/>
  <c r="CR23" i="91"/>
  <c r="CF27" i="91"/>
  <c r="CF31" i="91"/>
  <c r="CF35" i="91"/>
  <c r="CR39" i="91"/>
  <c r="CJ40" i="91"/>
  <c r="CA37" i="91"/>
  <c r="CJ41" i="91"/>
  <c r="AY64" i="91"/>
  <c r="AY63" i="91" s="1"/>
  <c r="AY62" i="91" s="1"/>
  <c r="CW68" i="91"/>
  <c r="BO113" i="91"/>
  <c r="CF113" i="91" s="1"/>
  <c r="CT145" i="91"/>
  <c r="BN185" i="91"/>
  <c r="BN184" i="91" s="1"/>
  <c r="CW184" i="91" s="1"/>
  <c r="BO186" i="91"/>
  <c r="CF187" i="91" s="1"/>
  <c r="CW198" i="91"/>
  <c r="CF218" i="91"/>
  <c r="CF217" i="91" s="1"/>
  <c r="BO221" i="91"/>
  <c r="CF222" i="91" s="1"/>
  <c r="CR238" i="91"/>
  <c r="CR239" i="91"/>
  <c r="CJ252" i="91"/>
  <c r="CJ254" i="91"/>
  <c r="BC271" i="91"/>
  <c r="BC270" i="91" s="1"/>
  <c r="CJ270" i="91" s="1"/>
  <c r="CM321" i="91"/>
  <c r="CW326" i="91"/>
  <c r="CW328" i="91"/>
  <c r="CF329" i="91"/>
  <c r="CF331" i="91"/>
  <c r="CF332" i="91"/>
  <c r="AY333" i="91"/>
  <c r="CF333" i="91" s="1"/>
  <c r="CG341" i="91"/>
  <c r="AY342" i="91"/>
  <c r="CF342" i="91" s="1"/>
  <c r="AY344" i="91"/>
  <c r="CF344" i="91" s="1"/>
  <c r="CW368" i="91"/>
  <c r="AY369" i="91"/>
  <c r="CF369" i="91" s="1"/>
  <c r="CW373" i="91"/>
  <c r="CW386" i="91"/>
  <c r="BN396" i="91"/>
  <c r="BN395" i="91" s="1"/>
  <c r="CW397" i="91"/>
  <c r="CW400" i="91"/>
  <c r="CF407" i="91"/>
  <c r="CA568" i="91"/>
  <c r="BO569" i="91"/>
  <c r="BS572" i="91"/>
  <c r="CW14" i="91"/>
  <c r="CF15" i="91"/>
  <c r="CW16" i="91"/>
  <c r="CM17" i="91"/>
  <c r="CQ17" i="91"/>
  <c r="CF23" i="91"/>
  <c r="BK38" i="91"/>
  <c r="CR38" i="91" s="1"/>
  <c r="BO38" i="91"/>
  <c r="BO39" i="91"/>
  <c r="CF39" i="91" s="1"/>
  <c r="CF38" i="91" s="1"/>
  <c r="CR62" i="91"/>
  <c r="CF68" i="91"/>
  <c r="CW113" i="91"/>
  <c r="CW115" i="91"/>
  <c r="CW116" i="91"/>
  <c r="CW144" i="91"/>
  <c r="CR155" i="91"/>
  <c r="CW185" i="91"/>
  <c r="CF199" i="91"/>
  <c r="BO239" i="91"/>
  <c r="CF240" i="91" s="1"/>
  <c r="CF239" i="91" s="1"/>
  <c r="CJ253" i="91"/>
  <c r="CW278" i="91"/>
  <c r="CF326" i="91"/>
  <c r="CF328" i="91"/>
  <c r="CW329" i="91"/>
  <c r="CW331" i="91"/>
  <c r="CW332" i="91"/>
  <c r="CF343" i="91"/>
  <c r="CF373" i="91"/>
  <c r="CK390" i="91"/>
  <c r="CF393" i="91"/>
  <c r="CF400" i="91"/>
  <c r="CF399" i="91" s="1"/>
  <c r="CF398" i="91" s="1"/>
  <c r="AY405" i="91"/>
  <c r="AY404" i="91" s="1"/>
  <c r="CW407" i="91"/>
  <c r="CF415" i="91"/>
  <c r="CF418" i="91"/>
  <c r="CF417" i="91" s="1"/>
  <c r="CF416" i="91" s="1"/>
  <c r="CF431" i="91"/>
  <c r="CF430" i="91" s="1"/>
  <c r="CR572" i="91"/>
  <c r="CA571" i="91"/>
  <c r="CW415" i="91"/>
  <c r="CE417" i="91"/>
  <c r="BO417" i="91" s="1"/>
  <c r="CW425" i="91"/>
  <c r="BO430" i="91"/>
  <c r="BC436" i="91"/>
  <c r="BC435" i="91" s="1"/>
  <c r="BC434" i="91" s="1"/>
  <c r="CW443" i="91"/>
  <c r="CW444" i="91"/>
  <c r="AY445" i="91"/>
  <c r="AY444" i="91" s="1"/>
  <c r="AY452" i="91"/>
  <c r="CF452" i="91" s="1"/>
  <c r="CW455" i="91"/>
  <c r="CK461" i="91"/>
  <c r="CW469" i="91"/>
  <c r="AY471" i="91"/>
  <c r="CF471" i="91" s="1"/>
  <c r="CW479" i="91"/>
  <c r="AY480" i="91"/>
  <c r="CJ482" i="91"/>
  <c r="CJ483" i="91"/>
  <c r="BD484" i="91"/>
  <c r="CK484" i="91" s="1"/>
  <c r="AY495" i="91"/>
  <c r="CF513" i="91"/>
  <c r="CK513" i="91"/>
  <c r="CF514" i="91"/>
  <c r="CK516" i="91"/>
  <c r="CF521" i="91"/>
  <c r="CJ545" i="91"/>
  <c r="BO550" i="91"/>
  <c r="BK569" i="91"/>
  <c r="BK568" i="91" s="1"/>
  <c r="BK545" i="91" s="1"/>
  <c r="CJ569" i="91"/>
  <c r="CJ570" i="91"/>
  <c r="BO572" i="91"/>
  <c r="CF572" i="91" s="1"/>
  <c r="BC573" i="91"/>
  <c r="BC572" i="91" s="1"/>
  <c r="BC571" i="91" s="1"/>
  <c r="CR574" i="91"/>
  <c r="BF576" i="91"/>
  <c r="BF575" i="91" s="1"/>
  <c r="BF571" i="91" s="1"/>
  <c r="CM571" i="91" s="1"/>
  <c r="BZ576" i="91"/>
  <c r="BO577" i="91"/>
  <c r="CR577" i="91"/>
  <c r="CW418" i="91"/>
  <c r="CF425" i="91"/>
  <c r="CW431" i="91"/>
  <c r="CF443" i="91"/>
  <c r="CF450" i="91"/>
  <c r="CF454" i="91"/>
  <c r="CF453" i="91" s="1"/>
  <c r="CF455" i="91"/>
  <c r="CF465" i="91"/>
  <c r="CF469" i="91"/>
  <c r="CF470" i="91"/>
  <c r="CJ472" i="91"/>
  <c r="CW472" i="91"/>
  <c r="CF474" i="91"/>
  <c r="CF483" i="91"/>
  <c r="AY506" i="91"/>
  <c r="CW512" i="91"/>
  <c r="CF516" i="91"/>
  <c r="CK521" i="91"/>
  <c r="BT522" i="91"/>
  <c r="CK522" i="91" s="1"/>
  <c r="BO573" i="91"/>
  <c r="CF573" i="91" s="1"/>
  <c r="CR573" i="91"/>
  <c r="CJ574" i="91"/>
  <c r="CJ575" i="91"/>
  <c r="CJ576" i="91"/>
  <c r="CF578" i="91"/>
  <c r="BW11" i="91"/>
  <c r="BY11" i="91"/>
  <c r="CC11" i="91"/>
  <c r="W11" i="91"/>
  <c r="Y11" i="91"/>
  <c r="AA11" i="91"/>
  <c r="AC11" i="91"/>
  <c r="AE11" i="91"/>
  <c r="AE10" i="91" s="1"/>
  <c r="AG11" i="91"/>
  <c r="AK11" i="91"/>
  <c r="AK10" i="91" s="1"/>
  <c r="AM11" i="91"/>
  <c r="AM10" i="91" s="1"/>
  <c r="AO11" i="91"/>
  <c r="AO10" i="91" s="1"/>
  <c r="AQ11" i="91"/>
  <c r="AQ10" i="91" s="1"/>
  <c r="AS11" i="91"/>
  <c r="AS10" i="91" s="1"/>
  <c r="AU11" i="91"/>
  <c r="AU10" i="91" s="1"/>
  <c r="AW11" i="91"/>
  <c r="AW10" i="91" s="1"/>
  <c r="BA11" i="91"/>
  <c r="BA10" i="91" s="1"/>
  <c r="BE11" i="91"/>
  <c r="BG11" i="91"/>
  <c r="BI11" i="91"/>
  <c r="BQ11" i="91"/>
  <c r="BQ10" i="91" s="1"/>
  <c r="T13" i="91"/>
  <c r="T12" i="91" s="1"/>
  <c r="T11" i="91" s="1"/>
  <c r="AI72" i="91"/>
  <c r="AI71" i="91" s="1"/>
  <c r="BO107" i="91"/>
  <c r="CW112" i="91"/>
  <c r="BT11" i="91"/>
  <c r="BV11" i="91"/>
  <c r="BZ11" i="91"/>
  <c r="CB11" i="91"/>
  <c r="CD11" i="91"/>
  <c r="AI218" i="91"/>
  <c r="T236" i="91"/>
  <c r="T235" i="91" s="1"/>
  <c r="T234" i="91" s="1"/>
  <c r="U235" i="91"/>
  <c r="U234" i="91" s="1"/>
  <c r="CJ250" i="91"/>
  <c r="BC249" i="91"/>
  <c r="H18" i="91"/>
  <c r="CW19" i="91"/>
  <c r="I12" i="91"/>
  <c r="U17" i="91"/>
  <c r="U11" i="91" s="1"/>
  <c r="CE17" i="91"/>
  <c r="BN18" i="91"/>
  <c r="BN17" i="91" s="1"/>
  <c r="BO20" i="91"/>
  <c r="CF20" i="91" s="1"/>
  <c r="BK21" i="91"/>
  <c r="BK17" i="91" s="1"/>
  <c r="CA21" i="91"/>
  <c r="BO22" i="91"/>
  <c r="CF22" i="91" s="1"/>
  <c r="BO24" i="91"/>
  <c r="CF24" i="91" s="1"/>
  <c r="AY26" i="91"/>
  <c r="AY28" i="91"/>
  <c r="CF28" i="91" s="1"/>
  <c r="AY30" i="91"/>
  <c r="CF30" i="91" s="1"/>
  <c r="AY32" i="91"/>
  <c r="CF32" i="91" s="1"/>
  <c r="AY34" i="91"/>
  <c r="CF34" i="91" s="1"/>
  <c r="AY36" i="91"/>
  <c r="CF36" i="91" s="1"/>
  <c r="BS37" i="91"/>
  <c r="BO41" i="91"/>
  <c r="CF41" i="91" s="1"/>
  <c r="CF40" i="91" s="1"/>
  <c r="CF37" i="91" s="1"/>
  <c r="AY43" i="91"/>
  <c r="AY42" i="91" s="1"/>
  <c r="CE43" i="91"/>
  <c r="BO45" i="91"/>
  <c r="CF45" i="91" s="1"/>
  <c r="CF43" i="91" s="1"/>
  <c r="AJ63" i="91"/>
  <c r="AJ62" i="91" s="1"/>
  <c r="BF63" i="91"/>
  <c r="BF62" i="91" s="1"/>
  <c r="BF11" i="91" s="1"/>
  <c r="BF10" i="91" s="1"/>
  <c r="BN66" i="91"/>
  <c r="BN65" i="91" s="1"/>
  <c r="CW65" i="91" s="1"/>
  <c r="BO67" i="91"/>
  <c r="CF67" i="91" s="1"/>
  <c r="CF66" i="91" s="1"/>
  <c r="CE71" i="91"/>
  <c r="CW71" i="91" s="1"/>
  <c r="AJ72" i="91"/>
  <c r="AJ71" i="91" s="1"/>
  <c r="BN108" i="91"/>
  <c r="BN107" i="91" s="1"/>
  <c r="CW107" i="91" s="1"/>
  <c r="AY109" i="91"/>
  <c r="AY111" i="91"/>
  <c r="I112" i="91"/>
  <c r="H112" i="91" s="1"/>
  <c r="BP112" i="91"/>
  <c r="CE140" i="91"/>
  <c r="CW140" i="91" s="1"/>
  <c r="BN141" i="91"/>
  <c r="BN140" i="91" s="1"/>
  <c r="BO142" i="91"/>
  <c r="CF142" i="91" s="1"/>
  <c r="BM143" i="91"/>
  <c r="BM140" i="91" s="1"/>
  <c r="AY145" i="91"/>
  <c r="BO145" i="91"/>
  <c r="AY146" i="91"/>
  <c r="BO146" i="91"/>
  <c r="I151" i="91"/>
  <c r="H151" i="91" s="1"/>
  <c r="BN151" i="91"/>
  <c r="CW151" i="91" s="1"/>
  <c r="BP151" i="91"/>
  <c r="BO151" i="91" s="1"/>
  <c r="CA151" i="91"/>
  <c r="CR151" i="91" s="1"/>
  <c r="AY152" i="91"/>
  <c r="AY151" i="91" s="1"/>
  <c r="BO156" i="91"/>
  <c r="CF156" i="91" s="1"/>
  <c r="CF155" i="91" s="1"/>
  <c r="BH185" i="91"/>
  <c r="AY188" i="91"/>
  <c r="AY189" i="91"/>
  <c r="CF190" i="91" s="1"/>
  <c r="AY190" i="91"/>
  <c r="CF191" i="91" s="1"/>
  <c r="AY191" i="91"/>
  <c r="CF192" i="91" s="1"/>
  <c r="AY192" i="91"/>
  <c r="CF193" i="91" s="1"/>
  <c r="I193" i="91"/>
  <c r="H193" i="91" s="1"/>
  <c r="BP193" i="91"/>
  <c r="CE194" i="91"/>
  <c r="BO194" i="91" s="1"/>
  <c r="CF196" i="91" s="1"/>
  <c r="BO196" i="91"/>
  <c r="CF197" i="91" s="1"/>
  <c r="I218" i="91"/>
  <c r="H218" i="91" s="1"/>
  <c r="BP218" i="91"/>
  <c r="CE219" i="91"/>
  <c r="BO220" i="91"/>
  <c r="CF221" i="91" s="1"/>
  <c r="CF220" i="91" s="1"/>
  <c r="CF219" i="91" s="1"/>
  <c r="CA234" i="91"/>
  <c r="CR234" i="91" s="1"/>
  <c r="I237" i="91"/>
  <c r="H237" i="91" s="1"/>
  <c r="BP237" i="91"/>
  <c r="BO241" i="91"/>
  <c r="CF242" i="91" s="1"/>
  <c r="CF241" i="91" s="1"/>
  <c r="CF238" i="91" s="1"/>
  <c r="CF249" i="91"/>
  <c r="CF248" i="91" s="1"/>
  <c r="I249" i="91"/>
  <c r="H249" i="91" s="1"/>
  <c r="CF255" i="91"/>
  <c r="CF254" i="91" s="1"/>
  <c r="I255" i="91"/>
  <c r="H255" i="91" s="1"/>
  <c r="CF257" i="91"/>
  <c r="CF256" i="91" s="1"/>
  <c r="CJ256" i="91"/>
  <c r="CR321" i="91"/>
  <c r="AY322" i="91"/>
  <c r="AI345" i="91"/>
  <c r="CF346" i="91"/>
  <c r="CF345" i="91" s="1"/>
  <c r="T366" i="91"/>
  <c r="T365" i="91" s="1"/>
  <c r="CF376" i="91"/>
  <c r="H383" i="91"/>
  <c r="AZ394" i="91"/>
  <c r="BD394" i="91"/>
  <c r="BV394" i="91"/>
  <c r="BX394" i="91"/>
  <c r="BZ394" i="91"/>
  <c r="CB394" i="91"/>
  <c r="CD394" i="91"/>
  <c r="CF247" i="91"/>
  <c r="CJ246" i="91"/>
  <c r="CJ251" i="91"/>
  <c r="AY251" i="91"/>
  <c r="AY250" i="91" s="1"/>
  <c r="AY249" i="91" s="1"/>
  <c r="CF253" i="91"/>
  <c r="AI344" i="91"/>
  <c r="AI341" i="91" s="1"/>
  <c r="AR341" i="91"/>
  <c r="BP258" i="91"/>
  <c r="BO258" i="91" s="1"/>
  <c r="BC259" i="91"/>
  <c r="BC258" i="91" s="1"/>
  <c r="CJ258" i="91" s="1"/>
  <c r="AY260" i="91"/>
  <c r="AY262" i="91"/>
  <c r="AY261" i="91" s="1"/>
  <c r="AY265" i="91"/>
  <c r="AY264" i="91" s="1"/>
  <c r="AY272" i="91"/>
  <c r="AY271" i="91" s="1"/>
  <c r="AY270" i="91" s="1"/>
  <c r="I273" i="91"/>
  <c r="H273" i="91" s="1"/>
  <c r="BP273" i="91"/>
  <c r="CE274" i="91"/>
  <c r="BO277" i="91"/>
  <c r="CF278" i="91" s="1"/>
  <c r="BO278" i="91"/>
  <c r="CF279" i="91" s="1"/>
  <c r="BS318" i="91"/>
  <c r="CJ318" i="91" s="1"/>
  <c r="AL322" i="91"/>
  <c r="AL321" i="91" s="1"/>
  <c r="AL11" i="91" s="1"/>
  <c r="AL10" i="91" s="1"/>
  <c r="BN322" i="91"/>
  <c r="BN321" i="91" s="1"/>
  <c r="BO325" i="91"/>
  <c r="CF325" i="91" s="1"/>
  <c r="BO327" i="91"/>
  <c r="CF327" i="91" s="1"/>
  <c r="BO330" i="91"/>
  <c r="CF330" i="91" s="1"/>
  <c r="U345" i="91"/>
  <c r="BC345" i="91"/>
  <c r="BC321" i="91" s="1"/>
  <c r="BS345" i="91"/>
  <c r="CE367" i="91"/>
  <c r="BO367" i="91" s="1"/>
  <c r="BO368" i="91"/>
  <c r="CF368" i="91" s="1"/>
  <c r="CE371" i="91"/>
  <c r="CW371" i="91" s="1"/>
  <c r="BO372" i="91"/>
  <c r="CF372" i="91" s="1"/>
  <c r="BS375" i="91"/>
  <c r="BP379" i="91"/>
  <c r="BN381" i="91"/>
  <c r="BN380" i="91" s="1"/>
  <c r="BN379" i="91" s="1"/>
  <c r="CE381" i="91"/>
  <c r="BO382" i="91"/>
  <c r="CF382" i="91" s="1"/>
  <c r="BP384" i="91"/>
  <c r="CE385" i="91"/>
  <c r="BO385" i="91" s="1"/>
  <c r="CF385" i="91" s="1"/>
  <c r="BO386" i="91"/>
  <c r="CF386" i="91" s="1"/>
  <c r="I388" i="91"/>
  <c r="H388" i="91" s="1"/>
  <c r="BP389" i="91"/>
  <c r="BT389" i="91"/>
  <c r="BO391" i="91"/>
  <c r="CF391" i="91" s="1"/>
  <c r="BP395" i="91"/>
  <c r="CE396" i="91"/>
  <c r="BO397" i="91"/>
  <c r="CF397" i="91" s="1"/>
  <c r="BP398" i="91"/>
  <c r="BO398" i="91" s="1"/>
  <c r="CE401" i="91"/>
  <c r="H410" i="91"/>
  <c r="CE410" i="91"/>
  <c r="AY412" i="91"/>
  <c r="AY411" i="91" s="1"/>
  <c r="AY410" i="91" s="1"/>
  <c r="BN411" i="91"/>
  <c r="CW412" i="91"/>
  <c r="BO414" i="91"/>
  <c r="CF414" i="91" s="1"/>
  <c r="BP410" i="91"/>
  <c r="CW417" i="91"/>
  <c r="CE416" i="91"/>
  <c r="CW416" i="91" s="1"/>
  <c r="CW420" i="91"/>
  <c r="CF438" i="91"/>
  <c r="AY403" i="91"/>
  <c r="AY402" i="91" s="1"/>
  <c r="AY401" i="91" s="1"/>
  <c r="BN402" i="91"/>
  <c r="BN401" i="91" s="1"/>
  <c r="CW403" i="91"/>
  <c r="T405" i="91"/>
  <c r="U404" i="91"/>
  <c r="T404" i="91" s="1"/>
  <c r="BP404" i="91"/>
  <c r="BO406" i="91"/>
  <c r="CF406" i="91" s="1"/>
  <c r="CE405" i="91"/>
  <c r="BO405" i="91" s="1"/>
  <c r="CF405" i="91" s="1"/>
  <c r="AI412" i="91"/>
  <c r="AI411" i="91" s="1"/>
  <c r="AI410" i="91" s="1"/>
  <c r="AI394" i="91" s="1"/>
  <c r="AX411" i="91"/>
  <c r="AX410" i="91" s="1"/>
  <c r="AX394" i="91" s="1"/>
  <c r="H417" i="91"/>
  <c r="I416" i="91"/>
  <c r="T435" i="91"/>
  <c r="T434" i="91" s="1"/>
  <c r="U434" i="91"/>
  <c r="BP426" i="91"/>
  <c r="BN429" i="91"/>
  <c r="CW429" i="91" s="1"/>
  <c r="BP429" i="91"/>
  <c r="BO429" i="91" s="1"/>
  <c r="CF429" i="91" s="1"/>
  <c r="AY432" i="91"/>
  <c r="I434" i="91"/>
  <c r="H434" i="91" s="1"/>
  <c r="BP434" i="91"/>
  <c r="CE435" i="91"/>
  <c r="BO435" i="91" s="1"/>
  <c r="AX436" i="91"/>
  <c r="AX435" i="91" s="1"/>
  <c r="AX434" i="91" s="1"/>
  <c r="CW439" i="91"/>
  <c r="CF442" i="91"/>
  <c r="CF445" i="91"/>
  <c r="AJ446" i="91"/>
  <c r="AN446" i="91"/>
  <c r="AN10" i="91" s="1"/>
  <c r="BC446" i="91"/>
  <c r="CJ446" i="91" s="1"/>
  <c r="BW446" i="91"/>
  <c r="BY446" i="91"/>
  <c r="CC446" i="91"/>
  <c r="AG446" i="91"/>
  <c r="AI446" i="91"/>
  <c r="CW440" i="91"/>
  <c r="CF441" i="91"/>
  <c r="CF444" i="91"/>
  <c r="BT497" i="91"/>
  <c r="CK497" i="91" s="1"/>
  <c r="CK498" i="91"/>
  <c r="CA446" i="91"/>
  <c r="I447" i="91"/>
  <c r="BK448" i="91"/>
  <c r="BK447" i="91" s="1"/>
  <c r="BK446" i="91" s="1"/>
  <c r="AY449" i="91"/>
  <c r="AY451" i="91"/>
  <c r="CF451" i="91" s="1"/>
  <c r="CE453" i="91"/>
  <c r="CW453" i="91" s="1"/>
  <c r="I456" i="91"/>
  <c r="H456" i="91" s="1"/>
  <c r="CE456" i="91"/>
  <c r="BN457" i="91"/>
  <c r="BN456" i="91" s="1"/>
  <c r="BO458" i="91"/>
  <c r="CF458" i="91" s="1"/>
  <c r="BD459" i="91"/>
  <c r="BD456" i="91" s="1"/>
  <c r="BT459" i="91"/>
  <c r="AY460" i="91"/>
  <c r="BO461" i="91"/>
  <c r="CF461" i="91" s="1"/>
  <c r="CE463" i="91"/>
  <c r="BO463" i="91" s="1"/>
  <c r="BO464" i="91"/>
  <c r="CF464" i="91" s="1"/>
  <c r="CF463" i="91" s="1"/>
  <c r="BN467" i="91"/>
  <c r="BN462" i="91" s="1"/>
  <c r="AY468" i="91"/>
  <c r="BN485" i="91"/>
  <c r="AY486" i="91"/>
  <c r="AY487" i="91"/>
  <c r="CF487" i="91" s="1"/>
  <c r="BN492" i="91"/>
  <c r="CW492" i="91" s="1"/>
  <c r="AY493" i="91"/>
  <c r="AY494" i="91"/>
  <c r="BO498" i="91"/>
  <c r="BP497" i="91"/>
  <c r="AY508" i="91"/>
  <c r="BD503" i="91"/>
  <c r="BD502" i="91" s="1"/>
  <c r="CK502" i="91" s="1"/>
  <c r="CK508" i="91"/>
  <c r="CW519" i="91"/>
  <c r="CW527" i="91"/>
  <c r="AF539" i="91"/>
  <c r="AG538" i="91"/>
  <c r="H541" i="91"/>
  <c r="CK499" i="91"/>
  <c r="BO499" i="91"/>
  <c r="CK510" i="91"/>
  <c r="AY510" i="91"/>
  <c r="CF510" i="91" s="1"/>
  <c r="AY511" i="91"/>
  <c r="CF511" i="91" s="1"/>
  <c r="I512" i="91"/>
  <c r="H512" i="91" s="1"/>
  <c r="AY517" i="91"/>
  <c r="BO518" i="91"/>
  <c r="I519" i="91"/>
  <c r="H519" i="91" s="1"/>
  <c r="BP519" i="91"/>
  <c r="BT519" i="91"/>
  <c r="CK519" i="91" s="1"/>
  <c r="BO523" i="91"/>
  <c r="CF523" i="91" s="1"/>
  <c r="AY526" i="91"/>
  <c r="CF526" i="91" s="1"/>
  <c r="BP527" i="91"/>
  <c r="BO527" i="91" s="1"/>
  <c r="CF527" i="91" s="1"/>
  <c r="BO543" i="91"/>
  <c r="BP542" i="91"/>
  <c r="CW543" i="91"/>
  <c r="CE542" i="91"/>
  <c r="CE547" i="91"/>
  <c r="BO547" i="91" s="1"/>
  <c r="CF547" i="91" s="1"/>
  <c r="BO548" i="91"/>
  <c r="CF548" i="91" s="1"/>
  <c r="BO549" i="91"/>
  <c r="CF549" i="91" s="1"/>
  <c r="BO551" i="91"/>
  <c r="CF551" i="91" s="1"/>
  <c r="AY558" i="91"/>
  <c r="AY557" i="91" s="1"/>
  <c r="AY545" i="91" s="1"/>
  <c r="CE563" i="91"/>
  <c r="BO563" i="91" s="1"/>
  <c r="BO564" i="91"/>
  <c r="CF564" i="91" s="1"/>
  <c r="CF563" i="91" s="1"/>
  <c r="CF562" i="91" s="1"/>
  <c r="BO570" i="91"/>
  <c r="CF570" i="91" s="1"/>
  <c r="CF569" i="91" s="1"/>
  <c r="AY577" i="91"/>
  <c r="AY576" i="91" s="1"/>
  <c r="AY575" i="91" s="1"/>
  <c r="AY571" i="91" s="1"/>
  <c r="BO574" i="91"/>
  <c r="CF574" i="91" l="1"/>
  <c r="CW498" i="91"/>
  <c r="CF435" i="91"/>
  <c r="BN410" i="91"/>
  <c r="BN398" i="91"/>
  <c r="CE321" i="91"/>
  <c r="CW321" i="91" s="1"/>
  <c r="CF64" i="91"/>
  <c r="CR576" i="91"/>
  <c r="CK520" i="91"/>
  <c r="CK515" i="91"/>
  <c r="AY479" i="91"/>
  <c r="CF479" i="91" s="1"/>
  <c r="AY434" i="91"/>
  <c r="CR575" i="91"/>
  <c r="AY367" i="91"/>
  <c r="AY366" i="91" s="1"/>
  <c r="AY365" i="91" s="1"/>
  <c r="CG321" i="91"/>
  <c r="CF392" i="91"/>
  <c r="BO143" i="91"/>
  <c r="CR63" i="91"/>
  <c r="AY193" i="91"/>
  <c r="CF65" i="91"/>
  <c r="AY472" i="91"/>
  <c r="CF472" i="91" s="1"/>
  <c r="CF558" i="91"/>
  <c r="CF557" i="91" s="1"/>
  <c r="CN446" i="91"/>
  <c r="BO71" i="91"/>
  <c r="BG10" i="91"/>
  <c r="CM575" i="91"/>
  <c r="CF480" i="91"/>
  <c r="CR571" i="91"/>
  <c r="CF528" i="91"/>
  <c r="CW427" i="91"/>
  <c r="CE426" i="91"/>
  <c r="CW426" i="91" s="1"/>
  <c r="CF244" i="91"/>
  <c r="N10" i="91"/>
  <c r="J10" i="91"/>
  <c r="M10" i="91"/>
  <c r="BO253" i="91"/>
  <c r="BO242" i="91"/>
  <c r="CF243" i="91" s="1"/>
  <c r="Q10" i="91"/>
  <c r="K10" i="91"/>
  <c r="AX10" i="91"/>
  <c r="AZ10" i="91"/>
  <c r="CF266" i="91"/>
  <c r="CF265" i="91" s="1"/>
  <c r="AI11" i="91"/>
  <c r="AI10" i="91" s="1"/>
  <c r="BI10" i="91"/>
  <c r="BE10" i="91"/>
  <c r="H554" i="91"/>
  <c r="I545" i="91"/>
  <c r="H545" i="91" s="1"/>
  <c r="U545" i="91"/>
  <c r="T545" i="91" s="1"/>
  <c r="T546" i="91"/>
  <c r="CK467" i="91"/>
  <c r="BD462" i="91"/>
  <c r="CK462" i="91" s="1"/>
  <c r="T410" i="91"/>
  <c r="T394" i="91" s="1"/>
  <c r="P10" i="91"/>
  <c r="L10" i="91"/>
  <c r="H37" i="91"/>
  <c r="O10" i="91"/>
  <c r="CF412" i="91"/>
  <c r="AY394" i="91"/>
  <c r="CW401" i="91"/>
  <c r="CJ345" i="91"/>
  <c r="BO424" i="91"/>
  <c r="CF424" i="91" s="1"/>
  <c r="CE423" i="91"/>
  <c r="BO63" i="91"/>
  <c r="BX62" i="91"/>
  <c r="CR240" i="91"/>
  <c r="BO240" i="91"/>
  <c r="CA237" i="91"/>
  <c r="CR237" i="91" s="1"/>
  <c r="BN394" i="91"/>
  <c r="CF367" i="91"/>
  <c r="AY143" i="91"/>
  <c r="AY140" i="91" s="1"/>
  <c r="AY21" i="91"/>
  <c r="AY17" i="91" s="1"/>
  <c r="CV143" i="91"/>
  <c r="BO522" i="91"/>
  <c r="CM576" i="91"/>
  <c r="CJ572" i="91"/>
  <c r="BS571" i="91"/>
  <c r="CR569" i="91"/>
  <c r="AY341" i="91"/>
  <c r="CF341" i="91" s="1"/>
  <c r="CJ271" i="91"/>
  <c r="CK503" i="91"/>
  <c r="AY492" i="91"/>
  <c r="BN484" i="91"/>
  <c r="CW484" i="91" s="1"/>
  <c r="BD446" i="91"/>
  <c r="BO410" i="91"/>
  <c r="CF410" i="91" s="1"/>
  <c r="CF275" i="91"/>
  <c r="CF274" i="91" s="1"/>
  <c r="CW411" i="91"/>
  <c r="BC11" i="91"/>
  <c r="BC10" i="91" s="1"/>
  <c r="CQ576" i="91"/>
  <c r="BO576" i="91"/>
  <c r="CF576" i="91" s="1"/>
  <c r="BZ575" i="91"/>
  <c r="CJ573" i="91"/>
  <c r="CR568" i="91"/>
  <c r="BO568" i="91"/>
  <c r="CF568" i="91" s="1"/>
  <c r="CA545" i="91"/>
  <c r="CR545" i="91" s="1"/>
  <c r="BK37" i="91"/>
  <c r="CR37" i="91" s="1"/>
  <c r="CW13" i="91"/>
  <c r="BO13" i="91"/>
  <c r="CF13" i="91" s="1"/>
  <c r="CE12" i="91"/>
  <c r="CF63" i="91"/>
  <c r="CF62" i="91" s="1"/>
  <c r="BM11" i="91"/>
  <c r="BM10" i="91" s="1"/>
  <c r="CT140" i="91"/>
  <c r="CV140" i="91"/>
  <c r="CW547" i="91"/>
  <c r="CE546" i="91"/>
  <c r="CW542" i="91"/>
  <c r="CE541" i="91"/>
  <c r="CW541" i="91" s="1"/>
  <c r="BP541" i="91"/>
  <c r="BO542" i="91"/>
  <c r="CF577" i="91"/>
  <c r="BO519" i="91"/>
  <c r="AY522" i="91"/>
  <c r="BP446" i="91"/>
  <c r="BO497" i="91"/>
  <c r="CF486" i="91"/>
  <c r="AY485" i="91"/>
  <c r="CF468" i="91"/>
  <c r="AY467" i="91"/>
  <c r="CK459" i="91"/>
  <c r="BO459" i="91"/>
  <c r="BT456" i="91"/>
  <c r="CW456" i="91"/>
  <c r="CF449" i="91"/>
  <c r="CF448" i="91" s="1"/>
  <c r="AY448" i="91"/>
  <c r="AY447" i="91" s="1"/>
  <c r="H447" i="91"/>
  <c r="I446" i="91"/>
  <c r="H446" i="91" s="1"/>
  <c r="CW485" i="91"/>
  <c r="CW467" i="91"/>
  <c r="BO453" i="91"/>
  <c r="CR447" i="91"/>
  <c r="CE434" i="91"/>
  <c r="CW434" i="91" s="1"/>
  <c r="CW435" i="91"/>
  <c r="H416" i="91"/>
  <c r="I394" i="91"/>
  <c r="H394" i="91" s="1"/>
  <c r="BO416" i="91"/>
  <c r="CF411" i="91"/>
  <c r="CW410" i="91"/>
  <c r="CF403" i="91"/>
  <c r="CF402" i="91" s="1"/>
  <c r="CF401" i="91" s="1"/>
  <c r="CW402" i="91"/>
  <c r="BP394" i="91"/>
  <c r="CK389" i="91"/>
  <c r="BT388" i="91"/>
  <c r="CK388" i="91" s="1"/>
  <c r="CW385" i="91"/>
  <c r="CE384" i="91"/>
  <c r="CJ375" i="91"/>
  <c r="BS365" i="91"/>
  <c r="CW367" i="91"/>
  <c r="CE366" i="91"/>
  <c r="CF323" i="91"/>
  <c r="CW274" i="91"/>
  <c r="CE273" i="91"/>
  <c r="CW273" i="91" s="1"/>
  <c r="CF261" i="91"/>
  <c r="AY259" i="91"/>
  <c r="U394" i="91"/>
  <c r="BO375" i="91"/>
  <c r="CF375" i="91" s="1"/>
  <c r="BO318" i="91"/>
  <c r="CF319" i="91" s="1"/>
  <c r="CJ259" i="91"/>
  <c r="CW398" i="91"/>
  <c r="BO371" i="91"/>
  <c r="CF371" i="91" s="1"/>
  <c r="BO274" i="91"/>
  <c r="CF272" i="91"/>
  <c r="CF271" i="91" s="1"/>
  <c r="CF189" i="91"/>
  <c r="CF186" i="91" s="1"/>
  <c r="CF185" i="91" s="1"/>
  <c r="AY185" i="91"/>
  <c r="AY184" i="91" s="1"/>
  <c r="CF146" i="91"/>
  <c r="CF145" i="91"/>
  <c r="BO112" i="91"/>
  <c r="CF112" i="91" s="1"/>
  <c r="BP11" i="91"/>
  <c r="CF111" i="91"/>
  <c r="CF110" i="91" s="1"/>
  <c r="AY110" i="91"/>
  <c r="AJ11" i="91"/>
  <c r="AJ10" i="91" s="1"/>
  <c r="CW43" i="91"/>
  <c r="CE42" i="91"/>
  <c r="CR21" i="91"/>
  <c r="CW17" i="91"/>
  <c r="I11" i="91"/>
  <c r="I10" i="91" s="1"/>
  <c r="H12" i="91"/>
  <c r="H11" i="91" s="1"/>
  <c r="H10" i="91" s="1"/>
  <c r="CJ249" i="91"/>
  <c r="BO234" i="91"/>
  <c r="CF235" i="91" s="1"/>
  <c r="CW141" i="91"/>
  <c r="CW66" i="91"/>
  <c r="CF26" i="91"/>
  <c r="CA17" i="91"/>
  <c r="CT143" i="91"/>
  <c r="BO140" i="91"/>
  <c r="CT11" i="91"/>
  <c r="CB10" i="91"/>
  <c r="CW108" i="91"/>
  <c r="BO37" i="91"/>
  <c r="BO21" i="91"/>
  <c r="BW10" i="91"/>
  <c r="CN10" i="91" s="1"/>
  <c r="CW563" i="91"/>
  <c r="CE562" i="91"/>
  <c r="CF517" i="91"/>
  <c r="AY515" i="91"/>
  <c r="AF538" i="91"/>
  <c r="AF446" i="91" s="1"/>
  <c r="AF10" i="91" s="1"/>
  <c r="AD539" i="91"/>
  <c r="AC539" i="91" s="1"/>
  <c r="AY503" i="91"/>
  <c r="AY502" i="91" s="1"/>
  <c r="CE462" i="91"/>
  <c r="CW463" i="91"/>
  <c r="CF460" i="91"/>
  <c r="CF459" i="91" s="1"/>
  <c r="AY459" i="91"/>
  <c r="AY456" i="91" s="1"/>
  <c r="CR446" i="91"/>
  <c r="CW457" i="91"/>
  <c r="CR448" i="91"/>
  <c r="CW405" i="91"/>
  <c r="CE404" i="91"/>
  <c r="CW404" i="91" s="1"/>
  <c r="BO401" i="91"/>
  <c r="CW396" i="91"/>
  <c r="CE395" i="91"/>
  <c r="BO389" i="91"/>
  <c r="CF389" i="91" s="1"/>
  <c r="BP388" i="91"/>
  <c r="BO388" i="91" s="1"/>
  <c r="CF388" i="91" s="1"/>
  <c r="BO384" i="91"/>
  <c r="CF384" i="91" s="1"/>
  <c r="BP383" i="91"/>
  <c r="BO381" i="91"/>
  <c r="CF381" i="91" s="1"/>
  <c r="CW381" i="91"/>
  <c r="CE380" i="91"/>
  <c r="CF366" i="91"/>
  <c r="BO273" i="91"/>
  <c r="BO396" i="91"/>
  <c r="CF396" i="91" s="1"/>
  <c r="CF263" i="91"/>
  <c r="CF262" i="91" s="1"/>
  <c r="BD10" i="91"/>
  <c r="BO345" i="91"/>
  <c r="CW322" i="91"/>
  <c r="BS321" i="91"/>
  <c r="BS11" i="91" s="1"/>
  <c r="CF273" i="91"/>
  <c r="CF252" i="91"/>
  <c r="CF251" i="91" s="1"/>
  <c r="CF250" i="91" s="1"/>
  <c r="CW219" i="91"/>
  <c r="CE218" i="91"/>
  <c r="CW218" i="91" s="1"/>
  <c r="CE193" i="91"/>
  <c r="CW193" i="91" s="1"/>
  <c r="CW194" i="91"/>
  <c r="CO185" i="91"/>
  <c r="BH184" i="91"/>
  <c r="CF151" i="91"/>
  <c r="CF109" i="91"/>
  <c r="AY108" i="91"/>
  <c r="CF21" i="91"/>
  <c r="CF17" i="91" s="1"/>
  <c r="BN11" i="91"/>
  <c r="BO219" i="91"/>
  <c r="CW18" i="91"/>
  <c r="CV11" i="91"/>
  <c r="CD10" i="91"/>
  <c r="CQ11" i="91"/>
  <c r="CM11" i="91"/>
  <c r="BV10" i="91"/>
  <c r="CM10" i="91" s="1"/>
  <c r="BO43" i="91"/>
  <c r="AG10" i="91"/>
  <c r="CC10" i="91"/>
  <c r="BY10" i="91"/>
  <c r="CP10" i="91" s="1"/>
  <c r="CV10" i="91" l="1"/>
  <c r="BO434" i="91"/>
  <c r="CF434" i="91" s="1"/>
  <c r="BN446" i="91"/>
  <c r="BN10" i="91" s="1"/>
  <c r="CT10" i="91"/>
  <c r="CF140" i="91"/>
  <c r="BO426" i="91"/>
  <c r="CF426" i="91" s="1"/>
  <c r="BO541" i="91"/>
  <c r="BO404" i="91"/>
  <c r="CF404" i="91" s="1"/>
  <c r="BO62" i="91"/>
  <c r="BX11" i="91"/>
  <c r="BX10" i="91" s="1"/>
  <c r="DH11" i="91"/>
  <c r="CW423" i="91"/>
  <c r="BO423" i="91"/>
  <c r="CF423" i="91" s="1"/>
  <c r="BO237" i="91"/>
  <c r="BK11" i="91"/>
  <c r="BK10" i="91" s="1"/>
  <c r="CF143" i="91"/>
  <c r="BO12" i="91"/>
  <c r="CF12" i="91" s="1"/>
  <c r="CW12" i="91"/>
  <c r="CQ575" i="91"/>
  <c r="BZ571" i="91"/>
  <c r="BO575" i="91"/>
  <c r="CF575" i="91" s="1"/>
  <c r="CF571" i="91" s="1"/>
  <c r="CJ571" i="91"/>
  <c r="BO571" i="91"/>
  <c r="AY321" i="91"/>
  <c r="BS10" i="91"/>
  <c r="CJ10" i="91" s="1"/>
  <c r="CJ11" i="91"/>
  <c r="AY107" i="91"/>
  <c r="CF108" i="91"/>
  <c r="CF107" i="91" s="1"/>
  <c r="CE394" i="91"/>
  <c r="CW394" i="91" s="1"/>
  <c r="CW395" i="91"/>
  <c r="BO462" i="91"/>
  <c r="CW462" i="91"/>
  <c r="AB539" i="91"/>
  <c r="AC538" i="91"/>
  <c r="AC446" i="91" s="1"/>
  <c r="AC10" i="91" s="1"/>
  <c r="AY512" i="91"/>
  <c r="CF512" i="91" s="1"/>
  <c r="CF515" i="91"/>
  <c r="BO562" i="91"/>
  <c r="CW562" i="91"/>
  <c r="CR17" i="91"/>
  <c r="BO17" i="91"/>
  <c r="CA11" i="91"/>
  <c r="CW42" i="91"/>
  <c r="BO42" i="91"/>
  <c r="CF42" i="91" s="1"/>
  <c r="BO218" i="91"/>
  <c r="AY258" i="91"/>
  <c r="CF259" i="91" s="1"/>
  <c r="CF260" i="91"/>
  <c r="BO395" i="91"/>
  <c r="CF395" i="91" s="1"/>
  <c r="CF394" i="91" s="1"/>
  <c r="BT446" i="91"/>
  <c r="CK456" i="91"/>
  <c r="BO456" i="91"/>
  <c r="CF456" i="91" s="1"/>
  <c r="CW546" i="91"/>
  <c r="CE545" i="91"/>
  <c r="BO546" i="91"/>
  <c r="CF546" i="91" s="1"/>
  <c r="BH11" i="91"/>
  <c r="BH10" i="91" s="1"/>
  <c r="CO184" i="91"/>
  <c r="CJ321" i="91"/>
  <c r="BO321" i="91"/>
  <c r="CF322" i="91" s="1"/>
  <c r="CE379" i="91"/>
  <c r="CW380" i="91"/>
  <c r="BO380" i="91"/>
  <c r="CF380" i="91" s="1"/>
  <c r="CF379" i="91" s="1"/>
  <c r="CE11" i="91"/>
  <c r="CG11" i="91"/>
  <c r="BP10" i="91"/>
  <c r="BO193" i="91"/>
  <c r="CF194" i="91" s="1"/>
  <c r="CW366" i="91"/>
  <c r="CE365" i="91"/>
  <c r="CW365" i="91" s="1"/>
  <c r="BO366" i="91"/>
  <c r="BO365" i="91"/>
  <c r="CF365" i="91" s="1"/>
  <c r="CW384" i="91"/>
  <c r="CE383" i="91"/>
  <c r="CW383" i="91" s="1"/>
  <c r="BO394" i="91"/>
  <c r="CE446" i="91"/>
  <c r="CF447" i="91"/>
  <c r="AY462" i="91"/>
  <c r="CF467" i="91"/>
  <c r="AY484" i="91"/>
  <c r="CF484" i="91" s="1"/>
  <c r="CF485" i="91"/>
  <c r="CF522" i="91"/>
  <c r="AY519" i="91"/>
  <c r="CF519" i="91" s="1"/>
  <c r="CW446" i="91" l="1"/>
  <c r="AY446" i="91"/>
  <c r="CQ571" i="91"/>
  <c r="BZ10" i="91"/>
  <c r="CQ10" i="91" s="1"/>
  <c r="CW11" i="91"/>
  <c r="CE10" i="91"/>
  <c r="CW10" i="91" s="1"/>
  <c r="CG10" i="91"/>
  <c r="CW379" i="91"/>
  <c r="BO379" i="91"/>
  <c r="CW545" i="91"/>
  <c r="BO545" i="91"/>
  <c r="CF545" i="91" s="1"/>
  <c r="CK446" i="91"/>
  <c r="BT10" i="91"/>
  <c r="CK10" i="91" s="1"/>
  <c r="BO383" i="91"/>
  <c r="CF383" i="91" s="1"/>
  <c r="AY11" i="91"/>
  <c r="BO11" i="91"/>
  <c r="BO446" i="91"/>
  <c r="CR11" i="91"/>
  <c r="CA10" i="91"/>
  <c r="CR10" i="91" s="1"/>
  <c r="AA539" i="91"/>
  <c r="AB538" i="91"/>
  <c r="AB446" i="91" s="1"/>
  <c r="AB10" i="91" s="1"/>
  <c r="CF462" i="91"/>
  <c r="CF446" i="91" s="1"/>
  <c r="AY10" i="91" l="1"/>
  <c r="CF11" i="91"/>
  <c r="Z539" i="91"/>
  <c r="AA538" i="91"/>
  <c r="AA446" i="91" s="1"/>
  <c r="AA10" i="91" s="1"/>
  <c r="BO10" i="91"/>
  <c r="CF10" i="91" l="1"/>
  <c r="Y539" i="91"/>
  <c r="Z538" i="91"/>
  <c r="Z446" i="91" s="1"/>
  <c r="Z10" i="91" s="1"/>
  <c r="X539" i="91" l="1"/>
  <c r="Y538" i="91"/>
  <c r="Y446" i="91" s="1"/>
  <c r="Y10" i="91" s="1"/>
  <c r="W539" i="91" l="1"/>
  <c r="X538" i="91"/>
  <c r="X446" i="91" s="1"/>
  <c r="X10" i="91" s="1"/>
  <c r="V539" i="91" l="1"/>
  <c r="W538" i="91"/>
  <c r="W446" i="91" s="1"/>
  <c r="W10" i="91" s="1"/>
  <c r="U539" i="91" l="1"/>
  <c r="V538" i="91"/>
  <c r="V446" i="91" s="1"/>
  <c r="V10" i="91" s="1"/>
  <c r="T539" i="91" l="1"/>
  <c r="U538" i="91"/>
  <c r="T538" i="91" l="1"/>
  <c r="T446" i="91" s="1"/>
  <c r="T10" i="91" s="1"/>
  <c r="U446" i="91"/>
  <c r="U10" i="91" s="1"/>
  <c r="G38" i="82" l="1"/>
  <c r="D57" i="51" l="1"/>
  <c r="G18" i="82"/>
  <c r="A3" i="87" l="1"/>
  <c r="A3" i="85" s="1"/>
  <c r="A3" i="86" s="1"/>
  <c r="A5" i="83"/>
  <c r="A3" i="75"/>
  <c r="A3" i="73"/>
  <c r="A3" i="72"/>
  <c r="A3" i="71"/>
  <c r="A3" i="70"/>
  <c r="A3" i="91" l="1"/>
  <c r="F26" i="82" l="1"/>
  <c r="G22" i="88"/>
  <c r="G21" i="88"/>
  <c r="I56" i="80" l="1"/>
  <c r="C67" i="89" l="1"/>
  <c r="C65" i="89"/>
  <c r="C61" i="89"/>
  <c r="F59" i="89"/>
  <c r="F58" i="89"/>
  <c r="C57" i="89"/>
  <c r="C53" i="89"/>
  <c r="C51" i="89"/>
  <c r="C50" i="89" s="1"/>
  <c r="G8" i="89" s="1"/>
  <c r="G10" i="89" s="1"/>
  <c r="H10" i="89" s="1"/>
  <c r="G11" i="89" s="1"/>
  <c r="F49" i="89"/>
  <c r="F48" i="89"/>
  <c r="F47" i="89"/>
  <c r="F45" i="89"/>
  <c r="F39" i="89"/>
  <c r="F43" i="89" s="1"/>
  <c r="F37" i="89"/>
  <c r="F41" i="89" s="1"/>
  <c r="F33" i="89"/>
  <c r="F31" i="89"/>
  <c r="C30" i="89"/>
  <c r="F27" i="89"/>
  <c r="C24" i="89"/>
  <c r="C23" i="89"/>
  <c r="C22" i="89"/>
  <c r="C21" i="89" s="1"/>
  <c r="F18" i="89"/>
  <c r="G15" i="89"/>
  <c r="F14" i="89"/>
  <c r="C13" i="89"/>
  <c r="C9" i="89"/>
  <c r="H7" i="89"/>
  <c r="C7" i="89"/>
  <c r="D8" i="89" l="1"/>
  <c r="G7" i="89"/>
  <c r="H11" i="89" s="1"/>
  <c r="C20" i="89"/>
  <c r="C6" i="89" s="1"/>
  <c r="A4" i="51"/>
  <c r="A4" i="78"/>
  <c r="E10" i="89" l="1"/>
  <c r="D6" i="89"/>
  <c r="E6" i="89" s="1"/>
  <c r="H65" i="80"/>
  <c r="D13" i="78" s="1"/>
  <c r="H22" i="88"/>
  <c r="B21" i="88"/>
  <c r="H20" i="88"/>
  <c r="G20" i="88" s="1"/>
  <c r="E20" i="88"/>
  <c r="D20" i="88"/>
  <c r="C20" i="88"/>
  <c r="B20" i="88" s="1"/>
  <c r="B18" i="88"/>
  <c r="B17" i="88"/>
  <c r="B16" i="88"/>
  <c r="G15" i="88"/>
  <c r="C15" i="88"/>
  <c r="B15" i="88" s="1"/>
  <c r="G14" i="88"/>
  <c r="B14" i="88"/>
  <c r="G13" i="88"/>
  <c r="B13" i="88"/>
  <c r="G12" i="88"/>
  <c r="D8" i="88"/>
  <c r="D7" i="88" s="1"/>
  <c r="I8" i="88"/>
  <c r="I7" i="88" s="1"/>
  <c r="G11" i="88"/>
  <c r="B11" i="88"/>
  <c r="G10" i="88"/>
  <c r="B10" i="88"/>
  <c r="G9" i="88"/>
  <c r="B9" i="88"/>
  <c r="J8" i="88"/>
  <c r="H8" i="88"/>
  <c r="H7" i="88" s="1"/>
  <c r="E8" i="88"/>
  <c r="E7" i="88" s="1"/>
  <c r="J7" i="88"/>
  <c r="L27" i="88" s="1"/>
  <c r="E19" i="88" l="1"/>
  <c r="C8" i="88"/>
  <c r="C7" i="88" s="1"/>
  <c r="L21" i="88" s="1"/>
  <c r="L26" i="88"/>
  <c r="G7" i="88"/>
  <c r="G8" i="88"/>
  <c r="L22" i="88"/>
  <c r="D19" i="88"/>
  <c r="B12" i="88"/>
  <c r="B8" i="88" s="1"/>
  <c r="B7" i="88" s="1"/>
  <c r="L23" i="88"/>
  <c r="L32" i="88" s="1"/>
  <c r="L25" i="88"/>
  <c r="D15" i="87"/>
  <c r="D14" i="87"/>
  <c r="D13" i="87"/>
  <c r="D12" i="87"/>
  <c r="D11" i="87"/>
  <c r="D10" i="87"/>
  <c r="D9" i="87"/>
  <c r="F8" i="87"/>
  <c r="E8" i="87"/>
  <c r="D8" i="87" s="1"/>
  <c r="G8" i="87" s="1"/>
  <c r="H8" i="87" s="1"/>
  <c r="C19" i="88" l="1"/>
  <c r="L24" i="88"/>
  <c r="B19" i="88"/>
  <c r="L17" i="88"/>
  <c r="L28" i="88"/>
  <c r="L31" i="88"/>
  <c r="L18" i="88"/>
  <c r="L30" i="88"/>
  <c r="L19" i="88" l="1"/>
  <c r="L29" i="88"/>
  <c r="E103" i="86"/>
  <c r="E102" i="86"/>
  <c r="E101" i="86"/>
  <c r="E100" i="86"/>
  <c r="Q99" i="86"/>
  <c r="I99" i="86"/>
  <c r="E99" i="86"/>
  <c r="E98" i="86"/>
  <c r="E97" i="86"/>
  <c r="E96" i="86"/>
  <c r="E95" i="86"/>
  <c r="E93" i="86"/>
  <c r="S92" i="86"/>
  <c r="E92" i="86" s="1"/>
  <c r="E91" i="86"/>
  <c r="E90" i="86"/>
  <c r="E89" i="86"/>
  <c r="E88" i="86"/>
  <c r="E87" i="86"/>
  <c r="E86" i="86"/>
  <c r="E85" i="86"/>
  <c r="E84" i="86"/>
  <c r="E83" i="86"/>
  <c r="E82" i="86"/>
  <c r="U81" i="86"/>
  <c r="U61" i="86" s="1"/>
  <c r="Q81" i="86"/>
  <c r="O81" i="86"/>
  <c r="K81" i="86"/>
  <c r="I81" i="86"/>
  <c r="G81" i="86"/>
  <c r="E80" i="86"/>
  <c r="E79" i="86"/>
  <c r="E78" i="86"/>
  <c r="E77" i="86"/>
  <c r="E75" i="86"/>
  <c r="E74" i="86"/>
  <c r="E73" i="86"/>
  <c r="E72" i="86"/>
  <c r="M71" i="86"/>
  <c r="K71" i="86"/>
  <c r="G71" i="86"/>
  <c r="E71" i="86"/>
  <c r="E70" i="86"/>
  <c r="E69" i="86"/>
  <c r="E68" i="86"/>
  <c r="E67" i="86"/>
  <c r="E65" i="86"/>
  <c r="E64" i="86"/>
  <c r="E63" i="86"/>
  <c r="S62" i="86"/>
  <c r="Q62" i="86"/>
  <c r="Q61" i="86" s="1"/>
  <c r="O62" i="86"/>
  <c r="M62" i="86"/>
  <c r="M61" i="86" s="1"/>
  <c r="I62" i="86"/>
  <c r="E62" i="86"/>
  <c r="O61" i="86"/>
  <c r="K61" i="86"/>
  <c r="I61" i="86"/>
  <c r="G61" i="86"/>
  <c r="D61" i="86"/>
  <c r="K60" i="86"/>
  <c r="E60" i="86"/>
  <c r="E59" i="86"/>
  <c r="E58" i="86"/>
  <c r="E57" i="86"/>
  <c r="E56" i="86"/>
  <c r="E55" i="86"/>
  <c r="U54" i="86"/>
  <c r="Q54" i="86"/>
  <c r="M54" i="86"/>
  <c r="I54" i="86"/>
  <c r="E54" i="86"/>
  <c r="C54" i="86" s="1"/>
  <c r="E53" i="86"/>
  <c r="O52" i="86"/>
  <c r="E52" i="86"/>
  <c r="C52" i="86" s="1"/>
  <c r="E51" i="86"/>
  <c r="E50" i="86"/>
  <c r="E49" i="86"/>
  <c r="E48" i="86"/>
  <c r="E47" i="86"/>
  <c r="E46" i="86"/>
  <c r="E45" i="86"/>
  <c r="E44" i="86"/>
  <c r="E43" i="86"/>
  <c r="E42" i="86"/>
  <c r="I41" i="86"/>
  <c r="E41" i="86" s="1"/>
  <c r="E40" i="86"/>
  <c r="E39" i="86"/>
  <c r="U38" i="86"/>
  <c r="T38" i="86"/>
  <c r="S38" i="86"/>
  <c r="R38" i="86"/>
  <c r="Q38" i="86"/>
  <c r="P38" i="86"/>
  <c r="O38" i="86"/>
  <c r="O9" i="86" s="1"/>
  <c r="O8" i="86" s="1"/>
  <c r="M38" i="86"/>
  <c r="K38" i="86"/>
  <c r="K9" i="86" s="1"/>
  <c r="K8" i="86" s="1"/>
  <c r="G38" i="86"/>
  <c r="E37" i="86"/>
  <c r="U36" i="86"/>
  <c r="O36" i="86"/>
  <c r="E36" i="86"/>
  <c r="E35" i="86"/>
  <c r="S33" i="86"/>
  <c r="M33" i="86"/>
  <c r="E33" i="86"/>
  <c r="C33" i="86" s="1"/>
  <c r="E32" i="86"/>
  <c r="E31" i="86"/>
  <c r="E30" i="86"/>
  <c r="E29" i="86"/>
  <c r="I28" i="86"/>
  <c r="E28" i="86" s="1"/>
  <c r="E27" i="86" s="1"/>
  <c r="C27" i="86" s="1"/>
  <c r="U27" i="86"/>
  <c r="S27" i="86"/>
  <c r="Q27" i="86"/>
  <c r="O27" i="86"/>
  <c r="M27" i="86"/>
  <c r="K27" i="86"/>
  <c r="I27" i="86"/>
  <c r="G27" i="86"/>
  <c r="E26" i="86"/>
  <c r="E25" i="86"/>
  <c r="E24" i="86"/>
  <c r="E22" i="86" s="1"/>
  <c r="C22" i="86" s="1"/>
  <c r="E23" i="86"/>
  <c r="I22" i="86"/>
  <c r="E21" i="86"/>
  <c r="E20" i="86"/>
  <c r="S19" i="86"/>
  <c r="E19" i="86"/>
  <c r="E18" i="86"/>
  <c r="E17" i="86"/>
  <c r="E16" i="86"/>
  <c r="S15" i="86"/>
  <c r="E15" i="86" s="1"/>
  <c r="E14" i="86"/>
  <c r="U13" i="86"/>
  <c r="I13" i="86"/>
  <c r="E13" i="86" s="1"/>
  <c r="G12" i="86"/>
  <c r="E12" i="86" s="1"/>
  <c r="E10" i="86" s="1"/>
  <c r="E11" i="86"/>
  <c r="U10" i="86"/>
  <c r="S10" i="86"/>
  <c r="S9" i="86" s="1"/>
  <c r="Q10" i="86"/>
  <c r="P10" i="86"/>
  <c r="O10" i="86"/>
  <c r="M10" i="86"/>
  <c r="K10" i="86"/>
  <c r="I10" i="86"/>
  <c r="U9" i="86"/>
  <c r="U8" i="86" s="1"/>
  <c r="Q9" i="86"/>
  <c r="Q8" i="86" s="1"/>
  <c r="M9" i="86"/>
  <c r="M8" i="86" s="1"/>
  <c r="D9" i="86"/>
  <c r="T8" i="86"/>
  <c r="R8" i="86"/>
  <c r="P8" i="86"/>
  <c r="N8" i="86"/>
  <c r="L8" i="86"/>
  <c r="J8" i="86"/>
  <c r="H8" i="86"/>
  <c r="F8" i="86"/>
  <c r="D8" i="86"/>
  <c r="E190" i="85"/>
  <c r="C190" i="85"/>
  <c r="C189" i="85" s="1"/>
  <c r="E189" i="85"/>
  <c r="D189" i="85"/>
  <c r="C188" i="85"/>
  <c r="E187" i="85"/>
  <c r="C187" i="85"/>
  <c r="E186" i="85"/>
  <c r="C186" i="85"/>
  <c r="E185" i="85"/>
  <c r="C185" i="85"/>
  <c r="C184" i="85"/>
  <c r="C183" i="85"/>
  <c r="C182" i="85"/>
  <c r="E181" i="85"/>
  <c r="C181" i="85" s="1"/>
  <c r="E180" i="85"/>
  <c r="C180" i="85" s="1"/>
  <c r="E179" i="85"/>
  <c r="E178" i="85" s="1"/>
  <c r="E173" i="85" s="1"/>
  <c r="E172" i="85" s="1"/>
  <c r="D179" i="85"/>
  <c r="C179" i="85"/>
  <c r="D178" i="85"/>
  <c r="C177" i="85"/>
  <c r="E176" i="85"/>
  <c r="C176" i="85"/>
  <c r="C175" i="85"/>
  <c r="E174" i="85"/>
  <c r="C174" i="85" s="1"/>
  <c r="C171" i="85"/>
  <c r="C170" i="85" s="1"/>
  <c r="E170" i="85"/>
  <c r="D170" i="85"/>
  <c r="C169" i="85"/>
  <c r="C168" i="85"/>
  <c r="C167" i="85"/>
  <c r="C166" i="85"/>
  <c r="C165" i="85"/>
  <c r="C164" i="85"/>
  <c r="E163" i="85"/>
  <c r="D163" i="85"/>
  <c r="C163" i="85"/>
  <c r="C162" i="85"/>
  <c r="E161" i="85"/>
  <c r="C161" i="85"/>
  <c r="C160" i="85"/>
  <c r="E159" i="85"/>
  <c r="C159" i="85"/>
  <c r="C158" i="85"/>
  <c r="E157" i="85"/>
  <c r="C157" i="85"/>
  <c r="C156" i="85"/>
  <c r="E155" i="85"/>
  <c r="C155" i="85"/>
  <c r="C154" i="85"/>
  <c r="C153" i="85"/>
  <c r="E152" i="85"/>
  <c r="C152" i="85"/>
  <c r="C151" i="85"/>
  <c r="E150" i="85"/>
  <c r="C150" i="85"/>
  <c r="C149" i="85"/>
  <c r="C147" i="85" s="1"/>
  <c r="C148" i="85"/>
  <c r="E147" i="85"/>
  <c r="C146" i="85"/>
  <c r="C144" i="85" s="1"/>
  <c r="C145" i="85"/>
  <c r="E144" i="85"/>
  <c r="C143" i="85"/>
  <c r="E142" i="85"/>
  <c r="C142" i="85"/>
  <c r="C141" i="85"/>
  <c r="E140" i="85"/>
  <c r="C140" i="85"/>
  <c r="C139" i="85"/>
  <c r="E138" i="85"/>
  <c r="C138" i="85"/>
  <c r="C137" i="85"/>
  <c r="E136" i="85"/>
  <c r="C136" i="85"/>
  <c r="C135" i="85"/>
  <c r="E134" i="85"/>
  <c r="C134" i="85"/>
  <c r="C133" i="85"/>
  <c r="D132" i="85"/>
  <c r="C132" i="85"/>
  <c r="C131" i="85"/>
  <c r="C130" i="85"/>
  <c r="C129" i="85"/>
  <c r="C128" i="85"/>
  <c r="E127" i="85"/>
  <c r="E126" i="85" s="1"/>
  <c r="D127" i="85"/>
  <c r="C127" i="85"/>
  <c r="C126" i="85" s="1"/>
  <c r="D126" i="85"/>
  <c r="C125" i="85"/>
  <c r="C124" i="85"/>
  <c r="C123" i="85"/>
  <c r="C122" i="85"/>
  <c r="C121" i="85"/>
  <c r="C120" i="85"/>
  <c r="C119" i="85"/>
  <c r="E118" i="85"/>
  <c r="C118" i="85"/>
  <c r="C117" i="85"/>
  <c r="C116" i="85"/>
  <c r="E115" i="85"/>
  <c r="C115" i="85"/>
  <c r="C114" i="85" s="1"/>
  <c r="C113" i="85" s="1"/>
  <c r="E114" i="85"/>
  <c r="D114" i="85"/>
  <c r="D113" i="85" s="1"/>
  <c r="E113" i="85"/>
  <c r="C112" i="85"/>
  <c r="C111" i="85"/>
  <c r="C110" i="85"/>
  <c r="C109" i="85"/>
  <c r="C108" i="85"/>
  <c r="E107" i="85"/>
  <c r="C107" i="85" s="1"/>
  <c r="C106" i="85"/>
  <c r="C105" i="85"/>
  <c r="C104" i="85"/>
  <c r="C102" i="85" s="1"/>
  <c r="C103" i="85"/>
  <c r="E102" i="85"/>
  <c r="C101" i="85"/>
  <c r="C52" i="85"/>
  <c r="C51" i="85"/>
  <c r="C50" i="85"/>
  <c r="C49" i="85"/>
  <c r="E48" i="85"/>
  <c r="D48" i="85"/>
  <c r="C48" i="85" s="1"/>
  <c r="C47" i="85"/>
  <c r="E46" i="85"/>
  <c r="C46" i="85"/>
  <c r="C45" i="85"/>
  <c r="E44" i="85"/>
  <c r="C44" i="85" s="1"/>
  <c r="C43" i="85"/>
  <c r="C42" i="85"/>
  <c r="C41" i="85"/>
  <c r="C40" i="85"/>
  <c r="C39" i="85"/>
  <c r="E38" i="85"/>
  <c r="D38" i="85"/>
  <c r="C38" i="85" s="1"/>
  <c r="C22" i="85"/>
  <c r="D21" i="85"/>
  <c r="C21" i="85"/>
  <c r="D20" i="85"/>
  <c r="C17" i="85"/>
  <c r="C16" i="85"/>
  <c r="C15" i="85"/>
  <c r="C14" i="85"/>
  <c r="C13" i="85"/>
  <c r="C12" i="85"/>
  <c r="C11" i="85"/>
  <c r="E10" i="85"/>
  <c r="C10" i="85"/>
  <c r="E9" i="85"/>
  <c r="C9" i="85" s="1"/>
  <c r="C10" i="86" l="1"/>
  <c r="E38" i="86"/>
  <c r="E61" i="86"/>
  <c r="E81" i="86"/>
  <c r="G10" i="86"/>
  <c r="G9" i="86" s="1"/>
  <c r="G8" i="86" s="1"/>
  <c r="I38" i="86"/>
  <c r="I9" i="86" s="1"/>
  <c r="I8" i="86" s="1"/>
  <c r="S81" i="86"/>
  <c r="S61" i="86" s="1"/>
  <c r="S8" i="86" s="1"/>
  <c r="C173" i="85"/>
  <c r="C172" i="85" s="1"/>
  <c r="C20" i="85"/>
  <c r="C178" i="85"/>
  <c r="D19" i="85"/>
  <c r="E20" i="85"/>
  <c r="E19" i="85" s="1"/>
  <c r="E8" i="85" s="1"/>
  <c r="D173" i="85"/>
  <c r="D172" i="85" s="1"/>
  <c r="C38" i="86" l="1"/>
  <c r="E9" i="86"/>
  <c r="E8" i="86" s="1"/>
  <c r="C9" i="86"/>
  <c r="D8" i="85"/>
  <c r="C8" i="85" s="1"/>
  <c r="C19" i="85"/>
  <c r="F8" i="85" s="1"/>
  <c r="D20" i="83" l="1"/>
  <c r="E20" i="83" s="1"/>
  <c r="C20" i="83"/>
  <c r="E19" i="83"/>
  <c r="D18" i="83"/>
  <c r="E18" i="83" s="1"/>
  <c r="C18" i="83"/>
  <c r="E17" i="83"/>
  <c r="D16" i="83"/>
  <c r="E16" i="83" s="1"/>
  <c r="C16" i="83"/>
  <c r="E15" i="83"/>
  <c r="C15" i="83"/>
  <c r="E14" i="83"/>
  <c r="C14" i="83"/>
  <c r="E13" i="83"/>
  <c r="D12" i="83"/>
  <c r="E12" i="83" s="1"/>
  <c r="C12" i="83"/>
  <c r="D11" i="83"/>
  <c r="C11" i="83"/>
  <c r="C10" i="83" s="1"/>
  <c r="C9" i="83" s="1"/>
  <c r="D10" i="83"/>
  <c r="G74" i="82"/>
  <c r="G70" i="82"/>
  <c r="G68" i="82" s="1"/>
  <c r="F68" i="82" s="1"/>
  <c r="G67" i="82"/>
  <c r="F67" i="82" s="1"/>
  <c r="G64" i="82"/>
  <c r="G62" i="82" s="1"/>
  <c r="J62" i="82" s="1"/>
  <c r="G61" i="82"/>
  <c r="F72" i="82"/>
  <c r="C71" i="82"/>
  <c r="F70" i="82"/>
  <c r="F69" i="82"/>
  <c r="C68" i="82"/>
  <c r="F66" i="82"/>
  <c r="C65" i="82"/>
  <c r="C64" i="82"/>
  <c r="C63" i="82"/>
  <c r="E62" i="82"/>
  <c r="D62" i="82"/>
  <c r="C62" i="82"/>
  <c r="C61" i="82"/>
  <c r="C60" i="82"/>
  <c r="G59" i="82"/>
  <c r="J59" i="82" s="1"/>
  <c r="E59" i="82"/>
  <c r="E58" i="82" s="1"/>
  <c r="D59" i="82"/>
  <c r="C59" i="82"/>
  <c r="C58" i="82" s="1"/>
  <c r="D58" i="82"/>
  <c r="F56" i="82"/>
  <c r="C56" i="82"/>
  <c r="F55" i="82"/>
  <c r="C55" i="82"/>
  <c r="K54" i="82"/>
  <c r="J54" i="82"/>
  <c r="F54" i="82"/>
  <c r="I54" i="82" s="1"/>
  <c r="C54" i="82"/>
  <c r="J53" i="82"/>
  <c r="F53" i="82"/>
  <c r="C53" i="82"/>
  <c r="J52" i="82"/>
  <c r="F52" i="82"/>
  <c r="I52" i="82" s="1"/>
  <c r="C52" i="82"/>
  <c r="K51" i="82"/>
  <c r="F51" i="82"/>
  <c r="C51" i="82"/>
  <c r="K50" i="82"/>
  <c r="J50" i="82"/>
  <c r="F50" i="82"/>
  <c r="C50" i="82"/>
  <c r="I50" i="82" s="1"/>
  <c r="K49" i="82"/>
  <c r="J49" i="82"/>
  <c r="F49" i="82"/>
  <c r="C49" i="82"/>
  <c r="K48" i="82"/>
  <c r="J48" i="82"/>
  <c r="F48" i="82"/>
  <c r="C48" i="82"/>
  <c r="I48" i="82" s="1"/>
  <c r="K47" i="82"/>
  <c r="J47" i="82"/>
  <c r="F47" i="82"/>
  <c r="C47" i="82"/>
  <c r="K46" i="82"/>
  <c r="J46" i="82"/>
  <c r="F46" i="82"/>
  <c r="C46" i="82"/>
  <c r="I46" i="82" s="1"/>
  <c r="K45" i="82"/>
  <c r="J45" i="82"/>
  <c r="F45" i="82"/>
  <c r="C45" i="82"/>
  <c r="K44" i="82"/>
  <c r="J44" i="82"/>
  <c r="F44" i="82"/>
  <c r="C44" i="82"/>
  <c r="I44" i="82" s="1"/>
  <c r="J43" i="82"/>
  <c r="F43" i="82"/>
  <c r="C43" i="82"/>
  <c r="J42" i="82"/>
  <c r="F42" i="82"/>
  <c r="C42" i="82"/>
  <c r="I42" i="82" s="1"/>
  <c r="K41" i="82"/>
  <c r="J41" i="82"/>
  <c r="F41" i="82"/>
  <c r="C41" i="82"/>
  <c r="K40" i="82"/>
  <c r="J40" i="82"/>
  <c r="F40" i="82"/>
  <c r="C40" i="82"/>
  <c r="I40" i="82" s="1"/>
  <c r="K39" i="82"/>
  <c r="J39" i="82"/>
  <c r="F39" i="82"/>
  <c r="I39" i="82" s="1"/>
  <c r="C39" i="82"/>
  <c r="H38" i="82"/>
  <c r="J38" i="82"/>
  <c r="E38" i="82"/>
  <c r="K38" i="82" s="1"/>
  <c r="D38" i="82"/>
  <c r="C38" i="82"/>
  <c r="J37" i="82"/>
  <c r="F37" i="82"/>
  <c r="C37" i="82"/>
  <c r="I37" i="82" s="1"/>
  <c r="J36" i="82"/>
  <c r="F36" i="82"/>
  <c r="C36" i="82"/>
  <c r="J35" i="82"/>
  <c r="F35" i="82"/>
  <c r="C35" i="82"/>
  <c r="I35" i="82" s="1"/>
  <c r="F34" i="82"/>
  <c r="C34" i="82"/>
  <c r="F33" i="82"/>
  <c r="C33" i="82"/>
  <c r="F32" i="82"/>
  <c r="C32" i="82"/>
  <c r="F31" i="82"/>
  <c r="C31" i="82"/>
  <c r="F30" i="82"/>
  <c r="F29" i="82"/>
  <c r="C29" i="82"/>
  <c r="C28" i="82"/>
  <c r="F27" i="82"/>
  <c r="C27" i="82"/>
  <c r="J26" i="82"/>
  <c r="C26" i="82"/>
  <c r="F25" i="82"/>
  <c r="C25" i="82"/>
  <c r="F24" i="82"/>
  <c r="C24" i="82"/>
  <c r="F23" i="82"/>
  <c r="C23" i="82"/>
  <c r="F22" i="82"/>
  <c r="C22" i="82"/>
  <c r="F21" i="82"/>
  <c r="C21" i="82"/>
  <c r="F20" i="82"/>
  <c r="C20" i="82"/>
  <c r="F19" i="82"/>
  <c r="C19" i="82"/>
  <c r="F18" i="82"/>
  <c r="I18" i="82" s="1"/>
  <c r="D18" i="82"/>
  <c r="J18" i="82" s="1"/>
  <c r="C18" i="82"/>
  <c r="F17" i="82"/>
  <c r="C17" i="82"/>
  <c r="F16" i="82"/>
  <c r="C16" i="82"/>
  <c r="F14" i="82"/>
  <c r="C14" i="82"/>
  <c r="F13" i="82"/>
  <c r="C13" i="82"/>
  <c r="J11" i="82"/>
  <c r="F11" i="82"/>
  <c r="K11" i="82"/>
  <c r="C11" i="82"/>
  <c r="H10" i="82"/>
  <c r="F10" i="82" s="1"/>
  <c r="F9" i="82" s="1"/>
  <c r="G10" i="82"/>
  <c r="E10" i="82"/>
  <c r="E9" i="82" s="1"/>
  <c r="D10" i="82"/>
  <c r="D9" i="82"/>
  <c r="D8" i="82"/>
  <c r="H9" i="82" l="1"/>
  <c r="I11" i="82"/>
  <c r="E8" i="82"/>
  <c r="K9" i="82"/>
  <c r="K10" i="82"/>
  <c r="C10" i="82"/>
  <c r="C9" i="82" s="1"/>
  <c r="G65" i="82"/>
  <c r="F65" i="82" s="1"/>
  <c r="J10" i="82"/>
  <c r="G9" i="82"/>
  <c r="J9" i="82" s="1"/>
  <c r="C8" i="82"/>
  <c r="I26" i="82"/>
  <c r="I36" i="82"/>
  <c r="I41" i="82"/>
  <c r="I43" i="82"/>
  <c r="I45" i="82"/>
  <c r="I47" i="82"/>
  <c r="I49" i="82"/>
  <c r="I51" i="82"/>
  <c r="I53" i="82"/>
  <c r="E10" i="83"/>
  <c r="E11" i="83"/>
  <c r="D9" i="83"/>
  <c r="E9" i="83" s="1"/>
  <c r="J64" i="82"/>
  <c r="G58" i="82" l="1"/>
  <c r="G8" i="82" s="1"/>
  <c r="J8" i="82" s="1"/>
  <c r="I10" i="82"/>
  <c r="I38" i="82"/>
  <c r="J58" i="82" l="1"/>
  <c r="I9" i="82"/>
  <c r="K12" i="72" l="1"/>
  <c r="C16" i="78" l="1"/>
  <c r="D37" i="78"/>
  <c r="D36" i="78"/>
  <c r="D35" i="78"/>
  <c r="D17" i="78"/>
  <c r="D15" i="78"/>
  <c r="D12" i="78"/>
  <c r="C12" i="78"/>
  <c r="H69" i="80" l="1"/>
  <c r="D16" i="78" s="1"/>
  <c r="K15" i="75" l="1"/>
  <c r="E43" i="78" l="1"/>
  <c r="E42" i="78"/>
  <c r="E41" i="78"/>
  <c r="E27" i="78"/>
  <c r="E24" i="78"/>
  <c r="E23" i="78"/>
  <c r="E22" i="78"/>
  <c r="D41" i="78" l="1"/>
  <c r="D33" i="78"/>
  <c r="D27" i="78"/>
  <c r="D25" i="78"/>
  <c r="D22" i="78"/>
  <c r="G70" i="80"/>
  <c r="E70" i="80" s="1"/>
  <c r="G69" i="80"/>
  <c r="E69" i="80" s="1"/>
  <c r="L69" i="80" s="1"/>
  <c r="G68" i="80"/>
  <c r="E68" i="80" s="1"/>
  <c r="G67" i="80"/>
  <c r="E67" i="80" s="1"/>
  <c r="G66" i="80"/>
  <c r="E66" i="80" s="1"/>
  <c r="J65" i="80"/>
  <c r="I65" i="80"/>
  <c r="D34" i="78" s="1"/>
  <c r="F65" i="80"/>
  <c r="G64" i="80"/>
  <c r="E64" i="80" s="1"/>
  <c r="J63" i="80"/>
  <c r="I63" i="80"/>
  <c r="F63" i="80"/>
  <c r="D63" i="80"/>
  <c r="C63" i="80"/>
  <c r="J62" i="80"/>
  <c r="I62" i="80"/>
  <c r="F62" i="80"/>
  <c r="D62" i="80"/>
  <c r="C62" i="80"/>
  <c r="G61" i="80"/>
  <c r="E61" i="80" s="1"/>
  <c r="E59" i="80" s="1"/>
  <c r="H59" i="80"/>
  <c r="D19" i="78" s="1"/>
  <c r="F59" i="80"/>
  <c r="G57" i="80"/>
  <c r="E57" i="80" s="1"/>
  <c r="G56" i="80"/>
  <c r="E56" i="80" s="1"/>
  <c r="E55" i="80" s="1"/>
  <c r="J55" i="80"/>
  <c r="I55" i="80"/>
  <c r="D38" i="78" s="1"/>
  <c r="H55" i="80"/>
  <c r="D18" i="78" s="1"/>
  <c r="F55" i="80"/>
  <c r="G54" i="80"/>
  <c r="E54" i="80" s="1"/>
  <c r="E53" i="80"/>
  <c r="J52" i="80"/>
  <c r="I52" i="80"/>
  <c r="H52" i="80"/>
  <c r="G52" i="80"/>
  <c r="F52" i="80"/>
  <c r="E52" i="80"/>
  <c r="K52" i="80" s="1"/>
  <c r="G50" i="80"/>
  <c r="E50" i="80" s="1"/>
  <c r="K50" i="80" s="1"/>
  <c r="G49" i="80"/>
  <c r="E49" i="80"/>
  <c r="K49" i="80" s="1"/>
  <c r="G48" i="80"/>
  <c r="E48" i="80"/>
  <c r="G47" i="80"/>
  <c r="E47" i="80"/>
  <c r="K47" i="80" s="1"/>
  <c r="G46" i="80"/>
  <c r="E46" i="80"/>
  <c r="K46" i="80" s="1"/>
  <c r="G45" i="80"/>
  <c r="E45" i="80"/>
  <c r="G44" i="80"/>
  <c r="E44" i="80"/>
  <c r="G43" i="80"/>
  <c r="E43" i="80"/>
  <c r="G42" i="80"/>
  <c r="E42" i="80"/>
  <c r="K42" i="80" s="1"/>
  <c r="G41" i="80"/>
  <c r="E41" i="80"/>
  <c r="K41" i="80" s="1"/>
  <c r="G40" i="80"/>
  <c r="E40" i="80"/>
  <c r="I39" i="80"/>
  <c r="G39" i="80"/>
  <c r="E39" i="80" s="1"/>
  <c r="G38" i="80"/>
  <c r="E38" i="80" s="1"/>
  <c r="G37" i="80"/>
  <c r="E37" i="80" s="1"/>
  <c r="G36" i="80"/>
  <c r="E36" i="80" s="1"/>
  <c r="G35" i="80"/>
  <c r="E35" i="80" s="1"/>
  <c r="G34" i="80"/>
  <c r="E34" i="80" s="1"/>
  <c r="G33" i="80"/>
  <c r="E33" i="80" s="1"/>
  <c r="G32" i="80"/>
  <c r="E32" i="80" s="1"/>
  <c r="J31" i="80"/>
  <c r="I31" i="80"/>
  <c r="H31" i="80"/>
  <c r="G31" i="80" s="1"/>
  <c r="F31" i="80"/>
  <c r="G30" i="80"/>
  <c r="E30" i="80" s="1"/>
  <c r="G29" i="80"/>
  <c r="E29" i="80" s="1"/>
  <c r="G28" i="80"/>
  <c r="E28" i="80" s="1"/>
  <c r="G27" i="80"/>
  <c r="E27" i="80" s="1"/>
  <c r="J26" i="80"/>
  <c r="I26" i="80"/>
  <c r="H26" i="80"/>
  <c r="F26" i="80"/>
  <c r="D26" i="80"/>
  <c r="C26" i="80"/>
  <c r="G25" i="80"/>
  <c r="E25" i="80" s="1"/>
  <c r="G24" i="80"/>
  <c r="E24" i="80" s="1"/>
  <c r="G23" i="80"/>
  <c r="E23" i="80" s="1"/>
  <c r="G22" i="80"/>
  <c r="E22" i="80" s="1"/>
  <c r="G21" i="80"/>
  <c r="E21" i="80" s="1"/>
  <c r="K21" i="80" s="1"/>
  <c r="G20" i="80"/>
  <c r="J19" i="80"/>
  <c r="I19" i="80"/>
  <c r="H19" i="80"/>
  <c r="F19" i="80"/>
  <c r="D19" i="80"/>
  <c r="C19" i="80"/>
  <c r="G18" i="80"/>
  <c r="E18" i="80" s="1"/>
  <c r="D18" i="80"/>
  <c r="C18" i="80"/>
  <c r="G17" i="80"/>
  <c r="E17" i="80" s="1"/>
  <c r="D17" i="80"/>
  <c r="L17" i="80" s="1"/>
  <c r="C17" i="80"/>
  <c r="G16" i="80"/>
  <c r="G15" i="80"/>
  <c r="E15" i="80" s="1"/>
  <c r="D15" i="80"/>
  <c r="C15" i="80"/>
  <c r="G14" i="80"/>
  <c r="E14" i="80" s="1"/>
  <c r="D14" i="80"/>
  <c r="C14" i="80"/>
  <c r="J13" i="80"/>
  <c r="J12" i="80" s="1"/>
  <c r="I13" i="80"/>
  <c r="H13" i="80"/>
  <c r="H12" i="80" s="1"/>
  <c r="F13" i="80"/>
  <c r="D13" i="80"/>
  <c r="D12" i="80" s="1"/>
  <c r="D11" i="80" s="1"/>
  <c r="D10" i="80" s="1"/>
  <c r="C13" i="80"/>
  <c r="I12" i="80"/>
  <c r="F12" i="80"/>
  <c r="C12" i="80"/>
  <c r="C11" i="80" s="1"/>
  <c r="C10" i="80" s="1"/>
  <c r="J11" i="80"/>
  <c r="J10" i="80" s="1"/>
  <c r="F11" i="80"/>
  <c r="F10" i="80" s="1"/>
  <c r="H63" i="80" l="1"/>
  <c r="H62" i="80" s="1"/>
  <c r="I11" i="80"/>
  <c r="I10" i="80" s="1"/>
  <c r="D31" i="78"/>
  <c r="E16" i="80"/>
  <c r="K18" i="80"/>
  <c r="H11" i="80"/>
  <c r="D10" i="78"/>
  <c r="K15" i="80"/>
  <c r="K17" i="80"/>
  <c r="L18" i="80"/>
  <c r="E31" i="80"/>
  <c r="L31" i="80" s="1"/>
  <c r="G65" i="80"/>
  <c r="G13" i="80"/>
  <c r="L27" i="80"/>
  <c r="K27" i="80"/>
  <c r="K31" i="80"/>
  <c r="L32" i="80"/>
  <c r="K32" i="80"/>
  <c r="L34" i="80"/>
  <c r="K34" i="80"/>
  <c r="L64" i="80"/>
  <c r="K64" i="80"/>
  <c r="L15" i="80"/>
  <c r="L21" i="80"/>
  <c r="L25" i="80"/>
  <c r="K25" i="80"/>
  <c r="L28" i="80"/>
  <c r="K28" i="80"/>
  <c r="L30" i="80"/>
  <c r="K30" i="80"/>
  <c r="L33" i="80"/>
  <c r="K33" i="80"/>
  <c r="L35" i="80"/>
  <c r="K35" i="80"/>
  <c r="L37" i="80"/>
  <c r="K37" i="80"/>
  <c r="E65" i="80"/>
  <c r="E20" i="80"/>
  <c r="G19" i="80"/>
  <c r="L29" i="80"/>
  <c r="K29" i="80"/>
  <c r="L36" i="80"/>
  <c r="K36" i="80"/>
  <c r="G26" i="80"/>
  <c r="L41" i="80"/>
  <c r="L42" i="80"/>
  <c r="L46" i="80"/>
  <c r="L47" i="80"/>
  <c r="L49" i="80"/>
  <c r="L50" i="80"/>
  <c r="L52" i="80"/>
  <c r="G55" i="80"/>
  <c r="G59" i="80"/>
  <c r="G63" i="80"/>
  <c r="G62" i="80" s="1"/>
  <c r="H10" i="80" l="1"/>
  <c r="E26" i="80"/>
  <c r="L26" i="80" s="1"/>
  <c r="L65" i="80"/>
  <c r="K65" i="80"/>
  <c r="K26" i="80"/>
  <c r="G12" i="80"/>
  <c r="G11" i="80" s="1"/>
  <c r="G10" i="80" s="1"/>
  <c r="K20" i="80"/>
  <c r="E19" i="80"/>
  <c r="L20" i="80"/>
  <c r="E63" i="80"/>
  <c r="K14" i="80"/>
  <c r="E13" i="80"/>
  <c r="L14" i="80"/>
  <c r="M12" i="80" l="1"/>
  <c r="K13" i="80"/>
  <c r="L13" i="80"/>
  <c r="E12" i="80"/>
  <c r="L63" i="80"/>
  <c r="K63" i="80"/>
  <c r="E62" i="80"/>
  <c r="K19" i="80"/>
  <c r="L19" i="80"/>
  <c r="L12" i="80" l="1"/>
  <c r="K12" i="80"/>
  <c r="L62" i="80"/>
  <c r="K62" i="80"/>
  <c r="K11" i="80" l="1"/>
  <c r="L11" i="80"/>
  <c r="E10" i="80"/>
  <c r="K10" i="80" l="1"/>
  <c r="M11" i="80"/>
  <c r="L10" i="80"/>
  <c r="C114" i="51" l="1"/>
  <c r="D108" i="51" l="1"/>
  <c r="D107" i="51"/>
  <c r="D106" i="51"/>
  <c r="D105" i="51"/>
  <c r="D103" i="51"/>
  <c r="D102" i="51"/>
  <c r="D101" i="51"/>
  <c r="D100" i="51"/>
  <c r="D99" i="51"/>
  <c r="D98" i="51"/>
  <c r="D97" i="51"/>
  <c r="D96" i="51"/>
  <c r="D95" i="51"/>
  <c r="D94" i="51"/>
  <c r="D93" i="51"/>
  <c r="D92" i="51"/>
  <c r="D90" i="51"/>
  <c r="D89" i="51"/>
  <c r="D88" i="51"/>
  <c r="D86" i="51"/>
  <c r="D85" i="51"/>
  <c r="D83" i="51"/>
  <c r="D81" i="51"/>
  <c r="D80" i="51"/>
  <c r="D79" i="51"/>
  <c r="D78" i="51"/>
  <c r="D76" i="51"/>
  <c r="D72" i="51"/>
  <c r="D71" i="51"/>
  <c r="D70" i="51"/>
  <c r="D68" i="51"/>
  <c r="C71" i="51"/>
  <c r="C70" i="51"/>
  <c r="C69" i="51" s="1"/>
  <c r="C68" i="51"/>
  <c r="C67" i="51" s="1"/>
  <c r="D65" i="51"/>
  <c r="D64" i="51"/>
  <c r="D63" i="51"/>
  <c r="D61" i="51"/>
  <c r="D60" i="51"/>
  <c r="D59" i="51"/>
  <c r="D58" i="51"/>
  <c r="C65" i="51"/>
  <c r="C64" i="51"/>
  <c r="C63" i="51"/>
  <c r="C62" i="51"/>
  <c r="C61" i="51"/>
  <c r="C60" i="51"/>
  <c r="C59" i="51"/>
  <c r="C58" i="51"/>
  <c r="C57" i="51"/>
  <c r="D56" i="51"/>
  <c r="D55" i="51"/>
  <c r="D54" i="51"/>
  <c r="D53" i="51"/>
  <c r="D52" i="51"/>
  <c r="D51" i="51"/>
  <c r="D50" i="51"/>
  <c r="C56" i="51"/>
  <c r="C55" i="51"/>
  <c r="C54" i="51"/>
  <c r="C53" i="51"/>
  <c r="C52" i="51"/>
  <c r="C51" i="51"/>
  <c r="C50" i="51"/>
  <c r="D45" i="51"/>
  <c r="D42" i="51"/>
  <c r="D39" i="51"/>
  <c r="C46" i="51"/>
  <c r="C45" i="51"/>
  <c r="C42" i="51"/>
  <c r="C43" i="51"/>
  <c r="C40" i="51"/>
  <c r="C39" i="51"/>
  <c r="C37" i="51"/>
  <c r="C34" i="51"/>
  <c r="C33" i="51"/>
  <c r="C29" i="51"/>
  <c r="D27" i="51"/>
  <c r="C27" i="51"/>
  <c r="D26" i="51"/>
  <c r="C26" i="51"/>
  <c r="D25" i="51"/>
  <c r="E25" i="51" s="1"/>
  <c r="D17" i="51"/>
  <c r="D16" i="51"/>
  <c r="E26" i="51" l="1"/>
  <c r="E27" i="51"/>
  <c r="E51" i="51"/>
  <c r="C66" i="51"/>
  <c r="E53" i="51"/>
  <c r="E55" i="51"/>
  <c r="E70" i="51"/>
  <c r="E52" i="51"/>
  <c r="E54" i="51"/>
  <c r="E56" i="51"/>
  <c r="D67" i="51"/>
  <c r="E68" i="51"/>
  <c r="E71" i="51"/>
  <c r="D49" i="51"/>
  <c r="E50" i="51"/>
  <c r="C49" i="51"/>
  <c r="C48" i="51" s="1"/>
  <c r="C47" i="51" s="1"/>
  <c r="C32" i="51"/>
  <c r="C38" i="51"/>
  <c r="C41" i="51"/>
  <c r="C44" i="51"/>
  <c r="E67" i="51" l="1"/>
  <c r="E49" i="51"/>
  <c r="N24" i="71"/>
  <c r="S72" i="71"/>
  <c r="P72" i="71"/>
  <c r="Q24" i="71"/>
  <c r="P31" i="71"/>
  <c r="M31" i="71"/>
  <c r="D70" i="71"/>
  <c r="D69" i="71"/>
  <c r="D21" i="71" l="1"/>
  <c r="P37" i="70" l="1"/>
  <c r="O37" i="70"/>
  <c r="N14" i="70" l="1"/>
  <c r="N15" i="70"/>
  <c r="H74" i="72" l="1"/>
  <c r="P75" i="71"/>
  <c r="C24" i="51" l="1"/>
  <c r="C21" i="51"/>
  <c r="D20" i="51"/>
  <c r="D18" i="51"/>
  <c r="D43" i="51"/>
  <c r="D41" i="51" s="1"/>
  <c r="D40" i="51"/>
  <c r="D38" i="51" s="1"/>
  <c r="D88" i="71" l="1"/>
  <c r="D87" i="71"/>
  <c r="D86" i="71"/>
  <c r="D85" i="71"/>
  <c r="D84" i="71"/>
  <c r="D83" i="71"/>
  <c r="D82" i="71"/>
  <c r="D81" i="71"/>
  <c r="D80" i="71"/>
  <c r="D79" i="71"/>
  <c r="D78" i="71"/>
  <c r="D77" i="71"/>
  <c r="D76" i="71"/>
  <c r="D75" i="71"/>
  <c r="D74" i="71"/>
  <c r="D73" i="71"/>
  <c r="D72" i="71"/>
  <c r="D26" i="78" l="1"/>
  <c r="T78" i="71" l="1"/>
  <c r="T77" i="71"/>
  <c r="T76" i="71"/>
  <c r="T75" i="71"/>
  <c r="T74" i="71"/>
  <c r="T73" i="71"/>
  <c r="S71" i="71"/>
  <c r="R71" i="71"/>
  <c r="Q71" i="71"/>
  <c r="P71" i="71"/>
  <c r="O71" i="71"/>
  <c r="N71" i="71"/>
  <c r="M71" i="71"/>
  <c r="L71" i="71"/>
  <c r="K71" i="71"/>
  <c r="J71" i="71"/>
  <c r="I71" i="71"/>
  <c r="H71" i="71"/>
  <c r="G71" i="71"/>
  <c r="F71" i="71"/>
  <c r="E71" i="71"/>
  <c r="D71" i="71" l="1"/>
  <c r="C71" i="71"/>
  <c r="I67" i="72"/>
  <c r="L70" i="72"/>
  <c r="J70" i="72"/>
  <c r="L8" i="72"/>
  <c r="F8" i="72"/>
  <c r="H8" i="72"/>
  <c r="I84" i="72"/>
  <c r="I82" i="72"/>
  <c r="I80" i="72"/>
  <c r="I78" i="72"/>
  <c r="H70" i="72"/>
  <c r="D70" i="72"/>
  <c r="G70" i="72"/>
  <c r="F70" i="72"/>
  <c r="C86" i="72"/>
  <c r="I86" i="72" s="1"/>
  <c r="C85" i="72"/>
  <c r="I85" i="72" s="1"/>
  <c r="C84" i="72"/>
  <c r="C83" i="72"/>
  <c r="I83" i="72" s="1"/>
  <c r="C82" i="72"/>
  <c r="C81" i="72"/>
  <c r="I81" i="72" s="1"/>
  <c r="C80" i="72"/>
  <c r="C79" i="72"/>
  <c r="I79" i="72" s="1"/>
  <c r="C78" i="72"/>
  <c r="C71" i="72"/>
  <c r="G8" i="72" l="1"/>
  <c r="T71" i="71"/>
  <c r="E77" i="72"/>
  <c r="C77" i="72" s="1"/>
  <c r="I77" i="72" s="1"/>
  <c r="E76" i="72"/>
  <c r="C76" i="72" s="1"/>
  <c r="I76" i="72" s="1"/>
  <c r="E75" i="72"/>
  <c r="C75" i="72" s="1"/>
  <c r="I75" i="72" s="1"/>
  <c r="E74" i="72"/>
  <c r="E73" i="72"/>
  <c r="C73" i="72" s="1"/>
  <c r="I73" i="72" s="1"/>
  <c r="E72" i="72"/>
  <c r="C72" i="72" s="1"/>
  <c r="I72" i="72" l="1"/>
  <c r="C74" i="72"/>
  <c r="I74" i="72" s="1"/>
  <c r="E70" i="72"/>
  <c r="D12" i="71"/>
  <c r="K74" i="72" l="1"/>
  <c r="K70" i="72" s="1"/>
  <c r="I70" i="72"/>
  <c r="C70" i="72"/>
  <c r="E8" i="72"/>
  <c r="D28" i="70" l="1"/>
  <c r="N37" i="70" l="1"/>
  <c r="D73" i="51" l="1"/>
  <c r="D74" i="51"/>
  <c r="D75" i="51"/>
  <c r="D77" i="51"/>
  <c r="D82" i="51"/>
  <c r="D84" i="51"/>
  <c r="D87" i="51"/>
  <c r="D91" i="51"/>
  <c r="D104" i="51"/>
  <c r="D109" i="51"/>
  <c r="D110" i="51"/>
  <c r="D111" i="51"/>
  <c r="D112" i="51"/>
  <c r="D113" i="51"/>
  <c r="D62" i="51"/>
  <c r="D11" i="51"/>
  <c r="AU37" i="79"/>
  <c r="AP37" i="79"/>
  <c r="AK37" i="79"/>
  <c r="AF37" i="79"/>
  <c r="AA37" i="79"/>
  <c r="V37" i="79"/>
  <c r="Q37" i="79"/>
  <c r="L37" i="79"/>
  <c r="K37" i="79"/>
  <c r="J37" i="79"/>
  <c r="I37" i="79"/>
  <c r="G37" i="79"/>
  <c r="H37" i="79" s="1"/>
  <c r="E37" i="79"/>
  <c r="F37" i="79" s="1"/>
  <c r="C37" i="79"/>
  <c r="D37" i="79" s="1"/>
  <c r="AU36" i="79"/>
  <c r="AP36" i="79"/>
  <c r="AK36" i="79"/>
  <c r="AF36" i="79"/>
  <c r="AA36" i="79"/>
  <c r="V36" i="79"/>
  <c r="Q36" i="79"/>
  <c r="L36" i="79"/>
  <c r="K36" i="79"/>
  <c r="J36" i="79"/>
  <c r="I36" i="79" s="1"/>
  <c r="D36" i="79" s="1"/>
  <c r="H36" i="79"/>
  <c r="G36" i="79"/>
  <c r="F36" i="79"/>
  <c r="E36" i="79"/>
  <c r="C36" i="79"/>
  <c r="AU35" i="79"/>
  <c r="AP35" i="79"/>
  <c r="AK35" i="79"/>
  <c r="AF35" i="79"/>
  <c r="AA35" i="79"/>
  <c r="V35" i="79"/>
  <c r="Q35" i="79"/>
  <c r="L35" i="79"/>
  <c r="K35" i="79"/>
  <c r="J35" i="79"/>
  <c r="I35" i="79"/>
  <c r="G35" i="79"/>
  <c r="H35" i="79" s="1"/>
  <c r="E35" i="79"/>
  <c r="F35" i="79" s="1"/>
  <c r="C35" i="79"/>
  <c r="D35" i="79" s="1"/>
  <c r="AU34" i="79"/>
  <c r="AP34" i="79"/>
  <c r="AK34" i="79"/>
  <c r="AF34" i="79"/>
  <c r="AA34" i="79"/>
  <c r="V34" i="79"/>
  <c r="Q34" i="79"/>
  <c r="L34" i="79"/>
  <c r="C34" i="79" s="1"/>
  <c r="K34" i="79"/>
  <c r="J34" i="79"/>
  <c r="I34" i="79" s="1"/>
  <c r="H34" i="79"/>
  <c r="G34" i="79"/>
  <c r="F34" i="79"/>
  <c r="E34" i="79"/>
  <c r="AU33" i="79"/>
  <c r="AP33" i="79"/>
  <c r="AK33" i="79"/>
  <c r="AF33" i="79"/>
  <c r="AA33" i="79"/>
  <c r="V33" i="79"/>
  <c r="Q33" i="79"/>
  <c r="L33" i="79"/>
  <c r="K33" i="79"/>
  <c r="J33" i="79"/>
  <c r="I33" i="79"/>
  <c r="G33" i="79"/>
  <c r="H33" i="79" s="1"/>
  <c r="E33" i="79"/>
  <c r="F33" i="79" s="1"/>
  <c r="C33" i="79"/>
  <c r="D33" i="79" s="1"/>
  <c r="AU32" i="79"/>
  <c r="AP32" i="79"/>
  <c r="AK32" i="79"/>
  <c r="AF32" i="79"/>
  <c r="AA32" i="79"/>
  <c r="V32" i="79"/>
  <c r="Q32" i="79"/>
  <c r="L32" i="79"/>
  <c r="C32" i="79" s="1"/>
  <c r="K32" i="79"/>
  <c r="J32" i="79"/>
  <c r="I32" i="79" s="1"/>
  <c r="H32" i="79"/>
  <c r="G32" i="79"/>
  <c r="F32" i="79"/>
  <c r="E32" i="79"/>
  <c r="AU31" i="79"/>
  <c r="AP31" i="79"/>
  <c r="AK31" i="79"/>
  <c r="AF31" i="79"/>
  <c r="AA31" i="79"/>
  <c r="V31" i="79"/>
  <c r="Q31" i="79"/>
  <c r="L31" i="79"/>
  <c r="K31" i="79"/>
  <c r="J31" i="79"/>
  <c r="I31" i="79"/>
  <c r="G31" i="79"/>
  <c r="H31" i="79" s="1"/>
  <c r="E31" i="79"/>
  <c r="F31" i="79" s="1"/>
  <c r="C31" i="79"/>
  <c r="D31" i="79" s="1"/>
  <c r="AU30" i="79"/>
  <c r="AP30" i="79"/>
  <c r="AK30" i="79"/>
  <c r="AF30" i="79"/>
  <c r="AA30" i="79"/>
  <c r="V30" i="79"/>
  <c r="Q30" i="79"/>
  <c r="L30" i="79"/>
  <c r="C30" i="79" s="1"/>
  <c r="K30" i="79"/>
  <c r="J30" i="79"/>
  <c r="I30" i="79" s="1"/>
  <c r="H30" i="79"/>
  <c r="G30" i="79"/>
  <c r="F30" i="79"/>
  <c r="E30" i="79"/>
  <c r="AU29" i="79"/>
  <c r="AP29" i="79"/>
  <c r="AK29" i="79"/>
  <c r="AF29" i="79"/>
  <c r="AD29" i="79"/>
  <c r="AB29" i="79"/>
  <c r="AA29" i="79"/>
  <c r="V29" i="79"/>
  <c r="Q29" i="79"/>
  <c r="L29" i="79"/>
  <c r="K29" i="79"/>
  <c r="J29" i="79"/>
  <c r="I29" i="79"/>
  <c r="G29" i="79"/>
  <c r="H29" i="79" s="1"/>
  <c r="E29" i="79"/>
  <c r="F29" i="79" s="1"/>
  <c r="C29" i="79"/>
  <c r="D29" i="79" s="1"/>
  <c r="AU28" i="79"/>
  <c r="AP28" i="79"/>
  <c r="AK28" i="79"/>
  <c r="AF28" i="79"/>
  <c r="AA28" i="79"/>
  <c r="V28" i="79"/>
  <c r="Q28" i="79"/>
  <c r="L28" i="79"/>
  <c r="C28" i="79" s="1"/>
  <c r="K28" i="79"/>
  <c r="J28" i="79"/>
  <c r="I28" i="79" s="1"/>
  <c r="H28" i="79"/>
  <c r="G28" i="79"/>
  <c r="F28" i="79"/>
  <c r="E28" i="79"/>
  <c r="AU27" i="79"/>
  <c r="AP27" i="79"/>
  <c r="AK27" i="79"/>
  <c r="AF27" i="79"/>
  <c r="AA27" i="79"/>
  <c r="V27" i="79"/>
  <c r="Q27" i="79"/>
  <c r="L27" i="79"/>
  <c r="K27" i="79"/>
  <c r="J27" i="79"/>
  <c r="I27" i="79"/>
  <c r="G27" i="79"/>
  <c r="H27" i="79" s="1"/>
  <c r="E27" i="79"/>
  <c r="F27" i="79" s="1"/>
  <c r="C27" i="79"/>
  <c r="D27" i="79" s="1"/>
  <c r="AU26" i="79"/>
  <c r="AP26" i="79"/>
  <c r="AK26" i="79"/>
  <c r="AF26" i="79"/>
  <c r="AA26" i="79"/>
  <c r="V26" i="79"/>
  <c r="Q26" i="79"/>
  <c r="L26" i="79"/>
  <c r="C26" i="79" s="1"/>
  <c r="K26" i="79"/>
  <c r="J26" i="79"/>
  <c r="I26" i="79" s="1"/>
  <c r="H26" i="79"/>
  <c r="G26" i="79"/>
  <c r="F26" i="79"/>
  <c r="E26" i="79"/>
  <c r="AU25" i="79"/>
  <c r="AP25" i="79"/>
  <c r="AK25" i="79"/>
  <c r="AF25" i="79"/>
  <c r="AA25" i="79"/>
  <c r="V25" i="79"/>
  <c r="Q25" i="79"/>
  <c r="L25" i="79"/>
  <c r="K25" i="79"/>
  <c r="J25" i="79"/>
  <c r="I25" i="79"/>
  <c r="G25" i="79"/>
  <c r="H25" i="79" s="1"/>
  <c r="E25" i="79"/>
  <c r="F25" i="79" s="1"/>
  <c r="C25" i="79"/>
  <c r="D25" i="79" s="1"/>
  <c r="AU24" i="79"/>
  <c r="AP24" i="79"/>
  <c r="AK24" i="79"/>
  <c r="AF24" i="79"/>
  <c r="AA24" i="79"/>
  <c r="V24" i="79"/>
  <c r="Q24" i="79"/>
  <c r="L24" i="79"/>
  <c r="C24" i="79" s="1"/>
  <c r="K24" i="79"/>
  <c r="J24" i="79"/>
  <c r="I24" i="79" s="1"/>
  <c r="H24" i="79"/>
  <c r="G24" i="79"/>
  <c r="F24" i="79"/>
  <c r="E24" i="79"/>
  <c r="AU23" i="79"/>
  <c r="AP23" i="79"/>
  <c r="AK23" i="79"/>
  <c r="AF23" i="79"/>
  <c r="AA23" i="79"/>
  <c r="V23" i="79"/>
  <c r="Q23" i="79"/>
  <c r="L23" i="79"/>
  <c r="K23" i="79"/>
  <c r="J23" i="79"/>
  <c r="I23" i="79"/>
  <c r="G23" i="79"/>
  <c r="H23" i="79" s="1"/>
  <c r="E23" i="79"/>
  <c r="F23" i="79" s="1"/>
  <c r="C23" i="79"/>
  <c r="D23" i="79" s="1"/>
  <c r="AU22" i="79"/>
  <c r="AP22" i="79"/>
  <c r="AK22" i="79"/>
  <c r="AF22" i="79"/>
  <c r="AA22" i="79"/>
  <c r="V22" i="79"/>
  <c r="Q22" i="79"/>
  <c r="L22" i="79"/>
  <c r="C22" i="79" s="1"/>
  <c r="K22" i="79"/>
  <c r="J22" i="79"/>
  <c r="I22" i="79" s="1"/>
  <c r="H22" i="79"/>
  <c r="G22" i="79"/>
  <c r="F22" i="79"/>
  <c r="E22" i="79"/>
  <c r="AU21" i="79"/>
  <c r="AP21" i="79"/>
  <c r="AK21" i="79"/>
  <c r="AF21" i="79"/>
  <c r="AA21" i="79"/>
  <c r="V21" i="79"/>
  <c r="Q21" i="79"/>
  <c r="L21" i="79"/>
  <c r="K21" i="79"/>
  <c r="J21" i="79"/>
  <c r="I21" i="79"/>
  <c r="G21" i="79"/>
  <c r="H21" i="79" s="1"/>
  <c r="E21" i="79"/>
  <c r="F21" i="79" s="1"/>
  <c r="C21" i="79"/>
  <c r="D21" i="79" s="1"/>
  <c r="AU20" i="79"/>
  <c r="AP20" i="79"/>
  <c r="AK20" i="79"/>
  <c r="AF20" i="79"/>
  <c r="AA20" i="79"/>
  <c r="V20" i="79"/>
  <c r="Q20" i="79"/>
  <c r="L20" i="79"/>
  <c r="C20" i="79" s="1"/>
  <c r="K20" i="79"/>
  <c r="J20" i="79"/>
  <c r="I20" i="79" s="1"/>
  <c r="H20" i="79"/>
  <c r="G20" i="79"/>
  <c r="F20" i="79"/>
  <c r="E20" i="79"/>
  <c r="AU19" i="79"/>
  <c r="AP19" i="79"/>
  <c r="AK19" i="79"/>
  <c r="AF19" i="79"/>
  <c r="AA19" i="79"/>
  <c r="V19" i="79"/>
  <c r="Q19" i="79"/>
  <c r="L19" i="79"/>
  <c r="K19" i="79"/>
  <c r="J19" i="79"/>
  <c r="I19" i="79"/>
  <c r="G19" i="79"/>
  <c r="H19" i="79" s="1"/>
  <c r="E19" i="79"/>
  <c r="C19" i="79"/>
  <c r="AU18" i="79"/>
  <c r="AP18" i="79"/>
  <c r="AK18" i="79"/>
  <c r="AG18" i="79"/>
  <c r="AF18" i="79" s="1"/>
  <c r="AA18" i="79"/>
  <c r="V18" i="79"/>
  <c r="R18" i="79"/>
  <c r="Q18" i="79" s="1"/>
  <c r="L18" i="79"/>
  <c r="C18" i="79" s="1"/>
  <c r="K18" i="79"/>
  <c r="J18" i="79"/>
  <c r="I18" i="79" s="1"/>
  <c r="H18" i="79"/>
  <c r="G18" i="79"/>
  <c r="E18" i="79"/>
  <c r="AV17" i="79"/>
  <c r="AU17" i="79" s="1"/>
  <c r="AQ17" i="79"/>
  <c r="AP17" i="79" s="1"/>
  <c r="AP9" i="79" s="1"/>
  <c r="AK17" i="79"/>
  <c r="AF17" i="79"/>
  <c r="AB17" i="79"/>
  <c r="AA17" i="79" s="1"/>
  <c r="AA9" i="79" s="1"/>
  <c r="W17" i="79"/>
  <c r="V17" i="79" s="1"/>
  <c r="V9" i="79" s="1"/>
  <c r="Q17" i="79"/>
  <c r="M17" i="79"/>
  <c r="L17" i="79"/>
  <c r="C17" i="79" s="1"/>
  <c r="K17" i="79"/>
  <c r="J17" i="79"/>
  <c r="I17" i="79" s="1"/>
  <c r="H17" i="79"/>
  <c r="G17" i="79"/>
  <c r="AU16" i="79"/>
  <c r="AP16" i="79"/>
  <c r="AK16" i="79"/>
  <c r="AF16" i="79"/>
  <c r="AA16" i="79"/>
  <c r="V16" i="79"/>
  <c r="Q16" i="79"/>
  <c r="L16" i="79"/>
  <c r="K16" i="79"/>
  <c r="J16" i="79"/>
  <c r="I16" i="79"/>
  <c r="G16" i="79"/>
  <c r="H16" i="79" s="1"/>
  <c r="E16" i="79"/>
  <c r="F16" i="79" s="1"/>
  <c r="C16" i="79"/>
  <c r="D16" i="79" s="1"/>
  <c r="AU15" i="79"/>
  <c r="AP15" i="79"/>
  <c r="AK15" i="79"/>
  <c r="AF15" i="79"/>
  <c r="AB15" i="79"/>
  <c r="AA15" i="79"/>
  <c r="V15" i="79"/>
  <c r="Q15" i="79"/>
  <c r="L15" i="79"/>
  <c r="K15" i="79"/>
  <c r="J15" i="79"/>
  <c r="I15" i="79"/>
  <c r="G15" i="79"/>
  <c r="H15" i="79" s="1"/>
  <c r="E15" i="79"/>
  <c r="F15" i="79" s="1"/>
  <c r="C15" i="79"/>
  <c r="D15" i="79" s="1"/>
  <c r="AU14" i="79"/>
  <c r="AP14" i="79"/>
  <c r="AK14" i="79"/>
  <c r="AF14" i="79"/>
  <c r="AA14" i="79"/>
  <c r="V14" i="79"/>
  <c r="Q14" i="79"/>
  <c r="L14" i="79"/>
  <c r="C14" i="79" s="1"/>
  <c r="K14" i="79"/>
  <c r="J14" i="79"/>
  <c r="I14" i="79" s="1"/>
  <c r="H14" i="79"/>
  <c r="G14" i="79"/>
  <c r="F14" i="79"/>
  <c r="E14" i="79"/>
  <c r="AU13" i="79"/>
  <c r="AU9" i="79" s="1"/>
  <c r="AP13" i="79"/>
  <c r="AK13" i="79"/>
  <c r="AF13" i="79"/>
  <c r="AA13" i="79"/>
  <c r="V13" i="79"/>
  <c r="Q13" i="79"/>
  <c r="L13" i="79"/>
  <c r="K13" i="79"/>
  <c r="J13" i="79"/>
  <c r="I13" i="79"/>
  <c r="G13" i="79"/>
  <c r="H13" i="79" s="1"/>
  <c r="E13" i="79"/>
  <c r="F13" i="79" s="1"/>
  <c r="C13" i="79"/>
  <c r="D13" i="79" s="1"/>
  <c r="G12" i="79"/>
  <c r="H12" i="79" s="1"/>
  <c r="E12" i="79"/>
  <c r="F12" i="79" s="1"/>
  <c r="C12" i="79"/>
  <c r="D12" i="79" s="1"/>
  <c r="L11" i="79"/>
  <c r="K11" i="79"/>
  <c r="J11" i="79"/>
  <c r="I11" i="79"/>
  <c r="G11" i="79"/>
  <c r="H11" i="79" s="1"/>
  <c r="E11" i="79"/>
  <c r="F11" i="79" s="1"/>
  <c r="C11" i="79"/>
  <c r="D11" i="79" s="1"/>
  <c r="G10" i="79"/>
  <c r="H10" i="79" s="1"/>
  <c r="E10" i="79"/>
  <c r="F10" i="79" s="1"/>
  <c r="C10" i="79"/>
  <c r="D10" i="79" s="1"/>
  <c r="AY9" i="79"/>
  <c r="AX9" i="79"/>
  <c r="AW9" i="79"/>
  <c r="AV9" i="79"/>
  <c r="AT9" i="79"/>
  <c r="AS9" i="79"/>
  <c r="AR9" i="79"/>
  <c r="AQ9" i="79"/>
  <c r="AO9" i="79"/>
  <c r="AN9" i="79"/>
  <c r="AM9" i="79"/>
  <c r="AL9" i="79"/>
  <c r="AK9" i="79"/>
  <c r="AJ9" i="79"/>
  <c r="AI9" i="79"/>
  <c r="AH9" i="79"/>
  <c r="AG9" i="79"/>
  <c r="AF9" i="79"/>
  <c r="AE9" i="79"/>
  <c r="AD9" i="79"/>
  <c r="AC9" i="79"/>
  <c r="AB9" i="79"/>
  <c r="Z9" i="79"/>
  <c r="Y9" i="79"/>
  <c r="X9" i="79"/>
  <c r="W9" i="79"/>
  <c r="U9" i="79"/>
  <c r="T9" i="79"/>
  <c r="G9" i="79" s="1"/>
  <c r="H9" i="79" s="1"/>
  <c r="S9" i="79"/>
  <c r="R9" i="79"/>
  <c r="E9" i="79" s="1"/>
  <c r="F9" i="79" s="1"/>
  <c r="Q9" i="79"/>
  <c r="P9" i="79"/>
  <c r="O9" i="79"/>
  <c r="N9" i="79"/>
  <c r="M9" i="79"/>
  <c r="L9" i="79"/>
  <c r="C9" i="79" s="1"/>
  <c r="K9" i="79"/>
  <c r="J9" i="79"/>
  <c r="AT3" i="79"/>
  <c r="AO3" i="79"/>
  <c r="AJ3" i="79"/>
  <c r="AE3" i="79"/>
  <c r="Z3" i="79"/>
  <c r="X3" i="79"/>
  <c r="U3" i="79"/>
  <c r="P3" i="79"/>
  <c r="N3" i="79"/>
  <c r="D21" i="51" l="1"/>
  <c r="E21" i="51" s="1"/>
  <c r="D69" i="51"/>
  <c r="E57" i="51"/>
  <c r="D17" i="79"/>
  <c r="D20" i="79"/>
  <c r="D22" i="79"/>
  <c r="D24" i="79"/>
  <c r="D26" i="79"/>
  <c r="D28" i="79"/>
  <c r="D30" i="79"/>
  <c r="D32" i="79"/>
  <c r="D34" i="79"/>
  <c r="I9" i="79"/>
  <c r="D14" i="79"/>
  <c r="D9" i="79"/>
  <c r="E17" i="79"/>
  <c r="F17" i="79" s="1"/>
  <c r="C17" i="51"/>
  <c r="E17" i="51" s="1"/>
  <c r="E69" i="51" l="1"/>
  <c r="D66" i="51"/>
  <c r="E66" i="51" s="1"/>
  <c r="D48" i="51"/>
  <c r="C19" i="51"/>
  <c r="D47" i="51" l="1"/>
  <c r="E48" i="51"/>
  <c r="D19" i="51"/>
  <c r="E47" i="51" l="1"/>
  <c r="E19" i="51"/>
  <c r="D10" i="51"/>
  <c r="C36" i="51" l="1"/>
  <c r="C35" i="51" s="1"/>
  <c r="C31" i="51" s="1"/>
  <c r="C30" i="51" s="1"/>
  <c r="C23" i="51" l="1"/>
  <c r="C14" i="51"/>
  <c r="C13" i="51"/>
  <c r="C16" i="51"/>
  <c r="E16" i="51" s="1"/>
  <c r="C11" i="51" l="1"/>
  <c r="C18" i="51"/>
  <c r="E18" i="51" s="1"/>
  <c r="C20" i="51"/>
  <c r="E20" i="51" s="1"/>
  <c r="E11" i="51" l="1"/>
  <c r="C10" i="51"/>
  <c r="C9" i="51" l="1"/>
  <c r="E10" i="51"/>
  <c r="C32" i="78"/>
  <c r="C30" i="78" s="1"/>
  <c r="E33" i="78"/>
  <c r="E31" i="78"/>
  <c r="G13" i="78"/>
  <c r="C21" i="78" l="1"/>
  <c r="C8" i="51"/>
  <c r="G15" i="78"/>
  <c r="G10" i="78"/>
  <c r="G16" i="78"/>
  <c r="G18" i="78"/>
  <c r="D32" i="78"/>
  <c r="E32" i="78" s="1"/>
  <c r="E16" i="78"/>
  <c r="G17" i="78"/>
  <c r="E10" i="78"/>
  <c r="C11" i="78"/>
  <c r="C9" i="78" s="1"/>
  <c r="E13" i="78"/>
  <c r="G12" i="78"/>
  <c r="D11" i="78"/>
  <c r="D9" i="78" s="1"/>
  <c r="E12" i="78"/>
  <c r="E34" i="78"/>
  <c r="C20" i="78" l="1"/>
  <c r="F20" i="78" s="1"/>
  <c r="F9" i="78"/>
  <c r="D30" i="78"/>
  <c r="G11" i="78"/>
  <c r="G9" i="78" s="1"/>
  <c r="I9" i="78" s="1"/>
  <c r="E11" i="78"/>
  <c r="E30" i="78" l="1"/>
  <c r="J9" i="78"/>
  <c r="H9" i="78"/>
  <c r="E9" i="78"/>
  <c r="F16" i="75" l="1"/>
  <c r="E16" i="75"/>
  <c r="D16" i="75"/>
  <c r="K8" i="75"/>
  <c r="L7" i="75" s="1"/>
  <c r="F15" i="75"/>
  <c r="E15" i="75"/>
  <c r="D15" i="75"/>
  <c r="F14" i="75"/>
  <c r="E14" i="75"/>
  <c r="F13" i="75"/>
  <c r="E13" i="75"/>
  <c r="C13" i="75" s="1"/>
  <c r="F12" i="75"/>
  <c r="E12" i="75"/>
  <c r="D12" i="75"/>
  <c r="F11" i="75"/>
  <c r="E11" i="75"/>
  <c r="K10" i="75"/>
  <c r="F10" i="75"/>
  <c r="E10" i="75"/>
  <c r="D10" i="75"/>
  <c r="F9" i="75"/>
  <c r="E9" i="75"/>
  <c r="D9" i="75"/>
  <c r="J8" i="75"/>
  <c r="I8" i="75"/>
  <c r="H8" i="75"/>
  <c r="G8" i="75"/>
  <c r="D8" i="75"/>
  <c r="V19" i="73"/>
  <c r="U19" i="73"/>
  <c r="O19" i="73"/>
  <c r="W19" i="73" s="1"/>
  <c r="H19" i="73"/>
  <c r="C19" i="73"/>
  <c r="Q18" i="73"/>
  <c r="O18" i="73" s="1"/>
  <c r="L18" i="73"/>
  <c r="V18" i="73" s="1"/>
  <c r="I18" i="73"/>
  <c r="U18" i="73" s="1"/>
  <c r="C18" i="73"/>
  <c r="U17" i="73"/>
  <c r="P17" i="73"/>
  <c r="O17" i="73" s="1"/>
  <c r="L17" i="73"/>
  <c r="V17" i="73" s="1"/>
  <c r="C17" i="73"/>
  <c r="V16" i="73"/>
  <c r="U16" i="73"/>
  <c r="O16" i="73"/>
  <c r="W16" i="73" s="1"/>
  <c r="H16" i="73"/>
  <c r="C16" i="73"/>
  <c r="O15" i="73"/>
  <c r="W15" i="73" s="1"/>
  <c r="L15" i="73"/>
  <c r="V15" i="73" s="1"/>
  <c r="I15" i="73"/>
  <c r="H15" i="73" s="1"/>
  <c r="C15" i="73"/>
  <c r="O14" i="73"/>
  <c r="W14" i="73" s="1"/>
  <c r="L14" i="73"/>
  <c r="V14" i="73" s="1"/>
  <c r="I14" i="73"/>
  <c r="U14" i="73" s="1"/>
  <c r="C14" i="73"/>
  <c r="V13" i="73"/>
  <c r="O13" i="73"/>
  <c r="H13" i="73" s="1"/>
  <c r="F13" i="73"/>
  <c r="D13" i="73"/>
  <c r="U13" i="73" s="1"/>
  <c r="U12" i="73"/>
  <c r="O12" i="73"/>
  <c r="W12" i="73" s="1"/>
  <c r="L12" i="73"/>
  <c r="C12" i="73"/>
  <c r="S11" i="73"/>
  <c r="R11" i="73"/>
  <c r="Q11" i="73"/>
  <c r="N11" i="73"/>
  <c r="M11" i="73"/>
  <c r="L11" i="73"/>
  <c r="K11" i="73"/>
  <c r="D14" i="51" s="1"/>
  <c r="E14" i="51" s="1"/>
  <c r="J11" i="73"/>
  <c r="D13" i="51" s="1"/>
  <c r="E13" i="51" s="1"/>
  <c r="I11" i="73"/>
  <c r="G11" i="73"/>
  <c r="F11" i="73"/>
  <c r="E11" i="73"/>
  <c r="D11" i="73"/>
  <c r="L67" i="72"/>
  <c r="K67" i="72"/>
  <c r="J67" i="72"/>
  <c r="H67" i="72"/>
  <c r="G67" i="72"/>
  <c r="F67" i="72"/>
  <c r="E67" i="72"/>
  <c r="D67" i="72"/>
  <c r="C69" i="72"/>
  <c r="I69" i="72" s="1"/>
  <c r="C68" i="72"/>
  <c r="C66" i="72"/>
  <c r="I66" i="72" s="1"/>
  <c r="C65" i="72"/>
  <c r="I65" i="72" s="1"/>
  <c r="C64" i="72"/>
  <c r="I64" i="72" s="1"/>
  <c r="C63" i="72"/>
  <c r="I63" i="72" s="1"/>
  <c r="K63" i="72" s="1"/>
  <c r="C62" i="72"/>
  <c r="I62" i="72" s="1"/>
  <c r="C61" i="72"/>
  <c r="I61" i="72" s="1"/>
  <c r="C60" i="72"/>
  <c r="I60" i="72" s="1"/>
  <c r="C59" i="72"/>
  <c r="I59" i="72" s="1"/>
  <c r="C58" i="72"/>
  <c r="I58" i="72" s="1"/>
  <c r="C57" i="72"/>
  <c r="I57" i="72" s="1"/>
  <c r="C56" i="72"/>
  <c r="I56" i="72" s="1"/>
  <c r="H55" i="72"/>
  <c r="H52" i="72" s="1"/>
  <c r="C55" i="72"/>
  <c r="C54" i="72"/>
  <c r="I54" i="72" s="1"/>
  <c r="C53" i="72"/>
  <c r="I53" i="72" s="1"/>
  <c r="G52" i="72"/>
  <c r="F52" i="72"/>
  <c r="E52" i="72"/>
  <c r="D52" i="72"/>
  <c r="C51" i="72"/>
  <c r="I51" i="72" s="1"/>
  <c r="H50" i="72"/>
  <c r="E50" i="72"/>
  <c r="C50" i="72" s="1"/>
  <c r="C49" i="72"/>
  <c r="I49" i="72" s="1"/>
  <c r="E48" i="72"/>
  <c r="C48" i="72" s="1"/>
  <c r="I48" i="72" s="1"/>
  <c r="E47" i="72"/>
  <c r="C47" i="72" s="1"/>
  <c r="I47" i="72" s="1"/>
  <c r="L46" i="72"/>
  <c r="H46" i="72"/>
  <c r="G46" i="72"/>
  <c r="F46" i="72"/>
  <c r="D46" i="72"/>
  <c r="J45" i="72"/>
  <c r="C45" i="72"/>
  <c r="I45" i="72" s="1"/>
  <c r="J44" i="72"/>
  <c r="C44" i="72"/>
  <c r="I44" i="72" s="1"/>
  <c r="L43" i="72"/>
  <c r="H43" i="72"/>
  <c r="G43" i="72"/>
  <c r="F43" i="72"/>
  <c r="E43" i="72"/>
  <c r="D43" i="72"/>
  <c r="C42" i="72"/>
  <c r="I42" i="72" s="1"/>
  <c r="C41" i="72"/>
  <c r="I41" i="72" s="1"/>
  <c r="C40" i="72"/>
  <c r="I40" i="72" s="1"/>
  <c r="H39" i="72"/>
  <c r="C39" i="72"/>
  <c r="C38" i="72"/>
  <c r="I38" i="72" s="1"/>
  <c r="C37" i="72"/>
  <c r="I37" i="72" s="1"/>
  <c r="K37" i="72" s="1"/>
  <c r="C36" i="72"/>
  <c r="I36" i="72" s="1"/>
  <c r="C35" i="72"/>
  <c r="I35" i="72" s="1"/>
  <c r="C34" i="72"/>
  <c r="I34" i="72" s="1"/>
  <c r="C33" i="72"/>
  <c r="I33" i="72" s="1"/>
  <c r="C32" i="72"/>
  <c r="I32" i="72" s="1"/>
  <c r="E31" i="72"/>
  <c r="C31" i="72" s="1"/>
  <c r="I31" i="72" s="1"/>
  <c r="C30" i="72"/>
  <c r="I30" i="72" s="1"/>
  <c r="C29" i="72"/>
  <c r="I29" i="72" s="1"/>
  <c r="C28" i="72"/>
  <c r="I28" i="72" s="1"/>
  <c r="C27" i="72"/>
  <c r="I27" i="72" s="1"/>
  <c r="C26" i="72"/>
  <c r="I26" i="72" s="1"/>
  <c r="H25" i="72"/>
  <c r="C25" i="72"/>
  <c r="H24" i="72"/>
  <c r="C24" i="72"/>
  <c r="I24" i="72" s="1"/>
  <c r="K24" i="72" s="1"/>
  <c r="C23" i="72"/>
  <c r="I23" i="72" s="1"/>
  <c r="H22" i="72"/>
  <c r="C22" i="72"/>
  <c r="C21" i="72"/>
  <c r="I21" i="72" s="1"/>
  <c r="C20" i="72"/>
  <c r="I20" i="72" s="1"/>
  <c r="E19" i="72"/>
  <c r="C19" i="72" s="1"/>
  <c r="I19" i="72" s="1"/>
  <c r="C18" i="72"/>
  <c r="I18" i="72" s="1"/>
  <c r="C17" i="72"/>
  <c r="I17" i="72" s="1"/>
  <c r="C16" i="72"/>
  <c r="I16" i="72" s="1"/>
  <c r="E15" i="72"/>
  <c r="C15" i="72" s="1"/>
  <c r="I15" i="72" s="1"/>
  <c r="C14" i="72"/>
  <c r="I14" i="72" s="1"/>
  <c r="E13" i="72"/>
  <c r="C13" i="72" s="1"/>
  <c r="C12" i="72"/>
  <c r="I12" i="72" s="1"/>
  <c r="E11" i="72"/>
  <c r="C11" i="72" s="1"/>
  <c r="I11" i="72" s="1"/>
  <c r="C10" i="72"/>
  <c r="I10" i="72" s="1"/>
  <c r="L9" i="72"/>
  <c r="H9" i="72"/>
  <c r="G9" i="72"/>
  <c r="F9" i="72"/>
  <c r="D9" i="72"/>
  <c r="D8" i="72" s="1"/>
  <c r="C15" i="75" l="1"/>
  <c r="C16" i="75"/>
  <c r="D114" i="51"/>
  <c r="H74" i="82"/>
  <c r="D45" i="78"/>
  <c r="C13" i="73"/>
  <c r="C11" i="73" s="1"/>
  <c r="C40" i="78" s="1"/>
  <c r="C39" i="78" s="1"/>
  <c r="C46" i="78" s="1"/>
  <c r="T19" i="73"/>
  <c r="L16" i="75"/>
  <c r="D44" i="78"/>
  <c r="T15" i="73"/>
  <c r="T16" i="73"/>
  <c r="L13" i="75"/>
  <c r="P11" i="73"/>
  <c r="V11" i="73"/>
  <c r="H12" i="73"/>
  <c r="T13" i="73"/>
  <c r="H14" i="73"/>
  <c r="U11" i="73"/>
  <c r="K44" i="72"/>
  <c r="K53" i="72"/>
  <c r="K15" i="72"/>
  <c r="C67" i="72"/>
  <c r="I22" i="72"/>
  <c r="K22" i="72" s="1"/>
  <c r="K33" i="72"/>
  <c r="K34" i="72"/>
  <c r="K40" i="72"/>
  <c r="K45" i="72"/>
  <c r="C52" i="72"/>
  <c r="K54" i="72"/>
  <c r="K11" i="72"/>
  <c r="K51" i="72"/>
  <c r="J46" i="72"/>
  <c r="K18" i="72"/>
  <c r="K19" i="72"/>
  <c r="K20" i="72"/>
  <c r="K21" i="72"/>
  <c r="K23" i="72"/>
  <c r="K26" i="72"/>
  <c r="K29" i="72"/>
  <c r="K30" i="72"/>
  <c r="K65" i="72"/>
  <c r="K66" i="72"/>
  <c r="K14" i="72"/>
  <c r="K16" i="72"/>
  <c r="K17" i="72"/>
  <c r="K27" i="72"/>
  <c r="K28" i="72"/>
  <c r="K31" i="72"/>
  <c r="K32" i="72"/>
  <c r="K35" i="72"/>
  <c r="K36" i="72"/>
  <c r="K41" i="72"/>
  <c r="K42" i="72"/>
  <c r="J43" i="72"/>
  <c r="K48" i="72"/>
  <c r="K49" i="72"/>
  <c r="K56" i="72"/>
  <c r="K57" i="72"/>
  <c r="K58" i="72"/>
  <c r="K59" i="72"/>
  <c r="K60" i="72"/>
  <c r="K61" i="72"/>
  <c r="K64" i="72"/>
  <c r="C9" i="75"/>
  <c r="F8" i="75"/>
  <c r="C14" i="75"/>
  <c r="E8" i="75"/>
  <c r="C10" i="75"/>
  <c r="L10" i="75" s="1"/>
  <c r="C11" i="75"/>
  <c r="C12" i="75"/>
  <c r="L12" i="75" s="1"/>
  <c r="O11" i="73"/>
  <c r="W11" i="73" s="1"/>
  <c r="W17" i="73"/>
  <c r="W18" i="73"/>
  <c r="H18" i="73"/>
  <c r="V12" i="73"/>
  <c r="W13" i="73"/>
  <c r="U15" i="73"/>
  <c r="H17" i="73"/>
  <c r="E9" i="72"/>
  <c r="J9" i="72"/>
  <c r="I25" i="72"/>
  <c r="K25" i="72" s="1"/>
  <c r="K38" i="72"/>
  <c r="I39" i="72"/>
  <c r="K39" i="72" s="1"/>
  <c r="C43" i="72"/>
  <c r="I50" i="72"/>
  <c r="I46" i="72" s="1"/>
  <c r="I55" i="72"/>
  <c r="I52" i="72" s="1"/>
  <c r="I68" i="72"/>
  <c r="K47" i="72"/>
  <c r="K10" i="72"/>
  <c r="C9" i="72"/>
  <c r="C8" i="72" s="1"/>
  <c r="I8" i="72" s="1"/>
  <c r="I13" i="72"/>
  <c r="K13" i="72" s="1"/>
  <c r="I43" i="72"/>
  <c r="E46" i="72"/>
  <c r="T70" i="71"/>
  <c r="T69" i="71"/>
  <c r="E68" i="71"/>
  <c r="M68" i="71"/>
  <c r="C68" i="71"/>
  <c r="D68" i="71"/>
  <c r="U68" i="71"/>
  <c r="S68" i="71"/>
  <c r="R68" i="71"/>
  <c r="Q68" i="71"/>
  <c r="P68" i="71"/>
  <c r="O68" i="71"/>
  <c r="N68" i="71"/>
  <c r="L68" i="71"/>
  <c r="K68" i="71"/>
  <c r="J68" i="71"/>
  <c r="I68" i="71"/>
  <c r="H68" i="71"/>
  <c r="G68" i="71"/>
  <c r="D67" i="71"/>
  <c r="T67" i="71" s="1"/>
  <c r="D66" i="71"/>
  <c r="T66" i="71" s="1"/>
  <c r="D65" i="71"/>
  <c r="T65" i="71" s="1"/>
  <c r="D64" i="71"/>
  <c r="T64" i="71" s="1"/>
  <c r="D63" i="71"/>
  <c r="T63" i="71" s="1"/>
  <c r="D62" i="71"/>
  <c r="T62" i="71" s="1"/>
  <c r="D61" i="71"/>
  <c r="T61" i="71" s="1"/>
  <c r="D60" i="71"/>
  <c r="T60" i="71" s="1"/>
  <c r="D59" i="71"/>
  <c r="T59" i="71" s="1"/>
  <c r="D58" i="71"/>
  <c r="T58" i="71" s="1"/>
  <c r="D57" i="71"/>
  <c r="T57" i="71" s="1"/>
  <c r="D56" i="71"/>
  <c r="T56" i="71" s="1"/>
  <c r="D55" i="71"/>
  <c r="T55" i="71" s="1"/>
  <c r="D54" i="71"/>
  <c r="T54" i="71" s="1"/>
  <c r="U53" i="71"/>
  <c r="S53" i="71"/>
  <c r="R53" i="71"/>
  <c r="Q53" i="71"/>
  <c r="P53" i="71"/>
  <c r="O53" i="71"/>
  <c r="N53" i="71"/>
  <c r="M53" i="71"/>
  <c r="L53" i="71"/>
  <c r="K53" i="71"/>
  <c r="J53" i="71"/>
  <c r="I53" i="71"/>
  <c r="H53" i="71"/>
  <c r="G53" i="71"/>
  <c r="E53" i="71"/>
  <c r="C53" i="71"/>
  <c r="D52" i="71"/>
  <c r="T52" i="71" s="1"/>
  <c r="D51" i="71"/>
  <c r="D50" i="71"/>
  <c r="T50" i="71" s="1"/>
  <c r="D49" i="71"/>
  <c r="T49" i="71" s="1"/>
  <c r="D48" i="71"/>
  <c r="T48" i="71" s="1"/>
  <c r="U47" i="71"/>
  <c r="S47" i="71"/>
  <c r="R47" i="71"/>
  <c r="Q47" i="71"/>
  <c r="P47" i="71"/>
  <c r="O47" i="71"/>
  <c r="N47" i="71"/>
  <c r="M47" i="71"/>
  <c r="L47" i="71"/>
  <c r="K47" i="71"/>
  <c r="J47" i="71"/>
  <c r="I47" i="71"/>
  <c r="H47" i="71"/>
  <c r="G47" i="71"/>
  <c r="F47" i="71"/>
  <c r="E47" i="71"/>
  <c r="C47" i="71"/>
  <c r="D46" i="71"/>
  <c r="T46" i="71" s="1"/>
  <c r="D45" i="71"/>
  <c r="T45" i="71" s="1"/>
  <c r="U44" i="71"/>
  <c r="S44" i="71"/>
  <c r="R44" i="71"/>
  <c r="Q44" i="71"/>
  <c r="P44" i="71"/>
  <c r="O44" i="71"/>
  <c r="N44" i="71"/>
  <c r="M44" i="71"/>
  <c r="L44" i="71"/>
  <c r="K44" i="71"/>
  <c r="J44" i="71"/>
  <c r="I44" i="71"/>
  <c r="H44" i="71"/>
  <c r="G44" i="71"/>
  <c r="E44" i="71"/>
  <c r="C44" i="71"/>
  <c r="D43" i="71"/>
  <c r="D42" i="71"/>
  <c r="D41" i="71"/>
  <c r="D40" i="71"/>
  <c r="T40" i="71" s="1"/>
  <c r="D39" i="71"/>
  <c r="D38" i="71"/>
  <c r="T38" i="71" s="1"/>
  <c r="D37" i="71"/>
  <c r="T37" i="71" s="1"/>
  <c r="D36" i="71"/>
  <c r="T36" i="71" s="1"/>
  <c r="T35" i="71"/>
  <c r="T34" i="71"/>
  <c r="D33" i="71"/>
  <c r="T33" i="71" s="1"/>
  <c r="D32" i="71"/>
  <c r="T32" i="71" s="1"/>
  <c r="D31" i="71"/>
  <c r="T31" i="71" s="1"/>
  <c r="D30" i="71"/>
  <c r="T30" i="71" s="1"/>
  <c r="D29" i="71"/>
  <c r="T29" i="71" s="1"/>
  <c r="D28" i="71"/>
  <c r="T28" i="71" s="1"/>
  <c r="D27" i="71"/>
  <c r="T27" i="71" s="1"/>
  <c r="D26" i="71"/>
  <c r="T26" i="71" s="1"/>
  <c r="D22" i="71"/>
  <c r="T22" i="71" s="1"/>
  <c r="T21" i="71"/>
  <c r="D20" i="71"/>
  <c r="T20" i="71" s="1"/>
  <c r="D16" i="71"/>
  <c r="T16" i="71" s="1"/>
  <c r="D15" i="71"/>
  <c r="T15" i="71" s="1"/>
  <c r="D14" i="71"/>
  <c r="T14" i="71" s="1"/>
  <c r="E10" i="71"/>
  <c r="T12" i="71"/>
  <c r="D11" i="71"/>
  <c r="T11" i="71" s="1"/>
  <c r="S10" i="71"/>
  <c r="S9" i="71" s="1"/>
  <c r="R10" i="71"/>
  <c r="R9" i="71" s="1"/>
  <c r="O10" i="71"/>
  <c r="M10" i="71"/>
  <c r="L10" i="71"/>
  <c r="K10" i="71"/>
  <c r="J10" i="71"/>
  <c r="H10" i="71"/>
  <c r="H9" i="71" s="1"/>
  <c r="G10" i="71"/>
  <c r="F10" i="71"/>
  <c r="F9" i="71" s="1"/>
  <c r="C10" i="71"/>
  <c r="C9" i="71" s="1"/>
  <c r="U8" i="71"/>
  <c r="P41" i="70"/>
  <c r="N41" i="70"/>
  <c r="D41" i="70"/>
  <c r="P40" i="70"/>
  <c r="N40" i="70"/>
  <c r="D40" i="70" s="1"/>
  <c r="N39" i="70"/>
  <c r="D39" i="70"/>
  <c r="P38" i="70"/>
  <c r="N38" i="70"/>
  <c r="D37" i="70"/>
  <c r="P36" i="70"/>
  <c r="N36" i="70"/>
  <c r="P35" i="70"/>
  <c r="N35" i="70"/>
  <c r="D35" i="70"/>
  <c r="D34" i="70"/>
  <c r="D33" i="70"/>
  <c r="D32" i="70"/>
  <c r="E31" i="70"/>
  <c r="D31" i="70" s="1"/>
  <c r="E30" i="70"/>
  <c r="D30" i="70" s="1"/>
  <c r="D29" i="70"/>
  <c r="T28" i="70"/>
  <c r="D27" i="70"/>
  <c r="D26" i="70"/>
  <c r="D25" i="70"/>
  <c r="T25" i="70" s="1"/>
  <c r="D24" i="70"/>
  <c r="D23" i="70"/>
  <c r="D22" i="70"/>
  <c r="T22" i="70" s="1"/>
  <c r="D21" i="70"/>
  <c r="T21" i="70" s="1"/>
  <c r="D20" i="70"/>
  <c r="P19" i="70"/>
  <c r="N19" i="70"/>
  <c r="D19" i="70" s="1"/>
  <c r="O18" i="70"/>
  <c r="D18" i="70"/>
  <c r="O17" i="70"/>
  <c r="D17" i="70"/>
  <c r="D16" i="70"/>
  <c r="D15" i="70"/>
  <c r="P14" i="70"/>
  <c r="P13" i="70"/>
  <c r="D13" i="70"/>
  <c r="D12" i="70"/>
  <c r="T12" i="70" s="1"/>
  <c r="D11" i="70"/>
  <c r="P10" i="70"/>
  <c r="P9" i="70"/>
  <c r="N9" i="70"/>
  <c r="N8" i="70" s="1"/>
  <c r="N44" i="70" s="1"/>
  <c r="F8" i="70"/>
  <c r="S8" i="70"/>
  <c r="R8" i="70"/>
  <c r="Q8" i="70"/>
  <c r="O8" i="70"/>
  <c r="M8" i="70"/>
  <c r="L8" i="70"/>
  <c r="K8" i="70"/>
  <c r="J8" i="70"/>
  <c r="I8" i="70"/>
  <c r="H8" i="70"/>
  <c r="G8" i="70"/>
  <c r="T23" i="70" l="1"/>
  <c r="T33" i="70"/>
  <c r="T20" i="70"/>
  <c r="T40" i="70"/>
  <c r="E8" i="70"/>
  <c r="E44" i="70" s="1"/>
  <c r="T18" i="73"/>
  <c r="L15" i="75"/>
  <c r="T14" i="73"/>
  <c r="L11" i="75"/>
  <c r="T12" i="73"/>
  <c r="L9" i="75"/>
  <c r="F74" i="82"/>
  <c r="D29" i="51"/>
  <c r="D9" i="51" s="1"/>
  <c r="T17" i="73"/>
  <c r="L14" i="75"/>
  <c r="K43" i="72"/>
  <c r="K9" i="71"/>
  <c r="M9" i="71"/>
  <c r="O9" i="71"/>
  <c r="J9" i="71"/>
  <c r="L9" i="71"/>
  <c r="P8" i="70"/>
  <c r="P44" i="70" s="1"/>
  <c r="T13" i="70"/>
  <c r="T26" i="70"/>
  <c r="T24" i="70"/>
  <c r="T39" i="70"/>
  <c r="T37" i="70"/>
  <c r="T11" i="70"/>
  <c r="E9" i="71"/>
  <c r="D24" i="51"/>
  <c r="E24" i="51" s="1"/>
  <c r="K46" i="72"/>
  <c r="G9" i="71"/>
  <c r="K55" i="72"/>
  <c r="K62" i="72"/>
  <c r="D10" i="70"/>
  <c r="T34" i="70"/>
  <c r="T35" i="70"/>
  <c r="D36" i="70"/>
  <c r="T16" i="70"/>
  <c r="T17" i="70"/>
  <c r="T19" i="70"/>
  <c r="D9" i="70"/>
  <c r="T15" i="70"/>
  <c r="T18" i="70"/>
  <c r="T27" i="70"/>
  <c r="T30" i="70"/>
  <c r="T31" i="70"/>
  <c r="T32" i="70"/>
  <c r="D38" i="70"/>
  <c r="T41" i="70"/>
  <c r="C8" i="75"/>
  <c r="H11" i="73"/>
  <c r="D40" i="78" s="1"/>
  <c r="T68" i="71"/>
  <c r="K9" i="72"/>
  <c r="J52" i="72"/>
  <c r="J8" i="72" s="1"/>
  <c r="I9" i="72"/>
  <c r="C46" i="72"/>
  <c r="U7" i="71"/>
  <c r="D44" i="71"/>
  <c r="T44" i="71" s="1"/>
  <c r="Q10" i="71"/>
  <c r="Q9" i="71" s="1"/>
  <c r="D17" i="71"/>
  <c r="T17" i="71" s="1"/>
  <c r="D18" i="71"/>
  <c r="T18" i="71" s="1"/>
  <c r="D19" i="71"/>
  <c r="T19" i="71" s="1"/>
  <c r="D23" i="71"/>
  <c r="T23" i="71" s="1"/>
  <c r="P10" i="71"/>
  <c r="P9" i="71" s="1"/>
  <c r="D25" i="71"/>
  <c r="T25" i="71" s="1"/>
  <c r="I10" i="71"/>
  <c r="I9" i="71" s="1"/>
  <c r="N10" i="71"/>
  <c r="N9" i="71" s="1"/>
  <c r="D24" i="71"/>
  <c r="T24" i="71" s="1"/>
  <c r="D53" i="71"/>
  <c r="T53" i="71" s="1"/>
  <c r="D47" i="71"/>
  <c r="T47" i="71" s="1"/>
  <c r="T51" i="71"/>
  <c r="D14" i="70"/>
  <c r="D8" i="70" l="1"/>
  <c r="D44" i="70" s="1"/>
  <c r="E9" i="51"/>
  <c r="T11" i="73"/>
  <c r="D23" i="51"/>
  <c r="E23" i="51" s="1"/>
  <c r="T14" i="70"/>
  <c r="T36" i="70"/>
  <c r="T10" i="70"/>
  <c r="T9" i="70"/>
  <c r="T38" i="70"/>
  <c r="K52" i="72"/>
  <c r="K8" i="72" s="1"/>
  <c r="D13" i="71"/>
  <c r="T13" i="71" s="1"/>
  <c r="F51" i="69"/>
  <c r="F50" i="69"/>
  <c r="I49" i="69"/>
  <c r="H49" i="69"/>
  <c r="C49" i="69"/>
  <c r="F49" i="69" s="1"/>
  <c r="F48" i="69"/>
  <c r="F47" i="69"/>
  <c r="F46" i="69"/>
  <c r="F45" i="69"/>
  <c r="I44" i="69"/>
  <c r="H44" i="69"/>
  <c r="C44" i="69"/>
  <c r="F44" i="69" s="1"/>
  <c r="F43" i="69"/>
  <c r="F42" i="69"/>
  <c r="F41" i="69"/>
  <c r="I40" i="69"/>
  <c r="H40" i="69"/>
  <c r="G40" i="69"/>
  <c r="E40" i="69"/>
  <c r="F39" i="69"/>
  <c r="F38" i="69"/>
  <c r="F37" i="69"/>
  <c r="F36" i="69"/>
  <c r="F35" i="69" s="1"/>
  <c r="E36" i="69"/>
  <c r="I35" i="69"/>
  <c r="H35" i="69"/>
  <c r="G35" i="69"/>
  <c r="E35" i="69"/>
  <c r="F34" i="69"/>
  <c r="F33" i="69"/>
  <c r="F32" i="69"/>
  <c r="F31" i="69"/>
  <c r="I30" i="69"/>
  <c r="I29" i="69" s="1"/>
  <c r="H30" i="69"/>
  <c r="G30" i="69"/>
  <c r="E30" i="69"/>
  <c r="F30" i="69" s="1"/>
  <c r="G29" i="69"/>
  <c r="E28" i="69"/>
  <c r="F28" i="69" s="1"/>
  <c r="F27" i="69"/>
  <c r="F26" i="69"/>
  <c r="F25" i="69"/>
  <c r="I24" i="69"/>
  <c r="I23" i="69" s="1"/>
  <c r="H24" i="69"/>
  <c r="H23" i="69" s="1"/>
  <c r="G24" i="69"/>
  <c r="G23" i="69" s="1"/>
  <c r="E24" i="69"/>
  <c r="D23" i="69"/>
  <c r="D22" i="69" s="1"/>
  <c r="C23" i="69"/>
  <c r="T8" i="70" l="1"/>
  <c r="E40" i="78"/>
  <c r="D39" i="78"/>
  <c r="D10" i="71"/>
  <c r="D9" i="71" s="1"/>
  <c r="C22" i="69"/>
  <c r="G22" i="69"/>
  <c r="F24" i="69"/>
  <c r="F23" i="69" s="1"/>
  <c r="I22" i="69"/>
  <c r="E23" i="69"/>
  <c r="E29" i="69"/>
  <c r="H29" i="69"/>
  <c r="H22" i="69" s="1"/>
  <c r="F40" i="69"/>
  <c r="F29" i="69" s="1"/>
  <c r="D21" i="78" l="1"/>
  <c r="E39" i="78"/>
  <c r="D46" i="78"/>
  <c r="T9" i="71"/>
  <c r="T10" i="71"/>
  <c r="F22" i="69"/>
  <c r="E22" i="69"/>
  <c r="E21" i="78" l="1"/>
  <c r="D20" i="78" l="1"/>
  <c r="D28" i="78" s="1"/>
  <c r="E20" i="78" l="1"/>
  <c r="F11" i="67"/>
  <c r="M11" i="67"/>
  <c r="Q11" i="67"/>
  <c r="X11" i="67"/>
  <c r="AE11" i="67"/>
  <c r="AL11" i="67"/>
  <c r="AS11" i="67"/>
  <c r="AZ11" i="67"/>
  <c r="BH11" i="67"/>
  <c r="BJ11" i="67"/>
  <c r="BM11" i="67"/>
  <c r="F12" i="67"/>
  <c r="I12" i="67"/>
  <c r="M12" i="67"/>
  <c r="P12" i="67"/>
  <c r="BJ12" i="67"/>
  <c r="BK12" i="67"/>
  <c r="BM12" i="67"/>
  <c r="N13" i="67"/>
  <c r="Q13" i="67"/>
  <c r="X13" i="67"/>
  <c r="AE13" i="67"/>
  <c r="AL13" i="67"/>
  <c r="AS13" i="67"/>
  <c r="AZ13" i="67"/>
  <c r="BG13" i="67"/>
  <c r="BK13" i="67"/>
  <c r="D14" i="67"/>
  <c r="E14" i="67"/>
  <c r="F14" i="67"/>
  <c r="G14" i="67"/>
  <c r="G13" i="67" s="1"/>
  <c r="G12" i="67" s="1"/>
  <c r="H14" i="67"/>
  <c r="I14" i="67"/>
  <c r="J14" i="67"/>
  <c r="O14" i="67"/>
  <c r="Q14" i="67"/>
  <c r="X14" i="67"/>
  <c r="AE14" i="67"/>
  <c r="AL14" i="67"/>
  <c r="AS14" i="67"/>
  <c r="AZ14" i="67"/>
  <c r="BG14" i="67"/>
  <c r="BL14" i="67"/>
  <c r="D15" i="67"/>
  <c r="E15" i="67"/>
  <c r="F15" i="67"/>
  <c r="G15" i="67"/>
  <c r="I15" i="67"/>
  <c r="J15" i="67"/>
  <c r="O15" i="67"/>
  <c r="Q15" i="67"/>
  <c r="X15" i="67"/>
  <c r="C15" i="67" s="1"/>
  <c r="AE15" i="67"/>
  <c r="AL15" i="67"/>
  <c r="AS15" i="67"/>
  <c r="AZ15" i="67"/>
  <c r="BG15" i="67"/>
  <c r="BL15" i="67"/>
  <c r="BL13" i="67" s="1"/>
  <c r="J16" i="67"/>
  <c r="K16" i="67"/>
  <c r="K11" i="67" s="1"/>
  <c r="L16" i="67"/>
  <c r="L12" i="67" s="1"/>
  <c r="Q16" i="67"/>
  <c r="X16" i="67"/>
  <c r="AE16" i="67"/>
  <c r="AL16" i="67"/>
  <c r="AS16" i="67"/>
  <c r="AZ16" i="67"/>
  <c r="BH16" i="67"/>
  <c r="C17" i="67"/>
  <c r="J17" i="67"/>
  <c r="Q17" i="67"/>
  <c r="X17" i="67"/>
  <c r="AE17" i="67"/>
  <c r="AL17" i="67"/>
  <c r="AS17" i="67"/>
  <c r="AZ17" i="67"/>
  <c r="BG17" i="67"/>
  <c r="D18" i="67"/>
  <c r="E18" i="67"/>
  <c r="F18" i="67"/>
  <c r="G18" i="67"/>
  <c r="H18" i="67"/>
  <c r="I18" i="67"/>
  <c r="J18" i="67"/>
  <c r="Q18" i="67"/>
  <c r="X18" i="67"/>
  <c r="AE18" i="67"/>
  <c r="AL18" i="67"/>
  <c r="AS18" i="67"/>
  <c r="AZ18" i="67"/>
  <c r="BG18" i="67"/>
  <c r="D19" i="67"/>
  <c r="F19" i="67"/>
  <c r="G19" i="67"/>
  <c r="H19" i="67"/>
  <c r="I19" i="67"/>
  <c r="J19" i="67"/>
  <c r="L19" i="67"/>
  <c r="E19" i="67" s="1"/>
  <c r="E16" i="67" s="1"/>
  <c r="Q19" i="67"/>
  <c r="X19" i="67"/>
  <c r="C19" i="67" s="1"/>
  <c r="AE19" i="67"/>
  <c r="AL19" i="67"/>
  <c r="AS19" i="67"/>
  <c r="AZ19" i="67"/>
  <c r="BG19" i="67"/>
  <c r="BI19" i="67"/>
  <c r="BI16" i="67" s="1"/>
  <c r="BI11" i="67" s="1"/>
  <c r="D20" i="67"/>
  <c r="D16" i="67" s="1"/>
  <c r="F20" i="67"/>
  <c r="G20" i="67"/>
  <c r="H20" i="67"/>
  <c r="I20" i="67"/>
  <c r="J20" i="67"/>
  <c r="L20" i="67"/>
  <c r="E20" i="67" s="1"/>
  <c r="Q20" i="67"/>
  <c r="X20" i="67"/>
  <c r="AE20" i="67"/>
  <c r="AL20" i="67"/>
  <c r="AS20" i="67"/>
  <c r="AZ20" i="67"/>
  <c r="BG20" i="67"/>
  <c r="BI20" i="67"/>
  <c r="D21" i="67"/>
  <c r="E21" i="67"/>
  <c r="F21" i="67"/>
  <c r="K21" i="67"/>
  <c r="L21" i="67"/>
  <c r="M21" i="67"/>
  <c r="O21" i="67"/>
  <c r="BH21" i="67"/>
  <c r="BI21" i="67"/>
  <c r="BJ21" i="67"/>
  <c r="BM21" i="67"/>
  <c r="O22" i="67"/>
  <c r="P22" i="67"/>
  <c r="Q22" i="67"/>
  <c r="X22" i="67"/>
  <c r="AE22" i="67"/>
  <c r="AL22" i="67"/>
  <c r="AS22" i="67"/>
  <c r="AZ22" i="67"/>
  <c r="BK22" i="67"/>
  <c r="BG22" i="67" s="1"/>
  <c r="BG21" i="67" s="1"/>
  <c r="D23" i="67"/>
  <c r="E23" i="67"/>
  <c r="F23" i="67"/>
  <c r="I23" i="67"/>
  <c r="I22" i="67" s="1"/>
  <c r="N23" i="67"/>
  <c r="J23" i="67" s="1"/>
  <c r="C23" i="67" s="1"/>
  <c r="Q23" i="67"/>
  <c r="X23" i="67"/>
  <c r="AE23" i="67"/>
  <c r="AL23" i="67"/>
  <c r="AS23" i="67"/>
  <c r="AZ23" i="67"/>
  <c r="BG23" i="67"/>
  <c r="BL23" i="67"/>
  <c r="D24" i="67"/>
  <c r="E24" i="67"/>
  <c r="F24" i="67"/>
  <c r="H24" i="67"/>
  <c r="I24" i="67"/>
  <c r="J24" i="67"/>
  <c r="N24" i="67"/>
  <c r="G24" i="67" s="1"/>
  <c r="Q24" i="67"/>
  <c r="X24" i="67"/>
  <c r="AE24" i="67"/>
  <c r="AL24" i="67"/>
  <c r="AS24" i="67"/>
  <c r="AZ24" i="67"/>
  <c r="BG24" i="67"/>
  <c r="BL24" i="67"/>
  <c r="H25" i="67"/>
  <c r="J25" i="67"/>
  <c r="N25" i="67"/>
  <c r="O25" i="67"/>
  <c r="Q25" i="67"/>
  <c r="X25" i="67"/>
  <c r="AE25" i="67"/>
  <c r="AL25" i="67"/>
  <c r="AS25" i="67"/>
  <c r="AZ25" i="67"/>
  <c r="BG25" i="67"/>
  <c r="BK25" i="67"/>
  <c r="BL25" i="67"/>
  <c r="D26" i="67"/>
  <c r="E26" i="67"/>
  <c r="F26" i="67"/>
  <c r="G26" i="67"/>
  <c r="G25" i="67" s="1"/>
  <c r="C25" i="67" s="1"/>
  <c r="H26" i="67"/>
  <c r="J26" i="67"/>
  <c r="P26" i="67"/>
  <c r="P25" i="67" s="1"/>
  <c r="Q26" i="67"/>
  <c r="X26" i="67"/>
  <c r="AE26" i="67"/>
  <c r="AL26" i="67"/>
  <c r="AS26" i="67"/>
  <c r="AZ26" i="67"/>
  <c r="BG26" i="67"/>
  <c r="BL26" i="67"/>
  <c r="C27" i="67"/>
  <c r="N27" i="67"/>
  <c r="J27" i="67" s="1"/>
  <c r="Q27" i="67"/>
  <c r="X27" i="67"/>
  <c r="AE27" i="67"/>
  <c r="AL27" i="67"/>
  <c r="AS27" i="67"/>
  <c r="AZ27" i="67"/>
  <c r="BG27" i="67"/>
  <c r="BK27" i="67"/>
  <c r="BL27" i="67"/>
  <c r="D28" i="67"/>
  <c r="E28" i="67"/>
  <c r="F28" i="67"/>
  <c r="G28" i="67"/>
  <c r="G27" i="67" s="1"/>
  <c r="H28" i="67"/>
  <c r="H27" i="67" s="1"/>
  <c r="I28" i="67"/>
  <c r="J28" i="67"/>
  <c r="O28" i="67"/>
  <c r="O27" i="67" s="1"/>
  <c r="Q28" i="67"/>
  <c r="X28" i="67"/>
  <c r="AE28" i="67"/>
  <c r="AL28" i="67"/>
  <c r="AS28" i="67"/>
  <c r="AZ28" i="67"/>
  <c r="BG28" i="67"/>
  <c r="BL28" i="67"/>
  <c r="C29" i="67"/>
  <c r="N29" i="67"/>
  <c r="J29" i="67" s="1"/>
  <c r="Q29" i="67"/>
  <c r="X29" i="67"/>
  <c r="AE29" i="67"/>
  <c r="AL29" i="67"/>
  <c r="AS29" i="67"/>
  <c r="AZ29" i="67"/>
  <c r="BG29" i="67"/>
  <c r="BK29" i="67"/>
  <c r="BL29" i="67"/>
  <c r="D30" i="67"/>
  <c r="E30" i="67"/>
  <c r="F30" i="67"/>
  <c r="G30" i="67"/>
  <c r="G29" i="67" s="1"/>
  <c r="H30" i="67"/>
  <c r="H29" i="67" s="1"/>
  <c r="I30" i="67"/>
  <c r="J30" i="67"/>
  <c r="O30" i="67"/>
  <c r="O29" i="67" s="1"/>
  <c r="Q30" i="67"/>
  <c r="X30" i="67"/>
  <c r="AE30" i="67"/>
  <c r="AL30" i="67"/>
  <c r="AS30" i="67"/>
  <c r="AZ30" i="67"/>
  <c r="BG30" i="67"/>
  <c r="BL30" i="67"/>
  <c r="C31" i="67"/>
  <c r="N31" i="67"/>
  <c r="J31" i="67" s="1"/>
  <c r="Q31" i="67"/>
  <c r="X31" i="67"/>
  <c r="AE31" i="67"/>
  <c r="AL31" i="67"/>
  <c r="AS31" i="67"/>
  <c r="AZ31" i="67"/>
  <c r="BG31" i="67"/>
  <c r="BK31" i="67"/>
  <c r="BL31" i="67"/>
  <c r="D32" i="67"/>
  <c r="E32" i="67"/>
  <c r="F32" i="67"/>
  <c r="G32" i="67"/>
  <c r="G31" i="67" s="1"/>
  <c r="H32" i="67"/>
  <c r="H31" i="67" s="1"/>
  <c r="I32" i="67"/>
  <c r="J32" i="67"/>
  <c r="O32" i="67"/>
  <c r="O31" i="67" s="1"/>
  <c r="Q32" i="67"/>
  <c r="X32" i="67"/>
  <c r="AE32" i="67"/>
  <c r="AL32" i="67"/>
  <c r="AS32" i="67"/>
  <c r="AZ32" i="67"/>
  <c r="BG32" i="67"/>
  <c r="BL32" i="67"/>
  <c r="O33" i="67"/>
  <c r="S33" i="67"/>
  <c r="Y33" i="67"/>
  <c r="AA33" i="67"/>
  <c r="AM33" i="67"/>
  <c r="AO33" i="67"/>
  <c r="AU33" i="67"/>
  <c r="AU10" i="67" s="1"/>
  <c r="BA33" i="67"/>
  <c r="BC33" i="67"/>
  <c r="BE33" i="67"/>
  <c r="BL33" i="67"/>
  <c r="H34" i="67"/>
  <c r="O34" i="67"/>
  <c r="R34" i="67"/>
  <c r="T34" i="67"/>
  <c r="AB34" i="67"/>
  <c r="AC34" i="67"/>
  <c r="AH34" i="67"/>
  <c r="AJ34" i="67"/>
  <c r="AP34" i="67"/>
  <c r="AQ34" i="67"/>
  <c r="AT34" i="67"/>
  <c r="AV34" i="67"/>
  <c r="AX34" i="67"/>
  <c r="BD34" i="67"/>
  <c r="BE34" i="67"/>
  <c r="BH34" i="67"/>
  <c r="BJ34" i="67"/>
  <c r="BL34" i="67"/>
  <c r="N35" i="67"/>
  <c r="J35" i="67" s="1"/>
  <c r="J34" i="67" s="1"/>
  <c r="Q35" i="67"/>
  <c r="U35" i="67"/>
  <c r="U34" i="67" s="1"/>
  <c r="V35" i="67"/>
  <c r="V34" i="67" s="1"/>
  <c r="X35" i="67"/>
  <c r="X34" i="67" s="1"/>
  <c r="AB35" i="67"/>
  <c r="AD35" i="67"/>
  <c r="AD34" i="67" s="1"/>
  <c r="AI35" i="67"/>
  <c r="AL35" i="67"/>
  <c r="AL34" i="67" s="1"/>
  <c r="AP35" i="67"/>
  <c r="AR35" i="67"/>
  <c r="AR34" i="67" s="1"/>
  <c r="AW35" i="67"/>
  <c r="AZ35" i="67"/>
  <c r="AZ34" i="67" s="1"/>
  <c r="BD35" i="67"/>
  <c r="BF35" i="67"/>
  <c r="BF34" i="67" s="1"/>
  <c r="BK35" i="67"/>
  <c r="C36" i="67"/>
  <c r="D36" i="67"/>
  <c r="E36" i="67"/>
  <c r="F36" i="67"/>
  <c r="G36" i="67"/>
  <c r="H36" i="67"/>
  <c r="J36" i="67"/>
  <c r="P36" i="67"/>
  <c r="I36" i="67" s="1"/>
  <c r="Q36" i="67"/>
  <c r="W36" i="67"/>
  <c r="D37" i="67"/>
  <c r="E37" i="67"/>
  <c r="F37" i="67"/>
  <c r="G37" i="67"/>
  <c r="G35" i="67" s="1"/>
  <c r="G34" i="67" s="1"/>
  <c r="H37" i="67"/>
  <c r="J37" i="67"/>
  <c r="P37" i="67"/>
  <c r="Q37" i="67"/>
  <c r="W37" i="67"/>
  <c r="X37" i="67"/>
  <c r="AD37" i="67"/>
  <c r="AE37" i="67"/>
  <c r="AK37" i="67"/>
  <c r="AK35" i="67" s="1"/>
  <c r="AK34" i="67" s="1"/>
  <c r="AL37" i="67"/>
  <c r="AR37" i="67"/>
  <c r="AS37" i="67"/>
  <c r="AY37" i="67"/>
  <c r="AY35" i="67" s="1"/>
  <c r="AY34" i="67" s="1"/>
  <c r="AZ37" i="67"/>
  <c r="BF37" i="67"/>
  <c r="BG37" i="67"/>
  <c r="BM37" i="67"/>
  <c r="BM35" i="67" s="1"/>
  <c r="BM34" i="67" s="1"/>
  <c r="J38" i="67"/>
  <c r="L38" i="67"/>
  <c r="L33" i="67" s="1"/>
  <c r="M38" i="67"/>
  <c r="M34" i="67" s="1"/>
  <c r="Q38" i="67"/>
  <c r="R38" i="67"/>
  <c r="R33" i="67" s="1"/>
  <c r="R10" i="67" s="1"/>
  <c r="S38" i="67"/>
  <c r="S34" i="67" s="1"/>
  <c r="T38" i="67"/>
  <c r="T33" i="67" s="1"/>
  <c r="T10" i="67" s="1"/>
  <c r="X38" i="67"/>
  <c r="Y38" i="67"/>
  <c r="Y34" i="67" s="1"/>
  <c r="Z38" i="67"/>
  <c r="Z33" i="67" s="1"/>
  <c r="AA38" i="67"/>
  <c r="AA34" i="67" s="1"/>
  <c r="AG38" i="67"/>
  <c r="AG34" i="67" s="1"/>
  <c r="AH38" i="67"/>
  <c r="AH33" i="67" s="1"/>
  <c r="AL38" i="67"/>
  <c r="AN38" i="67"/>
  <c r="AN33" i="67" s="1"/>
  <c r="AO38" i="67"/>
  <c r="AO34" i="67" s="1"/>
  <c r="AS38" i="67"/>
  <c r="AT38" i="67"/>
  <c r="AT33" i="67" s="1"/>
  <c r="AU38" i="67"/>
  <c r="AU34" i="67" s="1"/>
  <c r="AZ38" i="67"/>
  <c r="BA38" i="67"/>
  <c r="BA34" i="67" s="1"/>
  <c r="BB38" i="67"/>
  <c r="BB33" i="67" s="1"/>
  <c r="BC38" i="67"/>
  <c r="BC34" i="67" s="1"/>
  <c r="BG38" i="67"/>
  <c r="BH38" i="67"/>
  <c r="D39" i="67"/>
  <c r="F39" i="67"/>
  <c r="G39" i="67"/>
  <c r="H39" i="67"/>
  <c r="I39" i="67"/>
  <c r="J39" i="67"/>
  <c r="K39" i="67"/>
  <c r="K38" i="67" s="1"/>
  <c r="K34" i="67" s="1"/>
  <c r="Q39" i="67"/>
  <c r="S39" i="67"/>
  <c r="X39" i="67"/>
  <c r="Z39" i="67"/>
  <c r="AE39" i="67"/>
  <c r="AF39" i="67"/>
  <c r="AF38" i="67" s="1"/>
  <c r="AF33" i="67" s="1"/>
  <c r="AL39" i="67"/>
  <c r="AM39" i="67"/>
  <c r="AM38" i="67" s="1"/>
  <c r="AM34" i="67" s="1"/>
  <c r="AS39" i="67"/>
  <c r="AV39" i="67"/>
  <c r="AV38" i="67" s="1"/>
  <c r="AV33" i="67" s="1"/>
  <c r="AV10" i="67" s="1"/>
  <c r="AZ39" i="67"/>
  <c r="BG39" i="67"/>
  <c r="BI39" i="67"/>
  <c r="BI38" i="67" s="1"/>
  <c r="D40" i="67"/>
  <c r="F40" i="67"/>
  <c r="G40" i="67"/>
  <c r="H40" i="67"/>
  <c r="I40" i="67"/>
  <c r="J40" i="67"/>
  <c r="K40" i="67"/>
  <c r="Q40" i="67"/>
  <c r="S40" i="67"/>
  <c r="X40" i="67"/>
  <c r="Z40" i="67"/>
  <c r="AE40" i="67"/>
  <c r="AF40" i="67"/>
  <c r="AL40" i="67"/>
  <c r="AM40" i="67"/>
  <c r="AS40" i="67"/>
  <c r="AV40" i="67"/>
  <c r="AZ40" i="67"/>
  <c r="BG40" i="67"/>
  <c r="BI40" i="67"/>
  <c r="E41" i="67"/>
  <c r="L41" i="67"/>
  <c r="O41" i="67"/>
  <c r="R41" i="67"/>
  <c r="S41" i="67"/>
  <c r="T41" i="67"/>
  <c r="Y41" i="67"/>
  <c r="Z41" i="67"/>
  <c r="AA41" i="67"/>
  <c r="AF41" i="67"/>
  <c r="AG41" i="67"/>
  <c r="AH41" i="67"/>
  <c r="AM41" i="67"/>
  <c r="AN41" i="67"/>
  <c r="AO41" i="67"/>
  <c r="AT41" i="67"/>
  <c r="AU41" i="67"/>
  <c r="AV41" i="67"/>
  <c r="BA41" i="67"/>
  <c r="BB41" i="67"/>
  <c r="BC41" i="67"/>
  <c r="BE41" i="67"/>
  <c r="BI41" i="67"/>
  <c r="BL41" i="67"/>
  <c r="K42" i="67"/>
  <c r="K41" i="67" s="1"/>
  <c r="M42" i="67"/>
  <c r="M41" i="67" s="1"/>
  <c r="N42" i="67"/>
  <c r="N33" i="67" s="1"/>
  <c r="Q42" i="67"/>
  <c r="U42" i="67"/>
  <c r="V42" i="67"/>
  <c r="V33" i="67" s="1"/>
  <c r="AC42" i="67"/>
  <c r="AC41" i="67" s="1"/>
  <c r="AD42" i="67"/>
  <c r="AE42" i="67"/>
  <c r="AI42" i="67"/>
  <c r="AK42" i="67"/>
  <c r="AP42" i="67"/>
  <c r="AS42" i="67"/>
  <c r="AW42" i="67"/>
  <c r="AY42" i="67"/>
  <c r="BD42" i="67"/>
  <c r="BG42" i="67"/>
  <c r="BH42" i="67"/>
  <c r="BH41" i="67" s="1"/>
  <c r="BJ42" i="67"/>
  <c r="BJ33" i="67" s="1"/>
  <c r="BJ10" i="67" s="1"/>
  <c r="BJ9" i="67" s="1"/>
  <c r="BK42" i="67"/>
  <c r="BM42" i="67"/>
  <c r="D43" i="67"/>
  <c r="D42" i="67" s="1"/>
  <c r="E43" i="67"/>
  <c r="F43" i="67"/>
  <c r="F42" i="67" s="1"/>
  <c r="F41" i="67" s="1"/>
  <c r="H43" i="67"/>
  <c r="J43" i="67"/>
  <c r="C43" i="67" s="1"/>
  <c r="P43" i="67"/>
  <c r="P42" i="67" s="1"/>
  <c r="Q43" i="67"/>
  <c r="W43" i="67"/>
  <c r="W42" i="67" s="1"/>
  <c r="X43" i="67"/>
  <c r="AB43" i="67"/>
  <c r="AB42" i="67" s="1"/>
  <c r="AE43" i="67"/>
  <c r="AK43" i="67"/>
  <c r="AL43" i="67"/>
  <c r="AR43" i="67"/>
  <c r="AR42" i="67" s="1"/>
  <c r="AS43" i="67"/>
  <c r="AY43" i="67"/>
  <c r="AZ43" i="67"/>
  <c r="BF43" i="67"/>
  <c r="BF42" i="67" s="1"/>
  <c r="BG43" i="67"/>
  <c r="BM43" i="67"/>
  <c r="J44" i="67"/>
  <c r="N44" i="67"/>
  <c r="V44" i="67"/>
  <c r="W44" i="67"/>
  <c r="AC44" i="67"/>
  <c r="AD44" i="67"/>
  <c r="AI44" i="67"/>
  <c r="AK44" i="67"/>
  <c r="AP44" i="67"/>
  <c r="AL44" i="67" s="1"/>
  <c r="AR44" i="67"/>
  <c r="AW44" i="67"/>
  <c r="AS44" i="67" s="1"/>
  <c r="AY44" i="67"/>
  <c r="BD44" i="67"/>
  <c r="AZ44" i="67" s="1"/>
  <c r="BK44" i="67"/>
  <c r="D45" i="67"/>
  <c r="E45" i="67"/>
  <c r="F45" i="67"/>
  <c r="J45" i="67"/>
  <c r="P45" i="67"/>
  <c r="P44" i="67" s="1"/>
  <c r="U45" i="67"/>
  <c r="AB45" i="67"/>
  <c r="AE45" i="67"/>
  <c r="AJ45" i="67"/>
  <c r="AL45" i="67"/>
  <c r="AQ45" i="67"/>
  <c r="AQ44" i="67" s="1"/>
  <c r="AS45" i="67"/>
  <c r="AX45" i="67"/>
  <c r="AX44" i="67" s="1"/>
  <c r="AZ45" i="67"/>
  <c r="BG45" i="67"/>
  <c r="BM45" i="67"/>
  <c r="BM44" i="67" s="1"/>
  <c r="J46" i="67"/>
  <c r="R46" i="67"/>
  <c r="S46" i="67"/>
  <c r="T46" i="67"/>
  <c r="Y46" i="67"/>
  <c r="Z46" i="67"/>
  <c r="AA46" i="67"/>
  <c r="AF46" i="67"/>
  <c r="AG46" i="67"/>
  <c r="AH46" i="67"/>
  <c r="AM46" i="67"/>
  <c r="AN46" i="67"/>
  <c r="AO46" i="67"/>
  <c r="BG46" i="67"/>
  <c r="BF46" i="67" s="1"/>
  <c r="BE46" i="67" s="1"/>
  <c r="BD46" i="67" s="1"/>
  <c r="BC46" i="67" s="1"/>
  <c r="BB46" i="67" s="1"/>
  <c r="BA46" i="67" s="1"/>
  <c r="AZ46" i="67" s="1"/>
  <c r="J47" i="67"/>
  <c r="V47" i="67"/>
  <c r="W47" i="67"/>
  <c r="W46" i="67" s="1"/>
  <c r="AC47" i="67"/>
  <c r="AD47" i="67"/>
  <c r="AI47" i="67"/>
  <c r="AE47" i="67" s="1"/>
  <c r="AJ47" i="67"/>
  <c r="AJ46" i="67" s="1"/>
  <c r="AP47" i="67"/>
  <c r="AQ47" i="67"/>
  <c r="AW47" i="67"/>
  <c r="AS47" i="67" s="1"/>
  <c r="AX47" i="67"/>
  <c r="AX46" i="67" s="1"/>
  <c r="AT46" i="67" s="1"/>
  <c r="AZ47" i="67"/>
  <c r="BG47" i="67"/>
  <c r="D48" i="67"/>
  <c r="D47" i="67" s="1"/>
  <c r="E48" i="67"/>
  <c r="E47" i="67" s="1"/>
  <c r="E46" i="67" s="1"/>
  <c r="F48" i="67"/>
  <c r="F47" i="67" s="1"/>
  <c r="F46" i="67" s="1"/>
  <c r="H48" i="67"/>
  <c r="H47" i="67" s="1"/>
  <c r="J48" i="67"/>
  <c r="U48" i="67"/>
  <c r="AB48" i="67"/>
  <c r="X48" i="67" s="1"/>
  <c r="AE48" i="67"/>
  <c r="AK48" i="67"/>
  <c r="AK47" i="67" s="1"/>
  <c r="AL48" i="67"/>
  <c r="AR48" i="67"/>
  <c r="AR47" i="67" s="1"/>
  <c r="AR46" i="67" s="1"/>
  <c r="AS48" i="67"/>
  <c r="AY48" i="67"/>
  <c r="AY47" i="67" s="1"/>
  <c r="AZ48" i="67"/>
  <c r="BG48" i="67"/>
  <c r="F49" i="67"/>
  <c r="J49" i="67"/>
  <c r="U49" i="67"/>
  <c r="Q49" i="67" s="1"/>
  <c r="W49" i="67"/>
  <c r="AB49" i="67"/>
  <c r="X49" i="67" s="1"/>
  <c r="AD49" i="67"/>
  <c r="AI49" i="67"/>
  <c r="AE49" i="67" s="1"/>
  <c r="AJ49" i="67"/>
  <c r="AP49" i="67"/>
  <c r="AL49" i="67" s="1"/>
  <c r="AR49" i="67"/>
  <c r="AW49" i="67"/>
  <c r="AS49" i="67" s="1"/>
  <c r="AX49" i="67"/>
  <c r="AZ49" i="67"/>
  <c r="BG49" i="67"/>
  <c r="D50" i="67"/>
  <c r="D49" i="67" s="1"/>
  <c r="E50" i="67"/>
  <c r="E49" i="67" s="1"/>
  <c r="F50" i="67"/>
  <c r="G50" i="67"/>
  <c r="G49" i="67" s="1"/>
  <c r="J50" i="67"/>
  <c r="Q50" i="67"/>
  <c r="V50" i="67"/>
  <c r="V49" i="67" s="1"/>
  <c r="X50" i="67"/>
  <c r="AC50" i="67"/>
  <c r="AC49" i="67" s="1"/>
  <c r="AC46" i="67" s="1"/>
  <c r="AE50" i="67"/>
  <c r="AK50" i="67"/>
  <c r="AK49" i="67" s="1"/>
  <c r="AL50" i="67"/>
  <c r="AQ50" i="67"/>
  <c r="AQ49" i="67" s="1"/>
  <c r="AQ46" i="67" s="1"/>
  <c r="AS50" i="67"/>
  <c r="AY50" i="67"/>
  <c r="AY49" i="67" s="1"/>
  <c r="AZ50" i="67"/>
  <c r="BG50" i="67"/>
  <c r="N51" i="67"/>
  <c r="J51" i="67" s="1"/>
  <c r="AB51" i="67"/>
  <c r="X51" i="67" s="1"/>
  <c r="AP51" i="67"/>
  <c r="AL51" i="67" s="1"/>
  <c r="AX51" i="67"/>
  <c r="AZ51" i="67"/>
  <c r="BK51" i="67"/>
  <c r="BG51" i="67" s="1"/>
  <c r="C52" i="67"/>
  <c r="J52" i="67"/>
  <c r="N52" i="67"/>
  <c r="O52" i="67"/>
  <c r="O51" i="67" s="1"/>
  <c r="U52" i="67"/>
  <c r="X52" i="67"/>
  <c r="AB52" i="67"/>
  <c r="AC52" i="67"/>
  <c r="AC51" i="67" s="1"/>
  <c r="AI52" i="67"/>
  <c r="AL52" i="67"/>
  <c r="AP52" i="67"/>
  <c r="AQ52" i="67"/>
  <c r="AQ51" i="67" s="1"/>
  <c r="AW52" i="67"/>
  <c r="AX52" i="67"/>
  <c r="AY52" i="67"/>
  <c r="AY51" i="67" s="1"/>
  <c r="AZ52" i="67"/>
  <c r="BG52" i="67"/>
  <c r="BK52" i="67"/>
  <c r="BL52" i="67"/>
  <c r="BL51" i="67" s="1"/>
  <c r="D53" i="67"/>
  <c r="E53" i="67"/>
  <c r="F53" i="67"/>
  <c r="G53" i="67"/>
  <c r="G52" i="67" s="1"/>
  <c r="G51" i="67" s="1"/>
  <c r="C51" i="67" s="1"/>
  <c r="H53" i="67"/>
  <c r="H52" i="67" s="1"/>
  <c r="H51" i="67" s="1"/>
  <c r="J53" i="67"/>
  <c r="O53" i="67"/>
  <c r="Q53" i="67"/>
  <c r="V53" i="67"/>
  <c r="V52" i="67" s="1"/>
  <c r="V51" i="67" s="1"/>
  <c r="X53" i="67"/>
  <c r="AC53" i="67"/>
  <c r="AE53" i="67"/>
  <c r="AJ53" i="67"/>
  <c r="AJ52" i="67" s="1"/>
  <c r="AJ51" i="67" s="1"/>
  <c r="AL53" i="67"/>
  <c r="AQ53" i="67"/>
  <c r="AS53" i="67"/>
  <c r="AY53" i="67"/>
  <c r="I53" i="67" s="1"/>
  <c r="I52" i="67" s="1"/>
  <c r="I51" i="67" s="1"/>
  <c r="AZ53" i="67"/>
  <c r="BG53" i="67"/>
  <c r="H54" i="67"/>
  <c r="J54" i="67"/>
  <c r="N54" i="67"/>
  <c r="O54" i="67"/>
  <c r="U54" i="67"/>
  <c r="Q54" i="67" s="1"/>
  <c r="X54" i="67"/>
  <c r="AB54" i="67"/>
  <c r="AC54" i="67"/>
  <c r="AI54" i="67"/>
  <c r="AE54" i="67" s="1"/>
  <c r="AL54" i="67"/>
  <c r="AP54" i="67"/>
  <c r="AQ54" i="67"/>
  <c r="AW54" i="67"/>
  <c r="AS54" i="67" s="1"/>
  <c r="AX54" i="67"/>
  <c r="AY54" i="67"/>
  <c r="BD54" i="67"/>
  <c r="AZ54" i="67" s="1"/>
  <c r="BG54" i="67"/>
  <c r="BK54" i="67"/>
  <c r="BL54" i="67"/>
  <c r="D55" i="67"/>
  <c r="E55" i="67"/>
  <c r="F55" i="67"/>
  <c r="G55" i="67"/>
  <c r="G54" i="67" s="1"/>
  <c r="C54" i="67" s="1"/>
  <c r="H55" i="67"/>
  <c r="J55" i="67"/>
  <c r="O55" i="67"/>
  <c r="Q55" i="67"/>
  <c r="V55" i="67"/>
  <c r="V54" i="67" s="1"/>
  <c r="X55" i="67"/>
  <c r="AC55" i="67"/>
  <c r="AE55" i="67"/>
  <c r="AJ55" i="67"/>
  <c r="AJ54" i="67" s="1"/>
  <c r="AL55" i="67"/>
  <c r="AQ55" i="67"/>
  <c r="AS55" i="67"/>
  <c r="AY55" i="67"/>
  <c r="I55" i="67" s="1"/>
  <c r="I54" i="67" s="1"/>
  <c r="AZ55" i="67"/>
  <c r="BE55" i="67"/>
  <c r="BE54" i="67" s="1"/>
  <c r="BG55" i="67"/>
  <c r="BL55" i="67"/>
  <c r="C56" i="67"/>
  <c r="D56" i="67"/>
  <c r="E56" i="67"/>
  <c r="F56" i="67"/>
  <c r="G56" i="67"/>
  <c r="I56" i="67"/>
  <c r="Q56" i="67"/>
  <c r="V56" i="67"/>
  <c r="H56" i="67" s="1"/>
  <c r="D57" i="67"/>
  <c r="E57" i="67"/>
  <c r="F57" i="67"/>
  <c r="G57" i="67"/>
  <c r="H57" i="67"/>
  <c r="I57" i="67"/>
  <c r="Q57" i="67"/>
  <c r="C57" i="67" s="1"/>
  <c r="V57" i="67"/>
  <c r="K58" i="67"/>
  <c r="AM58" i="67"/>
  <c r="BA58" i="67"/>
  <c r="BE58" i="67"/>
  <c r="BJ58" i="67"/>
  <c r="K59" i="67"/>
  <c r="J59" i="67" s="1"/>
  <c r="L59" i="67"/>
  <c r="L58" i="67" s="1"/>
  <c r="R59" i="67"/>
  <c r="S59" i="67"/>
  <c r="T59" i="67"/>
  <c r="T58" i="67" s="1"/>
  <c r="Y59" i="67"/>
  <c r="X59" i="67" s="1"/>
  <c r="AA59" i="67"/>
  <c r="AA58" i="67" s="1"/>
  <c r="AF59" i="67"/>
  <c r="AL59" i="67"/>
  <c r="AM59" i="67"/>
  <c r="AO59" i="67"/>
  <c r="AO58" i="67" s="1"/>
  <c r="AT59" i="67"/>
  <c r="AZ59" i="67"/>
  <c r="BA59" i="67"/>
  <c r="BC59" i="67"/>
  <c r="BC58" i="67" s="1"/>
  <c r="BH59" i="67"/>
  <c r="C60" i="67"/>
  <c r="D60" i="67"/>
  <c r="E60" i="67"/>
  <c r="G60" i="67"/>
  <c r="H60" i="67"/>
  <c r="I60" i="67"/>
  <c r="J60" i="67"/>
  <c r="M60" i="67"/>
  <c r="Q60" i="67"/>
  <c r="T60" i="67"/>
  <c r="X60" i="67"/>
  <c r="AA60" i="67"/>
  <c r="AE60" i="67"/>
  <c r="AH60" i="67"/>
  <c r="AH59" i="67" s="1"/>
  <c r="AH58" i="67" s="1"/>
  <c r="AL60" i="67"/>
  <c r="AO60" i="67"/>
  <c r="AS60" i="67"/>
  <c r="AV60" i="67"/>
  <c r="AV59" i="67" s="1"/>
  <c r="AZ60" i="67"/>
  <c r="BC60" i="67"/>
  <c r="BG60" i="67"/>
  <c r="BI60" i="67"/>
  <c r="BI59" i="67" s="1"/>
  <c r="BI58" i="67" s="1"/>
  <c r="D61" i="67"/>
  <c r="D59" i="67" s="1"/>
  <c r="F61" i="67"/>
  <c r="G61" i="67"/>
  <c r="H61" i="67"/>
  <c r="I61" i="67"/>
  <c r="J61" i="67"/>
  <c r="M61" i="67"/>
  <c r="Q61" i="67"/>
  <c r="T61" i="67"/>
  <c r="X61" i="67"/>
  <c r="Z61" i="67"/>
  <c r="Z59" i="67" s="1"/>
  <c r="AE61" i="67"/>
  <c r="AH61" i="67"/>
  <c r="AL61" i="67"/>
  <c r="AO61" i="67"/>
  <c r="AS61" i="67"/>
  <c r="AV61" i="67"/>
  <c r="AZ61" i="67"/>
  <c r="BC61" i="67"/>
  <c r="BG61" i="67"/>
  <c r="BI61" i="67"/>
  <c r="J62" i="67"/>
  <c r="N62" i="67"/>
  <c r="U62" i="67"/>
  <c r="Q62" i="67" s="1"/>
  <c r="V62" i="67"/>
  <c r="W62" i="67"/>
  <c r="AC62" i="67"/>
  <c r="AD62" i="67"/>
  <c r="AI62" i="67"/>
  <c r="AE62" i="67" s="1"/>
  <c r="AK62" i="67"/>
  <c r="AP62" i="67"/>
  <c r="AX62" i="67"/>
  <c r="AY62" i="67"/>
  <c r="AZ62" i="67"/>
  <c r="BD62" i="67"/>
  <c r="BF62" i="67"/>
  <c r="BK62" i="67"/>
  <c r="BG62" i="67" s="1"/>
  <c r="BL62" i="67"/>
  <c r="D63" i="67"/>
  <c r="E63" i="67"/>
  <c r="F63" i="67"/>
  <c r="J63" i="67"/>
  <c r="O63" i="67"/>
  <c r="O62" i="67" s="1"/>
  <c r="O58" i="67" s="1"/>
  <c r="U63" i="67"/>
  <c r="Q63" i="67" s="1"/>
  <c r="AB63" i="67"/>
  <c r="X63" i="67" s="1"/>
  <c r="AE63" i="67"/>
  <c r="AJ63" i="67"/>
  <c r="AJ62" i="67" s="1"/>
  <c r="AL63" i="67"/>
  <c r="AR63" i="67"/>
  <c r="AR62" i="67" s="1"/>
  <c r="AW63" i="67"/>
  <c r="AZ63" i="67"/>
  <c r="BF63" i="67"/>
  <c r="BG63" i="67"/>
  <c r="J64" i="67"/>
  <c r="N64" i="67"/>
  <c r="O64" i="67"/>
  <c r="V64" i="67"/>
  <c r="AC64" i="67"/>
  <c r="AC58" i="67" s="1"/>
  <c r="AE64" i="67"/>
  <c r="AI64" i="67"/>
  <c r="AK64" i="67"/>
  <c r="AP64" i="67"/>
  <c r="AL64" i="67" s="1"/>
  <c r="AS64" i="67"/>
  <c r="AW64" i="67"/>
  <c r="AY64" i="67"/>
  <c r="BD64" i="67"/>
  <c r="AZ64" i="67" s="1"/>
  <c r="BG64" i="67"/>
  <c r="BK64" i="67"/>
  <c r="BL64" i="67"/>
  <c r="BM64" i="67"/>
  <c r="D65" i="67"/>
  <c r="E65" i="67"/>
  <c r="F65" i="67"/>
  <c r="G65" i="67"/>
  <c r="H65" i="67"/>
  <c r="I65" i="67"/>
  <c r="J65" i="67"/>
  <c r="Q65" i="67"/>
  <c r="C65" i="67" s="1"/>
  <c r="W65" i="67"/>
  <c r="W64" i="67" s="1"/>
  <c r="X65" i="67"/>
  <c r="AD65" i="67"/>
  <c r="AD64" i="67" s="1"/>
  <c r="AE65" i="67"/>
  <c r="AK65" i="67"/>
  <c r="AL65" i="67"/>
  <c r="AR65" i="67"/>
  <c r="AR64" i="67" s="1"/>
  <c r="AS65" i="67"/>
  <c r="AY65" i="67"/>
  <c r="AZ65" i="67"/>
  <c r="BF65" i="67"/>
  <c r="BF64" i="67" s="1"/>
  <c r="BG65" i="67"/>
  <c r="D66" i="67"/>
  <c r="E66" i="67"/>
  <c r="F66" i="67"/>
  <c r="H66" i="67"/>
  <c r="H64" i="67" s="1"/>
  <c r="J66" i="67"/>
  <c r="P66" i="67"/>
  <c r="P64" i="67" s="1"/>
  <c r="Q66" i="67"/>
  <c r="U66" i="67"/>
  <c r="U64" i="67" s="1"/>
  <c r="Q64" i="67" s="1"/>
  <c r="X66" i="67"/>
  <c r="AB66" i="67"/>
  <c r="AB64" i="67" s="1"/>
  <c r="X64" i="67" s="1"/>
  <c r="AE66" i="67"/>
  <c r="AK66" i="67"/>
  <c r="AL66" i="67"/>
  <c r="AR66" i="67"/>
  <c r="AS66" i="67"/>
  <c r="AY66" i="67"/>
  <c r="AZ66" i="67"/>
  <c r="BF66" i="67"/>
  <c r="BG66" i="67"/>
  <c r="N67" i="67"/>
  <c r="J67" i="67" s="1"/>
  <c r="O67" i="67"/>
  <c r="P67" i="67"/>
  <c r="V67" i="67"/>
  <c r="W67" i="67"/>
  <c r="U67" i="67" s="1"/>
  <c r="Q67" i="67" s="1"/>
  <c r="AC67" i="67"/>
  <c r="AD67" i="67"/>
  <c r="AB67" i="67" s="1"/>
  <c r="X67" i="67" s="1"/>
  <c r="AJ67" i="67"/>
  <c r="AK67" i="67"/>
  <c r="AI67" i="67" s="1"/>
  <c r="AE67" i="67" s="1"/>
  <c r="AQ67" i="67"/>
  <c r="AR67" i="67"/>
  <c r="AP67" i="67" s="1"/>
  <c r="AL67" i="67" s="1"/>
  <c r="AW67" i="67"/>
  <c r="AS67" i="67" s="1"/>
  <c r="AX67" i="67"/>
  <c r="AY67" i="67"/>
  <c r="BD67" i="67"/>
  <c r="AZ67" i="67" s="1"/>
  <c r="BE67" i="67"/>
  <c r="BF67" i="67"/>
  <c r="BK67" i="67"/>
  <c r="BG67" i="67" s="1"/>
  <c r="BL67" i="67"/>
  <c r="BM67" i="67"/>
  <c r="D68" i="67"/>
  <c r="E68" i="67"/>
  <c r="F68" i="67"/>
  <c r="H68" i="67"/>
  <c r="I68" i="67"/>
  <c r="Q68" i="67"/>
  <c r="U68" i="67"/>
  <c r="G68" i="67" s="1"/>
  <c r="X68" i="67"/>
  <c r="AB68" i="67"/>
  <c r="AE68" i="67"/>
  <c r="AI68" i="67"/>
  <c r="AL68" i="67"/>
  <c r="AP68" i="67"/>
  <c r="D69" i="67"/>
  <c r="E69" i="67"/>
  <c r="F69" i="67"/>
  <c r="H69" i="67"/>
  <c r="I69" i="67"/>
  <c r="U69" i="67"/>
  <c r="Q69" i="67" s="1"/>
  <c r="C69" i="67" s="1"/>
  <c r="AB69" i="67"/>
  <c r="X69" i="67" s="1"/>
  <c r="AI69" i="67"/>
  <c r="AE69" i="67" s="1"/>
  <c r="AP69" i="67"/>
  <c r="AL69" i="67" s="1"/>
  <c r="D70" i="67"/>
  <c r="E70" i="67"/>
  <c r="F70" i="67"/>
  <c r="H70" i="67"/>
  <c r="H67" i="67" s="1"/>
  <c r="J70" i="67"/>
  <c r="N70" i="67"/>
  <c r="G70" i="67" s="1"/>
  <c r="Q70" i="67"/>
  <c r="U70" i="67"/>
  <c r="X70" i="67"/>
  <c r="AB70" i="67"/>
  <c r="AE70" i="67"/>
  <c r="AI70" i="67"/>
  <c r="AL70" i="67"/>
  <c r="AP70" i="67"/>
  <c r="AS70" i="67"/>
  <c r="AW70" i="67"/>
  <c r="AZ70" i="67"/>
  <c r="BF70" i="67"/>
  <c r="I70" i="67" s="1"/>
  <c r="I67" i="67" s="1"/>
  <c r="BG70" i="67"/>
  <c r="N71" i="67"/>
  <c r="J71" i="67" s="1"/>
  <c r="O71" i="67"/>
  <c r="U71" i="67"/>
  <c r="Q71" i="67" s="1"/>
  <c r="X71" i="67"/>
  <c r="AB71" i="67"/>
  <c r="AI71" i="67"/>
  <c r="AE71" i="67" s="1"/>
  <c r="AL71" i="67"/>
  <c r="AP71" i="67"/>
  <c r="AW71" i="67"/>
  <c r="AS71" i="67" s="1"/>
  <c r="AZ71" i="67"/>
  <c r="BD71" i="67"/>
  <c r="BK71" i="67"/>
  <c r="BG71" i="67" s="1"/>
  <c r="BL71" i="67"/>
  <c r="C72" i="67"/>
  <c r="D72" i="67"/>
  <c r="E72" i="67"/>
  <c r="F72" i="67"/>
  <c r="G72" i="67"/>
  <c r="G71" i="67" s="1"/>
  <c r="C71" i="67" s="1"/>
  <c r="H72" i="67"/>
  <c r="H71" i="67" s="1"/>
  <c r="J72" i="67"/>
  <c r="P72" i="67"/>
  <c r="I72" i="67" s="1"/>
  <c r="I71" i="67" s="1"/>
  <c r="Q72" i="67"/>
  <c r="W72" i="67"/>
  <c r="W71" i="67" s="1"/>
  <c r="X72" i="67"/>
  <c r="AD72" i="67"/>
  <c r="AD71" i="67" s="1"/>
  <c r="AE72" i="67"/>
  <c r="AK72" i="67"/>
  <c r="AK71" i="67" s="1"/>
  <c r="AL72" i="67"/>
  <c r="AR72" i="67"/>
  <c r="AR71" i="67" s="1"/>
  <c r="AS72" i="67"/>
  <c r="AY72" i="67"/>
  <c r="AY71" i="67" s="1"/>
  <c r="AZ72" i="67"/>
  <c r="BF72" i="67"/>
  <c r="BF71" i="67" s="1"/>
  <c r="BG72" i="67"/>
  <c r="C73" i="67"/>
  <c r="N73" i="67"/>
  <c r="J73" i="67" s="1"/>
  <c r="Q73" i="67"/>
  <c r="U73" i="67"/>
  <c r="BK73" i="67"/>
  <c r="BG73" i="67" s="1"/>
  <c r="C74" i="67"/>
  <c r="D74" i="67"/>
  <c r="E74" i="67"/>
  <c r="F74" i="67"/>
  <c r="G74" i="67"/>
  <c r="G73" i="67" s="1"/>
  <c r="H74" i="67"/>
  <c r="J74" i="67"/>
  <c r="P74" i="67"/>
  <c r="P73" i="67" s="1"/>
  <c r="Q74" i="67"/>
  <c r="W74" i="67"/>
  <c r="W73" i="67" s="1"/>
  <c r="BG74" i="67"/>
  <c r="BM74" i="67"/>
  <c r="BM73" i="67" s="1"/>
  <c r="D75" i="67"/>
  <c r="H75" i="67"/>
  <c r="J75" i="67"/>
  <c r="N75" i="67"/>
  <c r="O75" i="67"/>
  <c r="R75" i="67"/>
  <c r="S75" i="67"/>
  <c r="S58" i="67" s="1"/>
  <c r="T75" i="67"/>
  <c r="U75" i="67"/>
  <c r="Q75" i="67" s="1"/>
  <c r="Y75" i="67"/>
  <c r="Z75" i="67"/>
  <c r="AA75" i="67"/>
  <c r="AB75" i="67"/>
  <c r="X75" i="67" s="1"/>
  <c r="AF75" i="67"/>
  <c r="AG75" i="67"/>
  <c r="AG58" i="67" s="1"/>
  <c r="AH75" i="67"/>
  <c r="AI75" i="67"/>
  <c r="AE75" i="67" s="1"/>
  <c r="AM75" i="67"/>
  <c r="AN75" i="67"/>
  <c r="AN58" i="67" s="1"/>
  <c r="AO75" i="67"/>
  <c r="AP75" i="67"/>
  <c r="AL75" i="67" s="1"/>
  <c r="AS75" i="67"/>
  <c r="AT75" i="67"/>
  <c r="AU75" i="67"/>
  <c r="AU58" i="67" s="1"/>
  <c r="AW75" i="67"/>
  <c r="AZ75" i="67"/>
  <c r="BA75" i="67"/>
  <c r="BB75" i="67"/>
  <c r="BB58" i="67" s="1"/>
  <c r="BD75" i="67"/>
  <c r="BG75" i="67"/>
  <c r="D76" i="67"/>
  <c r="E76" i="67"/>
  <c r="E75" i="67" s="1"/>
  <c r="F76" i="67"/>
  <c r="G76" i="67"/>
  <c r="H76" i="67"/>
  <c r="J76" i="67"/>
  <c r="P76" i="67"/>
  <c r="P75" i="67" s="1"/>
  <c r="Q76" i="67"/>
  <c r="W76" i="67"/>
  <c r="X76" i="67"/>
  <c r="AD76" i="67"/>
  <c r="AE76" i="67"/>
  <c r="AK76" i="67"/>
  <c r="AL76" i="67"/>
  <c r="AR76" i="67"/>
  <c r="AS76" i="67"/>
  <c r="AY76" i="67"/>
  <c r="AZ76" i="67"/>
  <c r="BF76" i="67"/>
  <c r="BG76" i="67"/>
  <c r="D77" i="67"/>
  <c r="E77" i="67"/>
  <c r="G77" i="67"/>
  <c r="H77" i="67"/>
  <c r="J77" i="67"/>
  <c r="Q77" i="67"/>
  <c r="W77" i="67"/>
  <c r="X77" i="67"/>
  <c r="AD77" i="67"/>
  <c r="AE77" i="67"/>
  <c r="AK77" i="67"/>
  <c r="AL77" i="67"/>
  <c r="AR77" i="67"/>
  <c r="AS77" i="67"/>
  <c r="AV77" i="67"/>
  <c r="AV75" i="67" s="1"/>
  <c r="AY77" i="67"/>
  <c r="I77" i="67" s="1"/>
  <c r="AZ77" i="67"/>
  <c r="BC77" i="67"/>
  <c r="BC75" i="67" s="1"/>
  <c r="BF77" i="67"/>
  <c r="BG77" i="67"/>
  <c r="N78" i="67"/>
  <c r="O78" i="67"/>
  <c r="U78" i="67"/>
  <c r="Q78" i="67" s="1"/>
  <c r="X78" i="67"/>
  <c r="AB78" i="67"/>
  <c r="AI78" i="67"/>
  <c r="AE78" i="67" s="1"/>
  <c r="AL78" i="67"/>
  <c r="AP78" i="67"/>
  <c r="AW78" i="67"/>
  <c r="AS78" i="67" s="1"/>
  <c r="AZ78" i="67"/>
  <c r="BD78" i="67"/>
  <c r="BK78" i="67"/>
  <c r="BG78" i="67" s="1"/>
  <c r="C79" i="67"/>
  <c r="C78" i="67" s="1"/>
  <c r="D79" i="67"/>
  <c r="E79" i="67"/>
  <c r="F79" i="67"/>
  <c r="G79" i="67"/>
  <c r="G78" i="67" s="1"/>
  <c r="H79" i="67"/>
  <c r="H78" i="67" s="1"/>
  <c r="J79" i="67"/>
  <c r="J78" i="67" s="1"/>
  <c r="P79" i="67"/>
  <c r="P78" i="67" s="1"/>
  <c r="Q79" i="67"/>
  <c r="W79" i="67"/>
  <c r="W78" i="67" s="1"/>
  <c r="X79" i="67"/>
  <c r="AD79" i="67"/>
  <c r="AD78" i="67" s="1"/>
  <c r="AE79" i="67"/>
  <c r="AK79" i="67"/>
  <c r="AK78" i="67" s="1"/>
  <c r="AL79" i="67"/>
  <c r="AR79" i="67"/>
  <c r="AR78" i="67" s="1"/>
  <c r="AS79" i="67"/>
  <c r="AY79" i="67"/>
  <c r="AY78" i="67" s="1"/>
  <c r="AZ79" i="67"/>
  <c r="BF79" i="67"/>
  <c r="BF78" i="67" s="1"/>
  <c r="BG79" i="67"/>
  <c r="C80" i="67"/>
  <c r="D80" i="67"/>
  <c r="E80" i="67"/>
  <c r="F80" i="67"/>
  <c r="G80" i="67"/>
  <c r="H80" i="67"/>
  <c r="J80" i="67"/>
  <c r="P80" i="67"/>
  <c r="I80" i="67" s="1"/>
  <c r="Q80" i="67"/>
  <c r="W80" i="67"/>
  <c r="X80" i="67"/>
  <c r="AD80" i="67"/>
  <c r="AE80" i="67"/>
  <c r="AK80" i="67"/>
  <c r="AL80" i="67"/>
  <c r="AR80" i="67"/>
  <c r="AS80" i="67"/>
  <c r="AY80" i="67"/>
  <c r="AZ80" i="67"/>
  <c r="BF80" i="67"/>
  <c r="BG80" i="67"/>
  <c r="BM80" i="67"/>
  <c r="BM78" i="67" s="1"/>
  <c r="N81" i="67"/>
  <c r="J81" i="67" s="1"/>
  <c r="O81" i="67"/>
  <c r="U81" i="67"/>
  <c r="Q81" i="67" s="1"/>
  <c r="X81" i="67"/>
  <c r="AB81" i="67"/>
  <c r="AC81" i="67"/>
  <c r="AE81" i="67"/>
  <c r="AL81" i="67"/>
  <c r="AX81" i="67"/>
  <c r="AZ81" i="67"/>
  <c r="BG81" i="67"/>
  <c r="D82" i="67"/>
  <c r="E82" i="67"/>
  <c r="F82" i="67"/>
  <c r="H82" i="67"/>
  <c r="H81" i="67" s="1"/>
  <c r="J82" i="67"/>
  <c r="P82" i="67"/>
  <c r="P81" i="67" s="1"/>
  <c r="Q82" i="67"/>
  <c r="W82" i="67"/>
  <c r="W81" i="67" s="1"/>
  <c r="X82" i="67"/>
  <c r="AD82" i="67"/>
  <c r="AD81" i="67" s="1"/>
  <c r="AE82" i="67"/>
  <c r="AL82" i="67"/>
  <c r="AW82" i="67"/>
  <c r="G82" i="67" s="1"/>
  <c r="G81" i="67" s="1"/>
  <c r="C81" i="67" s="1"/>
  <c r="AY82" i="67"/>
  <c r="AY81" i="67" s="1"/>
  <c r="AZ82" i="67"/>
  <c r="BG82" i="67"/>
  <c r="H83" i="67"/>
  <c r="J83" i="67"/>
  <c r="U83" i="67"/>
  <c r="Q83" i="67" s="1"/>
  <c r="V83" i="67"/>
  <c r="AB83" i="67"/>
  <c r="X83" i="67" s="1"/>
  <c r="AC83" i="67"/>
  <c r="AI83" i="67"/>
  <c r="AE83" i="67" s="1"/>
  <c r="AJ83" i="67"/>
  <c r="AP83" i="67"/>
  <c r="AL83" i="67" s="1"/>
  <c r="AQ83" i="67"/>
  <c r="AQ58" i="67" s="1"/>
  <c r="BG83" i="67"/>
  <c r="C84" i="67"/>
  <c r="D84" i="67"/>
  <c r="E84" i="67"/>
  <c r="F84" i="67"/>
  <c r="G84" i="67"/>
  <c r="G83" i="67" s="1"/>
  <c r="C83" i="67" s="1"/>
  <c r="H84" i="67"/>
  <c r="Q84" i="67"/>
  <c r="W84" i="67"/>
  <c r="W83" i="67" s="1"/>
  <c r="X84" i="67"/>
  <c r="AD84" i="67"/>
  <c r="AD83" i="67" s="1"/>
  <c r="AE84" i="67"/>
  <c r="AK84" i="67"/>
  <c r="AK83" i="67" s="1"/>
  <c r="AL84" i="67"/>
  <c r="AR84" i="67"/>
  <c r="AR83" i="67" s="1"/>
  <c r="K86" i="67"/>
  <c r="K85" i="67" s="1"/>
  <c r="L86" i="67"/>
  <c r="L85" i="67" s="1"/>
  <c r="M86" i="67"/>
  <c r="M85" i="67" s="1"/>
  <c r="N86" i="67"/>
  <c r="N85" i="67" s="1"/>
  <c r="O86" i="67"/>
  <c r="O85" i="67" s="1"/>
  <c r="T86" i="67"/>
  <c r="T85" i="67" s="1"/>
  <c r="U86" i="67"/>
  <c r="U85" i="67" s="1"/>
  <c r="V86" i="67"/>
  <c r="V85" i="67" s="1"/>
  <c r="Y86" i="67"/>
  <c r="Y85" i="67" s="1"/>
  <c r="AB86" i="67"/>
  <c r="AB85" i="67" s="1"/>
  <c r="AC86" i="67"/>
  <c r="AC85" i="67" s="1"/>
  <c r="AD86" i="67"/>
  <c r="AD85" i="67" s="1"/>
  <c r="AF86" i="67"/>
  <c r="AF85" i="67" s="1"/>
  <c r="AG86" i="67"/>
  <c r="AG85" i="67" s="1"/>
  <c r="AH86" i="67"/>
  <c r="AH85" i="67" s="1"/>
  <c r="AI86" i="67"/>
  <c r="AI85" i="67" s="1"/>
  <c r="AJ86" i="67"/>
  <c r="AJ85" i="67" s="1"/>
  <c r="AM86" i="67"/>
  <c r="AM85" i="67" s="1"/>
  <c r="AN86" i="67"/>
  <c r="AN85" i="67" s="1"/>
  <c r="AP86" i="67"/>
  <c r="AP85" i="67" s="1"/>
  <c r="AQ86" i="67"/>
  <c r="AQ85" i="67" s="1"/>
  <c r="AR86" i="67"/>
  <c r="AR85" i="67" s="1"/>
  <c r="AT86" i="67"/>
  <c r="AT85" i="67" s="1"/>
  <c r="AU86" i="67"/>
  <c r="AU85" i="67" s="1"/>
  <c r="AV86" i="67"/>
  <c r="AV85" i="67" s="1"/>
  <c r="AW86" i="67"/>
  <c r="AW85" i="67" s="1"/>
  <c r="AX86" i="67"/>
  <c r="AX85" i="67" s="1"/>
  <c r="AY86" i="67"/>
  <c r="AY85" i="67" s="1"/>
  <c r="BG86" i="67"/>
  <c r="BH86" i="67"/>
  <c r="BH85" i="67" s="1"/>
  <c r="BG85" i="67" s="1"/>
  <c r="D87" i="67"/>
  <c r="F87" i="67"/>
  <c r="F86" i="67" s="1"/>
  <c r="F85" i="67" s="1"/>
  <c r="G87" i="67"/>
  <c r="G86" i="67" s="1"/>
  <c r="G85" i="67" s="1"/>
  <c r="H87" i="67"/>
  <c r="H86" i="67" s="1"/>
  <c r="H85" i="67" s="1"/>
  <c r="I87" i="67"/>
  <c r="J87" i="67"/>
  <c r="C87" i="67" s="1"/>
  <c r="L87" i="67"/>
  <c r="E87" i="67" s="1"/>
  <c r="Q87" i="67"/>
  <c r="R87" i="67"/>
  <c r="X87" i="67"/>
  <c r="X86" i="67" s="1"/>
  <c r="X85" i="67" s="1"/>
  <c r="AA87" i="67"/>
  <c r="AA86" i="67" s="1"/>
  <c r="AA85" i="67" s="1"/>
  <c r="AE87" i="67"/>
  <c r="AE86" i="67" s="1"/>
  <c r="AE85" i="67" s="1"/>
  <c r="AH87" i="67"/>
  <c r="AL87" i="67"/>
  <c r="AL86" i="67" s="1"/>
  <c r="AL85" i="67" s="1"/>
  <c r="AO87" i="67"/>
  <c r="AO86" i="67" s="1"/>
  <c r="AO85" i="67" s="1"/>
  <c r="AS87" i="67"/>
  <c r="AS86" i="67" s="1"/>
  <c r="AS85" i="67" s="1"/>
  <c r="BG87" i="67"/>
  <c r="BI87" i="67"/>
  <c r="BI86" i="67" s="1"/>
  <c r="BI85" i="67" s="1"/>
  <c r="F88" i="67"/>
  <c r="G88" i="67"/>
  <c r="H88" i="67"/>
  <c r="J88" i="67"/>
  <c r="L88" i="67"/>
  <c r="E88" i="67" s="1"/>
  <c r="P88" i="67"/>
  <c r="P86" i="67" s="1"/>
  <c r="P85" i="67" s="1"/>
  <c r="R88" i="67"/>
  <c r="R86" i="67" s="1"/>
  <c r="R85" i="67" s="1"/>
  <c r="S88" i="67"/>
  <c r="S86" i="67" s="1"/>
  <c r="S85" i="67" s="1"/>
  <c r="W88" i="67"/>
  <c r="W86" i="67" s="1"/>
  <c r="W85" i="67" s="1"/>
  <c r="X88" i="67"/>
  <c r="Z88" i="67"/>
  <c r="Z86" i="67" s="1"/>
  <c r="Z85" i="67" s="1"/>
  <c r="AD88" i="67"/>
  <c r="AE88" i="67"/>
  <c r="AK88" i="67"/>
  <c r="AK86" i="67" s="1"/>
  <c r="AK85" i="67" s="1"/>
  <c r="AL88" i="67"/>
  <c r="AR88" i="67"/>
  <c r="AS88" i="67"/>
  <c r="BG88" i="67"/>
  <c r="BI88" i="67"/>
  <c r="C89" i="67"/>
  <c r="J89" i="67"/>
  <c r="BG89" i="67"/>
  <c r="C91" i="67"/>
  <c r="J91" i="67"/>
  <c r="BG91" i="67"/>
  <c r="C92" i="67"/>
  <c r="J92" i="67"/>
  <c r="BG92" i="67"/>
  <c r="C93" i="67"/>
  <c r="J93" i="67"/>
  <c r="BG93" i="67"/>
  <c r="C94" i="67"/>
  <c r="J94" i="67"/>
  <c r="BG94" i="67"/>
  <c r="C95" i="67"/>
  <c r="J95" i="67"/>
  <c r="BG95" i="67"/>
  <c r="C96" i="67"/>
  <c r="J96" i="67"/>
  <c r="BG96" i="67"/>
  <c r="C97" i="67"/>
  <c r="J97" i="67"/>
  <c r="BG97" i="67"/>
  <c r="K98" i="67"/>
  <c r="BG98" i="67"/>
  <c r="C99" i="67"/>
  <c r="J99" i="67"/>
  <c r="BG99" i="67"/>
  <c r="C100" i="67"/>
  <c r="D100" i="67"/>
  <c r="D98" i="67" s="1"/>
  <c r="F100" i="67"/>
  <c r="G100" i="67"/>
  <c r="H100" i="67"/>
  <c r="I100" i="67"/>
  <c r="J100" i="67"/>
  <c r="L100" i="67"/>
  <c r="BG100" i="67"/>
  <c r="C101" i="67"/>
  <c r="D101" i="67"/>
  <c r="F101" i="67"/>
  <c r="G101" i="67"/>
  <c r="H101" i="67"/>
  <c r="I101" i="67"/>
  <c r="J101" i="67"/>
  <c r="L101" i="67"/>
  <c r="E101" i="67" s="1"/>
  <c r="BG101" i="67"/>
  <c r="K102" i="67"/>
  <c r="J102" i="67" s="1"/>
  <c r="BH102" i="67"/>
  <c r="BH90" i="67" s="1"/>
  <c r="BG90" i="67" s="1"/>
  <c r="C103" i="67"/>
  <c r="D103" i="67"/>
  <c r="F103" i="67"/>
  <c r="G103" i="67"/>
  <c r="H103" i="67"/>
  <c r="I103" i="67"/>
  <c r="J103" i="67"/>
  <c r="L103" i="67"/>
  <c r="BG103" i="67"/>
  <c r="BI103" i="67"/>
  <c r="BI102" i="67" s="1"/>
  <c r="BI90" i="67" s="1"/>
  <c r="D104" i="67"/>
  <c r="F104" i="67"/>
  <c r="G104" i="67"/>
  <c r="H104" i="67"/>
  <c r="I104" i="67"/>
  <c r="J104" i="67"/>
  <c r="C104" i="67" s="1"/>
  <c r="L104" i="67"/>
  <c r="E104" i="67" s="1"/>
  <c r="BG104" i="67"/>
  <c r="BI104" i="67"/>
  <c r="C105" i="67"/>
  <c r="D105" i="67"/>
  <c r="F105" i="67"/>
  <c r="G105" i="67"/>
  <c r="H105" i="67"/>
  <c r="I105" i="67"/>
  <c r="J105" i="67"/>
  <c r="L105" i="67"/>
  <c r="E105" i="67" s="1"/>
  <c r="BG105" i="67"/>
  <c r="BI105" i="67"/>
  <c r="D106" i="67"/>
  <c r="F106" i="67"/>
  <c r="G106" i="67"/>
  <c r="H106" i="67"/>
  <c r="I106" i="67"/>
  <c r="J106" i="67"/>
  <c r="C106" i="67" s="1"/>
  <c r="L106" i="67"/>
  <c r="E106" i="67" s="1"/>
  <c r="BG106" i="67"/>
  <c r="BI106" i="67"/>
  <c r="U107" i="67"/>
  <c r="Q107" i="67" s="1"/>
  <c r="C108" i="67"/>
  <c r="C107" i="67" s="1"/>
  <c r="D108" i="67"/>
  <c r="D107" i="67" s="1"/>
  <c r="E108" i="67"/>
  <c r="E107" i="67" s="1"/>
  <c r="F108" i="67"/>
  <c r="F107" i="67" s="1"/>
  <c r="G108" i="67"/>
  <c r="G107" i="67" s="1"/>
  <c r="I108" i="67"/>
  <c r="I107" i="67" s="1"/>
  <c r="Q108" i="67"/>
  <c r="V108" i="67"/>
  <c r="V107" i="67" s="1"/>
  <c r="H108" i="67" l="1"/>
  <c r="H107" i="67" s="1"/>
  <c r="D102" i="67"/>
  <c r="C102" i="67" s="1"/>
  <c r="BG102" i="67"/>
  <c r="D90" i="67"/>
  <c r="C90" i="67" s="1"/>
  <c r="K90" i="67"/>
  <c r="J90" i="67" s="1"/>
  <c r="J98" i="67"/>
  <c r="C98" i="67"/>
  <c r="AY46" i="67"/>
  <c r="AK46" i="67"/>
  <c r="D46" i="67"/>
  <c r="L102" i="67"/>
  <c r="E103" i="67"/>
  <c r="E102" i="67" s="1"/>
  <c r="L98" i="67"/>
  <c r="L90" i="67" s="1"/>
  <c r="E100" i="67"/>
  <c r="E98" i="67" s="1"/>
  <c r="E90" i="67" s="1"/>
  <c r="E86" i="67"/>
  <c r="E85" i="67" s="1"/>
  <c r="J85" i="67"/>
  <c r="BM58" i="67"/>
  <c r="D58" i="67"/>
  <c r="C59" i="67"/>
  <c r="Q88" i="67"/>
  <c r="C88" i="67" s="1"/>
  <c r="I88" i="67"/>
  <c r="I86" i="67" s="1"/>
  <c r="I85" i="67" s="1"/>
  <c r="AS82" i="67"/>
  <c r="C82" i="67" s="1"/>
  <c r="AW81" i="67"/>
  <c r="AS81" i="67" s="1"/>
  <c r="C77" i="67"/>
  <c r="F77" i="67"/>
  <c r="F75" i="67" s="1"/>
  <c r="BF75" i="67"/>
  <c r="AY75" i="67"/>
  <c r="AY58" i="67" s="1"/>
  <c r="AR75" i="67"/>
  <c r="AK75" i="67"/>
  <c r="AK58" i="67" s="1"/>
  <c r="AD75" i="67"/>
  <c r="W75" i="67"/>
  <c r="W58" i="67" s="1"/>
  <c r="I74" i="67"/>
  <c r="I73" i="67" s="1"/>
  <c r="P71" i="67"/>
  <c r="G69" i="67"/>
  <c r="G67" i="67" s="1"/>
  <c r="C67" i="67" s="1"/>
  <c r="C68" i="67"/>
  <c r="C66" i="67"/>
  <c r="AW62" i="67"/>
  <c r="AS63" i="67"/>
  <c r="C63" i="67" s="1"/>
  <c r="G63" i="67"/>
  <c r="G62" i="67" s="1"/>
  <c r="BD58" i="67"/>
  <c r="AD58" i="67"/>
  <c r="AB62" i="67"/>
  <c r="V58" i="67"/>
  <c r="C61" i="67"/>
  <c r="AV58" i="67"/>
  <c r="F60" i="67"/>
  <c r="F59" i="67" s="1"/>
  <c r="BH58" i="67"/>
  <c r="BG59" i="67"/>
  <c r="AT58" i="67"/>
  <c r="AS59" i="67"/>
  <c r="AF58" i="67"/>
  <c r="AE59" i="67"/>
  <c r="AE58" i="67" s="1"/>
  <c r="M59" i="67"/>
  <c r="M58" i="67" s="1"/>
  <c r="BK58" i="67"/>
  <c r="Y58" i="67"/>
  <c r="U58" i="67"/>
  <c r="C53" i="67"/>
  <c r="AW51" i="67"/>
  <c r="AS51" i="67" s="1"/>
  <c r="AS52" i="67"/>
  <c r="AI51" i="67"/>
  <c r="AE51" i="67" s="1"/>
  <c r="AE52" i="67"/>
  <c r="U51" i="67"/>
  <c r="Q51" i="67" s="1"/>
  <c r="Q52" i="67"/>
  <c r="H50" i="67"/>
  <c r="H49" i="67" s="1"/>
  <c r="H46" i="67" s="1"/>
  <c r="G48" i="67"/>
  <c r="G47" i="67" s="1"/>
  <c r="G46" i="67" s="1"/>
  <c r="Q48" i="67"/>
  <c r="U47" i="67"/>
  <c r="AW46" i="67"/>
  <c r="AS46" i="67" s="1"/>
  <c r="AX33" i="67"/>
  <c r="AX10" i="67" s="1"/>
  <c r="AX41" i="67"/>
  <c r="AQ41" i="67"/>
  <c r="AQ33" i="67"/>
  <c r="AQ10" i="67" s="1"/>
  <c r="AQ9" i="67" s="1"/>
  <c r="AJ44" i="67"/>
  <c r="H45" i="67"/>
  <c r="H44" i="67" s="1"/>
  <c r="X45" i="67"/>
  <c r="AB44" i="67"/>
  <c r="X44" i="67" s="1"/>
  <c r="I45" i="67"/>
  <c r="I44" i="67" s="1"/>
  <c r="BG44" i="67"/>
  <c r="BK33" i="67"/>
  <c r="BF33" i="67"/>
  <c r="BF10" i="67" s="1"/>
  <c r="BF41" i="67"/>
  <c r="AR33" i="67"/>
  <c r="AR10" i="67" s="1"/>
  <c r="AR41" i="67"/>
  <c r="AB33" i="67"/>
  <c r="AB41" i="67"/>
  <c r="X42" i="67"/>
  <c r="X41" i="67" s="1"/>
  <c r="W41" i="67"/>
  <c r="P41" i="67"/>
  <c r="BM41" i="67"/>
  <c r="AA10" i="67"/>
  <c r="AA9" i="67" s="1"/>
  <c r="Z4" i="67" s="1"/>
  <c r="S10" i="67"/>
  <c r="S9" i="67" s="1"/>
  <c r="R4" i="67" s="1"/>
  <c r="E11" i="67"/>
  <c r="E12" i="67"/>
  <c r="BL12" i="67"/>
  <c r="D88" i="67"/>
  <c r="D86" i="67" s="1"/>
  <c r="J86" i="67"/>
  <c r="I84" i="67"/>
  <c r="I83" i="67" s="1"/>
  <c r="I82" i="67"/>
  <c r="I81" i="67" s="1"/>
  <c r="I79" i="67"/>
  <c r="I78" i="67" s="1"/>
  <c r="C76" i="67"/>
  <c r="G75" i="67"/>
  <c r="C75" i="67" s="1"/>
  <c r="C70" i="67"/>
  <c r="P58" i="67"/>
  <c r="AR58" i="67"/>
  <c r="AJ58" i="67"/>
  <c r="H63" i="67"/>
  <c r="H62" i="67" s="1"/>
  <c r="H58" i="67" s="1"/>
  <c r="I63" i="67"/>
  <c r="I62" i="67" s="1"/>
  <c r="BL58" i="67"/>
  <c r="BF58" i="67"/>
  <c r="AX58" i="67"/>
  <c r="AP58" i="67"/>
  <c r="AL62" i="67"/>
  <c r="AL58" i="67" s="1"/>
  <c r="N58" i="67"/>
  <c r="Z58" i="67"/>
  <c r="AZ58" i="67"/>
  <c r="R58" i="67"/>
  <c r="Q59" i="67"/>
  <c r="Q58" i="67" s="1"/>
  <c r="AI58" i="67"/>
  <c r="J58" i="67"/>
  <c r="C55" i="67"/>
  <c r="I50" i="67"/>
  <c r="I49" i="67" s="1"/>
  <c r="C50" i="67"/>
  <c r="C49" i="67" s="1"/>
  <c r="I48" i="67"/>
  <c r="I47" i="67" s="1"/>
  <c r="I46" i="67" s="1"/>
  <c r="C48" i="67"/>
  <c r="C47" i="67" s="1"/>
  <c r="C46" i="67" s="1"/>
  <c r="AP46" i="67"/>
  <c r="AL47" i="67"/>
  <c r="AD46" i="67"/>
  <c r="AB47" i="67"/>
  <c r="V46" i="67"/>
  <c r="AL46" i="67"/>
  <c r="AI46" i="67"/>
  <c r="AE46" i="67" s="1"/>
  <c r="Q45" i="67"/>
  <c r="C45" i="67" s="1"/>
  <c r="U44" i="67"/>
  <c r="Q44" i="67" s="1"/>
  <c r="G45" i="67"/>
  <c r="G44" i="67" s="1"/>
  <c r="C44" i="67" s="1"/>
  <c r="AE44" i="67"/>
  <c r="AI33" i="67"/>
  <c r="D41" i="67"/>
  <c r="BI34" i="67"/>
  <c r="BI33" i="67"/>
  <c r="BI10" i="67" s="1"/>
  <c r="BI9" i="67" s="1"/>
  <c r="BC10" i="67"/>
  <c r="BC9" i="67" s="1"/>
  <c r="BB4" i="67" s="1"/>
  <c r="AU9" i="67"/>
  <c r="AT4" i="67" s="1"/>
  <c r="D12" i="67"/>
  <c r="C16" i="67"/>
  <c r="D11" i="67"/>
  <c r="BG41" i="67"/>
  <c r="BD33" i="67"/>
  <c r="BD10" i="67" s="1"/>
  <c r="AY41" i="67"/>
  <c r="AS41" i="67"/>
  <c r="AP33" i="67"/>
  <c r="AP10" i="67" s="1"/>
  <c r="AP9" i="67" s="1"/>
  <c r="AK41" i="67"/>
  <c r="AE41" i="67"/>
  <c r="V10" i="67"/>
  <c r="V9" i="67" s="1"/>
  <c r="Q41" i="67"/>
  <c r="BD41" i="67"/>
  <c r="AP41" i="67"/>
  <c r="C40" i="67"/>
  <c r="C39" i="67"/>
  <c r="F38" i="67"/>
  <c r="BB10" i="67"/>
  <c r="BB9" i="67" s="1"/>
  <c r="BA4" i="67" s="1"/>
  <c r="AT10" i="67"/>
  <c r="T9" i="67"/>
  <c r="S4" i="67" s="1"/>
  <c r="R9" i="67"/>
  <c r="C37" i="67"/>
  <c r="C35" i="67"/>
  <c r="N34" i="67"/>
  <c r="BM33" i="67"/>
  <c r="BM10" i="67" s="1"/>
  <c r="BM9" i="67" s="1"/>
  <c r="AY33" i="67"/>
  <c r="AY10" i="67" s="1"/>
  <c r="AL33" i="67"/>
  <c r="K33" i="67"/>
  <c r="C32" i="67"/>
  <c r="C30" i="67"/>
  <c r="C28" i="67"/>
  <c r="C26" i="67"/>
  <c r="H15" i="67"/>
  <c r="H13" i="67" s="1"/>
  <c r="H12" i="67" s="1"/>
  <c r="O13" i="67"/>
  <c r="O12" i="67" s="1"/>
  <c r="I76" i="67"/>
  <c r="I75" i="67" s="1"/>
  <c r="I66" i="67"/>
  <c r="I64" i="67" s="1"/>
  <c r="G66" i="67"/>
  <c r="G64" i="67" s="1"/>
  <c r="C64" i="67" s="1"/>
  <c r="E61" i="67"/>
  <c r="E59" i="67" s="1"/>
  <c r="E58" i="67" s="1"/>
  <c r="I43" i="67"/>
  <c r="I42" i="67" s="1"/>
  <c r="G43" i="67"/>
  <c r="G42" i="67" s="1"/>
  <c r="BK41" i="67"/>
  <c r="AZ42" i="67"/>
  <c r="AZ41" i="67" s="1"/>
  <c r="AW41" i="67"/>
  <c r="AL42" i="67"/>
  <c r="AL41" i="67" s="1"/>
  <c r="AI41" i="67"/>
  <c r="AD33" i="67"/>
  <c r="AD10" i="67" s="1"/>
  <c r="AD9" i="67" s="1"/>
  <c r="U41" i="67"/>
  <c r="J42" i="67"/>
  <c r="J41" i="67" s="1"/>
  <c r="BJ41" i="67"/>
  <c r="AD41" i="67"/>
  <c r="V41" i="67"/>
  <c r="N41" i="67"/>
  <c r="E40" i="67"/>
  <c r="AV9" i="67"/>
  <c r="AU4" i="67" s="1"/>
  <c r="AF10" i="67"/>
  <c r="E39" i="67"/>
  <c r="D38" i="67"/>
  <c r="BH33" i="67"/>
  <c r="AN10" i="67"/>
  <c r="AN9" i="67" s="1"/>
  <c r="AM4" i="67" s="1"/>
  <c r="AH10" i="67"/>
  <c r="AH9" i="67" s="1"/>
  <c r="AG4" i="67" s="1"/>
  <c r="AE38" i="67"/>
  <c r="Z10" i="67"/>
  <c r="Z9" i="67" s="1"/>
  <c r="Y4" i="67" s="1"/>
  <c r="W35" i="67"/>
  <c r="W34" i="67" s="1"/>
  <c r="P35" i="67"/>
  <c r="P34" i="67" s="1"/>
  <c r="BK34" i="67"/>
  <c r="BG35" i="67"/>
  <c r="BG34" i="67" s="1"/>
  <c r="AW34" i="67"/>
  <c r="AS35" i="67"/>
  <c r="AS34" i="67" s="1"/>
  <c r="AI34" i="67"/>
  <c r="AE35" i="67"/>
  <c r="AE34" i="67" s="1"/>
  <c r="Q34" i="67"/>
  <c r="BB34" i="67"/>
  <c r="AN34" i="67"/>
  <c r="AF34" i="67"/>
  <c r="Z34" i="67"/>
  <c r="L34" i="67"/>
  <c r="BE10" i="67"/>
  <c r="BE9" i="67" s="1"/>
  <c r="BA10" i="67"/>
  <c r="AZ33" i="67"/>
  <c r="AW33" i="67"/>
  <c r="AW10" i="67" s="1"/>
  <c r="AO10" i="67"/>
  <c r="AO9" i="67" s="1"/>
  <c r="AN4" i="67" s="1"/>
  <c r="AK33" i="67"/>
  <c r="AK10" i="67" s="1"/>
  <c r="AG33" i="67"/>
  <c r="AG10" i="67" s="1"/>
  <c r="AG9" i="67" s="1"/>
  <c r="AF4" i="67" s="1"/>
  <c r="AC33" i="67"/>
  <c r="AC10" i="67" s="1"/>
  <c r="AC9" i="67" s="1"/>
  <c r="Y10" i="67"/>
  <c r="X33" i="67"/>
  <c r="U33" i="67"/>
  <c r="Q33" i="67" s="1"/>
  <c r="M33" i="67"/>
  <c r="M10" i="67" s="1"/>
  <c r="M9" i="67" s="1"/>
  <c r="O11" i="67"/>
  <c r="O10" i="67" s="1"/>
  <c r="O9" i="67" s="1"/>
  <c r="C24" i="67"/>
  <c r="BL22" i="67"/>
  <c r="BL21" i="67" s="1"/>
  <c r="H23" i="67"/>
  <c r="H22" i="67" s="1"/>
  <c r="H21" i="67" s="1"/>
  <c r="G23" i="67"/>
  <c r="G22" i="67" s="1"/>
  <c r="P11" i="67"/>
  <c r="P21" i="67"/>
  <c r="N22" i="67"/>
  <c r="BK21" i="67"/>
  <c r="C20" i="67"/>
  <c r="C18" i="67"/>
  <c r="BH12" i="67"/>
  <c r="BG16" i="67"/>
  <c r="BG12" i="67" s="1"/>
  <c r="C14" i="67"/>
  <c r="N12" i="67"/>
  <c r="J13" i="67"/>
  <c r="J12" i="67" s="1"/>
  <c r="C13" i="67"/>
  <c r="C12" i="67" s="1"/>
  <c r="BI12" i="67"/>
  <c r="N11" i="67"/>
  <c r="N10" i="67" s="1"/>
  <c r="L11" i="67"/>
  <c r="L10" i="67" s="1"/>
  <c r="L9" i="67" s="1"/>
  <c r="AM10" i="67"/>
  <c r="I37" i="67"/>
  <c r="I35" i="67" s="1"/>
  <c r="I34" i="67" s="1"/>
  <c r="BK11" i="67"/>
  <c r="BG11" i="67" s="1"/>
  <c r="I26" i="67"/>
  <c r="I25" i="67" s="1"/>
  <c r="I11" i="67" s="1"/>
  <c r="K12" i="67"/>
  <c r="N9" i="67" l="1"/>
  <c r="D85" i="67"/>
  <c r="C85" i="67" s="1"/>
  <c r="C86" i="67"/>
  <c r="AM9" i="67"/>
  <c r="AL9" i="67" s="1"/>
  <c r="AL10" i="67"/>
  <c r="J11" i="67"/>
  <c r="N21" i="67"/>
  <c r="J22" i="67"/>
  <c r="J21" i="67" s="1"/>
  <c r="AK9" i="67"/>
  <c r="AS33" i="67"/>
  <c r="BH10" i="67"/>
  <c r="BG33" i="67"/>
  <c r="E38" i="67"/>
  <c r="G41" i="67"/>
  <c r="G33" i="67"/>
  <c r="J33" i="67"/>
  <c r="K10" i="67"/>
  <c r="AY9" i="67"/>
  <c r="AT9" i="67"/>
  <c r="AS10" i="67"/>
  <c r="F33" i="67"/>
  <c r="F10" i="67" s="1"/>
  <c r="F34" i="67"/>
  <c r="I21" i="67"/>
  <c r="H11" i="67"/>
  <c r="C42" i="67"/>
  <c r="C41" i="67" s="1"/>
  <c r="AI10" i="67"/>
  <c r="AI9" i="67" s="1"/>
  <c r="AE33" i="67"/>
  <c r="I58" i="67"/>
  <c r="BL11" i="67"/>
  <c r="BL10" i="67" s="1"/>
  <c r="BL9" i="67" s="1"/>
  <c r="P33" i="67"/>
  <c r="P10" i="67" s="1"/>
  <c r="P9" i="67" s="1"/>
  <c r="BK10" i="67"/>
  <c r="AJ33" i="67"/>
  <c r="AJ10" i="67" s="1"/>
  <c r="AJ9" i="67" s="1"/>
  <c r="AJ41" i="67"/>
  <c r="AX9" i="67"/>
  <c r="Q47" i="67"/>
  <c r="U46" i="67"/>
  <c r="Q46" i="67" s="1"/>
  <c r="F58" i="67"/>
  <c r="AB58" i="67"/>
  <c r="X62" i="67"/>
  <c r="X58" i="67" s="1"/>
  <c r="Q86" i="67"/>
  <c r="Q85" i="67" s="1"/>
  <c r="C22" i="67"/>
  <c r="C21" i="67" s="1"/>
  <c r="G21" i="67"/>
  <c r="G11" i="67"/>
  <c r="U10" i="67"/>
  <c r="Y9" i="67"/>
  <c r="BA9" i="67"/>
  <c r="AZ10" i="67"/>
  <c r="D33" i="67"/>
  <c r="D34" i="67"/>
  <c r="C38" i="67"/>
  <c r="C34" i="67" s="1"/>
  <c r="AF9" i="67"/>
  <c r="AE9" i="67" s="1"/>
  <c r="AE10" i="67"/>
  <c r="I41" i="67"/>
  <c r="I33" i="67"/>
  <c r="I10" i="67" s="1"/>
  <c r="I9" i="67" s="1"/>
  <c r="BD9" i="67"/>
  <c r="C11" i="67"/>
  <c r="AB46" i="67"/>
  <c r="X46" i="67" s="1"/>
  <c r="X47" i="67"/>
  <c r="W33" i="67"/>
  <c r="W10" i="67" s="1"/>
  <c r="W9" i="67" s="1"/>
  <c r="AB10" i="67"/>
  <c r="X10" i="67" s="1"/>
  <c r="AR9" i="67"/>
  <c r="BF9" i="67"/>
  <c r="H33" i="67"/>
  <c r="H10" i="67" s="1"/>
  <c r="H9" i="67" s="1"/>
  <c r="H41" i="67"/>
  <c r="BG58" i="67"/>
  <c r="G58" i="67"/>
  <c r="C58" i="67" s="1"/>
  <c r="C62" i="67"/>
  <c r="AW58" i="67"/>
  <c r="AS62" i="67"/>
  <c r="AS58" i="67" s="1"/>
  <c r="AZ9" i="67" l="1"/>
  <c r="U9" i="67"/>
  <c r="Q9" i="67" s="1"/>
  <c r="Q10" i="67"/>
  <c r="K9" i="67"/>
  <c r="J9" i="67" s="1"/>
  <c r="J10" i="67"/>
  <c r="G10" i="67"/>
  <c r="G9" i="67" s="1"/>
  <c r="E34" i="67"/>
  <c r="E33" i="67"/>
  <c r="E10" i="67" s="1"/>
  <c r="E9" i="67" s="1"/>
  <c r="BH9" i="67"/>
  <c r="BG10" i="67"/>
  <c r="AB9" i="67"/>
  <c r="D10" i="67"/>
  <c r="C33" i="67"/>
  <c r="AW9" i="67"/>
  <c r="X9" i="67"/>
  <c r="BK9" i="67"/>
  <c r="F9" i="67"/>
  <c r="AS9" i="67"/>
  <c r="D9" i="67" l="1"/>
  <c r="C9" i="67" s="1"/>
  <c r="C10" i="67"/>
  <c r="BG9" i="67"/>
  <c r="H63" i="82" l="1"/>
  <c r="H61" i="82"/>
  <c r="F61" i="82" s="1"/>
  <c r="D34" i="51"/>
  <c r="E34" i="51" s="1"/>
  <c r="H60" i="82"/>
  <c r="H64" i="82"/>
  <c r="D37" i="51"/>
  <c r="E37" i="51" s="1"/>
  <c r="H73" i="82"/>
  <c r="F73" i="82" s="1"/>
  <c r="D46" i="51"/>
  <c r="D44" i="51" s="1"/>
  <c r="H71" i="82" l="1"/>
  <c r="F71" i="82" s="1"/>
  <c r="D36" i="51"/>
  <c r="K64" i="82"/>
  <c r="F64" i="82"/>
  <c r="D33" i="51"/>
  <c r="K63" i="82"/>
  <c r="H62" i="82"/>
  <c r="F63" i="82"/>
  <c r="F60" i="82"/>
  <c r="H59" i="82"/>
  <c r="K59" i="82" l="1"/>
  <c r="F59" i="82"/>
  <c r="I59" i="82" s="1"/>
  <c r="H58" i="82"/>
  <c r="F62" i="82"/>
  <c r="I62" i="82" s="1"/>
  <c r="K62" i="82"/>
  <c r="E33" i="51"/>
  <c r="D32" i="51"/>
  <c r="E36" i="51"/>
  <c r="D35" i="51"/>
  <c r="E35" i="51" s="1"/>
  <c r="E32" i="51" l="1"/>
  <c r="D31" i="51"/>
  <c r="F58" i="82"/>
  <c r="K58" i="82"/>
  <c r="H8" i="82"/>
  <c r="K8" i="82" s="1"/>
  <c r="I58" i="82" l="1"/>
  <c r="F8" i="82"/>
  <c r="I8" i="82" s="1"/>
  <c r="E31" i="51"/>
  <c r="D30" i="51"/>
  <c r="E30" i="51" l="1"/>
  <c r="D8" i="51"/>
  <c r="E8" i="51" s="1"/>
</calcChain>
</file>

<file path=xl/comments1.xml><?xml version="1.0" encoding="utf-8"?>
<comments xmlns="http://schemas.openxmlformats.org/spreadsheetml/2006/main">
  <authors>
    <author>stc</author>
  </authors>
  <commentList>
    <comment ref="H15" authorId="0">
      <text>
        <r>
          <rPr>
            <b/>
            <sz val="9"/>
            <color indexed="81"/>
            <rFont val="Tahoma"/>
            <charset val="1"/>
          </rPr>
          <t>stc:</t>
        </r>
        <r>
          <rPr>
            <sz val="9"/>
            <color indexed="81"/>
            <rFont val="Tahoma"/>
            <charset val="1"/>
          </rPr>
          <t xml:space="preserve">
Tăng thêm chi chuyển nguồn 32.411 trđ</t>
        </r>
      </text>
    </comment>
    <comment ref="C17" authorId="0">
      <text>
        <r>
          <rPr>
            <b/>
            <sz val="9"/>
            <color indexed="81"/>
            <rFont val="Tahoma"/>
            <family val="2"/>
          </rPr>
          <t>stc:</t>
        </r>
        <r>
          <rPr>
            <sz val="9"/>
            <color indexed="81"/>
            <rFont val="Tahoma"/>
            <family val="2"/>
          </rPr>
          <t xml:space="preserve">
Tăng thêm 32.411 trđ so với ban đầu do BTC bổ sung có mục tiêu KP CCTL năm 2017</t>
        </r>
      </text>
    </comment>
  </commentList>
</comments>
</file>

<file path=xl/comments10.xml><?xml version="1.0" encoding="utf-8"?>
<comments xmlns="http://schemas.openxmlformats.org/spreadsheetml/2006/main">
  <authors>
    <author>stc</author>
  </authors>
  <commentList>
    <comment ref="C8" authorId="0">
      <text>
        <r>
          <rPr>
            <b/>
            <sz val="9"/>
            <color indexed="81"/>
            <rFont val="Tahoma"/>
          </rPr>
          <t xml:space="preserve">stc:
</t>
        </r>
        <r>
          <rPr>
            <sz val="9"/>
            <color indexed="81"/>
            <rFont val="Tahoma"/>
          </rPr>
          <t>161.091+105.521+176.863+9.880=453.355 khớp với DT chi đầu tư cấp tỉnh</t>
        </r>
      </text>
    </comment>
    <comment ref="C9" authorId="0">
      <text>
        <r>
          <rPr>
            <b/>
            <sz val="9"/>
            <color indexed="81"/>
            <rFont val="Tahoma"/>
          </rPr>
          <t>stc:</t>
        </r>
        <r>
          <rPr>
            <sz val="9"/>
            <color indexed="81"/>
            <rFont val="Tahoma"/>
          </rPr>
          <t xml:space="preserve">
Bao gồm 3.098 vốn ODA ngân sách tỉnh vay lại</t>
        </r>
      </text>
    </comment>
    <comment ref="C34" authorId="0">
      <text>
        <r>
          <rPr>
            <b/>
            <sz val="9"/>
            <color indexed="81"/>
            <rFont val="Tahoma"/>
          </rPr>
          <t>stc:</t>
        </r>
        <r>
          <rPr>
            <sz val="9"/>
            <color indexed="81"/>
            <rFont val="Tahoma"/>
          </rPr>
          <t xml:space="preserve">
Bao gồm 1.875 vốn ODA NS tỉnh vay lại</t>
        </r>
      </text>
    </comment>
    <comment ref="N37" authorId="0">
      <text>
        <r>
          <rPr>
            <b/>
            <sz val="9"/>
            <color indexed="81"/>
            <rFont val="Tahoma"/>
            <family val="2"/>
          </rPr>
          <t>stc:</t>
        </r>
        <r>
          <rPr>
            <sz val="9"/>
            <color indexed="81"/>
            <rFont val="Tahoma"/>
            <family val="2"/>
          </rPr>
          <t xml:space="preserve">
Bao gồm 1.016 của DA Bản Piêng</t>
        </r>
      </text>
    </comment>
    <comment ref="C44" authorId="0">
      <text>
        <r>
          <rPr>
            <b/>
            <sz val="9"/>
            <color indexed="81"/>
            <rFont val="Tahoma"/>
            <family val="2"/>
          </rPr>
          <t>stc:</t>
        </r>
        <r>
          <rPr>
            <sz val="9"/>
            <color indexed="81"/>
            <rFont val="Tahoma"/>
            <family val="2"/>
          </rPr>
          <t xml:space="preserve">
458.855+1.000+1.800=461.655 trđ khớp với DT chi ĐTPT cấp tỉnh</t>
        </r>
      </text>
    </comment>
  </commentList>
</comments>
</file>

<file path=xl/comments11.xml><?xml version="1.0" encoding="utf-8"?>
<comments xmlns="http://schemas.openxmlformats.org/spreadsheetml/2006/main">
  <authors>
    <author>stc</author>
    <author>vothanhnhung</author>
  </authors>
  <commentList>
    <comment ref="D9" authorId="0">
      <text>
        <r>
          <rPr>
            <sz val="9"/>
            <color indexed="81"/>
            <rFont val="Tahoma"/>
            <family val="2"/>
          </rPr>
          <t>Bao gồm QT chi hoàn trả các khoản thu năm trước 1.951</t>
        </r>
      </text>
    </comment>
    <comment ref="H57" authorId="1">
      <text>
        <r>
          <rPr>
            <b/>
            <sz val="8"/>
            <color indexed="81"/>
            <rFont val="Times New Roman"/>
            <family val="1"/>
          </rPr>
          <t>vothanhnhung:</t>
        </r>
        <r>
          <rPr>
            <sz val="8"/>
            <color indexed="81"/>
            <rFont val="Times New Roman"/>
            <family val="1"/>
          </rPr>
          <t xml:space="preserve">
Du cua Hoi CTNXP
</t>
        </r>
      </text>
    </comment>
    <comment ref="D75" authorId="0">
      <text>
        <r>
          <rPr>
            <b/>
            <sz val="9"/>
            <color indexed="81"/>
            <rFont val="Tahoma"/>
            <family val="2"/>
          </rPr>
          <t>stc:</t>
        </r>
        <r>
          <rPr>
            <sz val="9"/>
            <color indexed="81"/>
            <rFont val="Tahoma"/>
            <family val="2"/>
          </rPr>
          <t xml:space="preserve">
Đã điều chỉnh giảm 1.000 trđ KP khắc phục hậu quả thiên tai giao năm 2017 ko thực hiện được</t>
        </r>
      </text>
    </comment>
  </commentList>
</comments>
</file>

<file path=xl/comments12.xml><?xml version="1.0" encoding="utf-8"?>
<comments xmlns="http://schemas.openxmlformats.org/spreadsheetml/2006/main">
  <authors>
    <author>stc</author>
    <author>phamthichuyen</author>
  </authors>
  <commentList>
    <comment ref="E8" authorId="0">
      <text>
        <r>
          <rPr>
            <b/>
            <sz val="9"/>
            <color indexed="81"/>
            <rFont val="Tahoma"/>
            <family val="2"/>
          </rPr>
          <t>stc:</t>
        </r>
        <r>
          <rPr>
            <sz val="9"/>
            <color indexed="81"/>
            <rFont val="Tahoma"/>
            <family val="2"/>
          </rPr>
          <t xml:space="preserve">
=995.477+671+3.702</t>
        </r>
      </text>
    </comment>
    <comment ref="H8" authorId="0">
      <text>
        <r>
          <rPr>
            <b/>
            <sz val="9"/>
            <color indexed="81"/>
            <rFont val="Tahoma"/>
            <family val="2"/>
          </rPr>
          <t>stc:
Số QT này chưa bao gồm QT ghi thu ghi chi của SLĐ 187,4 trđ; QT chi hoàn trả các khoan thu năm trước 1.951</t>
        </r>
      </text>
    </comment>
    <comment ref="H9" authorId="0">
      <text>
        <r>
          <rPr>
            <b/>
            <sz val="9"/>
            <color indexed="81"/>
            <rFont val="Tahoma"/>
            <family val="2"/>
          </rPr>
          <t>stc:</t>
        </r>
        <r>
          <rPr>
            <sz val="9"/>
            <color indexed="81"/>
            <rFont val="Tahoma"/>
            <family val="2"/>
          </rPr>
          <t xml:space="preserve">
Không bao gồm 187,4 Kp ghi thu ghi chi vốn viện trợ</t>
        </r>
      </text>
    </comment>
    <comment ref="E12" authorId="1">
      <text>
        <r>
          <rPr>
            <b/>
            <sz val="8"/>
            <color indexed="81"/>
            <rFont val="Tahoma"/>
            <family val="2"/>
          </rPr>
          <t>phamthichuyen:</t>
        </r>
        <r>
          <rPr>
            <sz val="8"/>
            <color indexed="81"/>
            <rFont val="Tahoma"/>
            <family val="2"/>
          </rPr>
          <t xml:space="preserve">
Tang do Ban DT chuyen sang: 81; Ban Thi dua Khen thuong chuyen sang: 1245
SNV: 1895</t>
        </r>
      </text>
    </comment>
    <comment ref="H20" authorId="0">
      <text>
        <r>
          <rPr>
            <b/>
            <sz val="9"/>
            <color indexed="81"/>
            <rFont val="Tahoma"/>
            <family val="2"/>
          </rPr>
          <t>stc:</t>
        </r>
        <r>
          <rPr>
            <sz val="9"/>
            <color indexed="81"/>
            <rFont val="Tahoma"/>
            <family val="2"/>
          </rPr>
          <t xml:space="preserve">
Không bao gồm 187,4 trđ ghi thu ghi chi vốn viện trợ</t>
        </r>
      </text>
    </comment>
    <comment ref="H74" authorId="0">
      <text>
        <r>
          <rPr>
            <b/>
            <sz val="9"/>
            <color indexed="81"/>
            <rFont val="Tahoma"/>
            <family val="2"/>
          </rPr>
          <t>stc:</t>
        </r>
        <r>
          <rPr>
            <sz val="9"/>
            <color indexed="81"/>
            <rFont val="Tahoma"/>
            <family val="2"/>
          </rPr>
          <t xml:space="preserve">
Đc giảm 1.000 trđ</t>
        </r>
      </text>
    </comment>
  </commentList>
</comments>
</file>

<file path=xl/comments13.xml><?xml version="1.0" encoding="utf-8"?>
<comments xmlns="http://schemas.openxmlformats.org/spreadsheetml/2006/main">
  <authors>
    <author>stc</author>
  </authors>
  <commentList>
    <comment ref="S31" authorId="0">
      <text>
        <r>
          <rPr>
            <b/>
            <sz val="9"/>
            <color indexed="81"/>
            <rFont val="Tahoma"/>
            <family val="2"/>
          </rPr>
          <t>stc:</t>
        </r>
        <r>
          <rPr>
            <sz val="9"/>
            <color indexed="81"/>
            <rFont val="Tahoma"/>
            <family val="2"/>
          </rPr>
          <t xml:space="preserve">
Vốn viện trợ của Chính phủ AiLen</t>
        </r>
      </text>
    </comment>
    <comment ref="S32" authorId="0">
      <text>
        <r>
          <rPr>
            <b/>
            <sz val="9"/>
            <color indexed="81"/>
            <rFont val="Tahoma"/>
            <family val="2"/>
          </rPr>
          <t>stc:</t>
        </r>
        <r>
          <rPr>
            <sz val="9"/>
            <color indexed="81"/>
            <rFont val="Tahoma"/>
            <family val="2"/>
          </rPr>
          <t xml:space="preserve">
Vốn viện trợ của Chính phủ AiLen</t>
        </r>
      </text>
    </comment>
  </commentList>
</comments>
</file>

<file path=xl/comments14.xml><?xml version="1.0" encoding="utf-8"?>
<comments xmlns="http://schemas.openxmlformats.org/spreadsheetml/2006/main">
  <authors>
    <author>stc</author>
  </authors>
  <commentList>
    <comment ref="BA77" authorId="0">
      <text>
        <r>
          <rPr>
            <b/>
            <sz val="9"/>
            <color indexed="81"/>
            <rFont val="Tahoma"/>
            <family val="2"/>
          </rPr>
          <t>stc:</t>
        </r>
        <r>
          <rPr>
            <sz val="9"/>
            <color indexed="81"/>
            <rFont val="Tahoma"/>
            <family val="2"/>
          </rPr>
          <t xml:space="preserve">
Dự toán giao đầu năm 19.510 trđ từ nguồn CĐNSĐP năm 2017</t>
        </r>
      </text>
    </comment>
  </commentList>
</comments>
</file>

<file path=xl/comments15.xml><?xml version="1.0" encoding="utf-8"?>
<comments xmlns="http://schemas.openxmlformats.org/spreadsheetml/2006/main">
  <authors>
    <author>chuyen</author>
  </authors>
  <commentList>
    <comment ref="C195" authorId="0">
      <text>
        <r>
          <rPr>
            <b/>
            <sz val="9"/>
            <color indexed="81"/>
            <rFont val="Tahoma"/>
            <family val="2"/>
          </rPr>
          <t>chuyen:</t>
        </r>
        <r>
          <rPr>
            <sz val="9"/>
            <color indexed="81"/>
            <rFont val="Tahoma"/>
            <family val="2"/>
          </rPr>
          <t xml:space="preserve">
Bổ sung vào quyết toán 1.016 trđ, cấp lệnh chi tiền để huyện NS hoàn tạm ứng</t>
        </r>
      </text>
    </comment>
    <comment ref="CE195" authorId="0">
      <text>
        <r>
          <rPr>
            <b/>
            <sz val="9"/>
            <color indexed="81"/>
            <rFont val="Tahoma"/>
            <family val="2"/>
          </rPr>
          <t>chuyen:</t>
        </r>
        <r>
          <rPr>
            <sz val="9"/>
            <color indexed="81"/>
            <rFont val="Tahoma"/>
            <family val="2"/>
          </rPr>
          <t xml:space="preserve">
bố trí vốn để th hồi tạm ứng, hình thức cấp phát Lệnh chi tiền</t>
        </r>
      </text>
    </comment>
  </commentList>
</comments>
</file>

<file path=xl/comments16.xml><?xml version="1.0" encoding="utf-8"?>
<comments xmlns="http://schemas.openxmlformats.org/spreadsheetml/2006/main">
  <authors>
    <author>stc</author>
  </authors>
  <commentList>
    <comment ref="G7" authorId="0">
      <text>
        <r>
          <rPr>
            <b/>
            <sz val="9"/>
            <color indexed="81"/>
            <rFont val="Tahoma"/>
            <family val="2"/>
          </rPr>
          <t>stc:</t>
        </r>
        <r>
          <rPr>
            <sz val="9"/>
            <color indexed="81"/>
            <rFont val="Tahoma"/>
            <family val="2"/>
          </rPr>
          <t xml:space="preserve">
Nguồn TW bổ sung có mục tiêu</t>
        </r>
      </text>
    </comment>
    <comment ref="H7" authorId="0">
      <text>
        <r>
          <rPr>
            <b/>
            <sz val="9"/>
            <color indexed="81"/>
            <rFont val="Tahoma"/>
            <family val="2"/>
          </rPr>
          <t>stc:</t>
        </r>
        <r>
          <rPr>
            <sz val="9"/>
            <color indexed="81"/>
            <rFont val="Tahoma"/>
            <family val="2"/>
          </rPr>
          <t xml:space="preserve">
KP đã nộp trả ngân sách trung ương</t>
        </r>
      </text>
    </comment>
    <comment ref="I7" authorId="0">
      <text>
        <r>
          <rPr>
            <b/>
            <sz val="9"/>
            <color indexed="81"/>
            <rFont val="Tahoma"/>
            <charset val="1"/>
          </rPr>
          <t>stc:</t>
        </r>
        <r>
          <rPr>
            <sz val="9"/>
            <color indexed="81"/>
            <rFont val="Tahoma"/>
            <charset val="1"/>
          </rPr>
          <t xml:space="preserve">
Chưa nộp trả NSTW</t>
        </r>
      </text>
    </comment>
    <comment ref="G8" authorId="0">
      <text>
        <r>
          <rPr>
            <b/>
            <sz val="9"/>
            <color indexed="81"/>
            <rFont val="Tahoma"/>
            <family val="2"/>
          </rPr>
          <t>stc:</t>
        </r>
        <r>
          <rPr>
            <sz val="9"/>
            <color indexed="81"/>
            <rFont val="Tahoma"/>
            <family val="2"/>
          </rPr>
          <t xml:space="preserve">
Nguồn ĐP cân đối</t>
        </r>
      </text>
    </comment>
    <comment ref="H8" authorId="0">
      <text>
        <r>
          <rPr>
            <b/>
            <sz val="9"/>
            <color indexed="81"/>
            <rFont val="Tahoma"/>
            <family val="2"/>
          </rPr>
          <t>stc:</t>
        </r>
        <r>
          <rPr>
            <sz val="9"/>
            <color indexed="81"/>
            <rFont val="Tahoma"/>
            <family val="2"/>
          </rPr>
          <t xml:space="preserve">
Trích 50% quỹ dự trữ tài chính</t>
        </r>
      </text>
    </comment>
    <comment ref="H10" authorId="0">
      <text>
        <r>
          <rPr>
            <b/>
            <sz val="9"/>
            <color indexed="81"/>
            <rFont val="Tahoma"/>
            <family val="2"/>
          </rPr>
          <t>stc:</t>
        </r>
        <r>
          <rPr>
            <sz val="9"/>
            <color indexed="81"/>
            <rFont val="Tahoma"/>
            <family val="2"/>
          </rPr>
          <t xml:space="preserve">
Trích quỹ dự trữ tài chính</t>
        </r>
      </text>
    </comment>
    <comment ref="H11" authorId="0">
      <text>
        <r>
          <rPr>
            <b/>
            <sz val="9"/>
            <color indexed="81"/>
            <rFont val="Tahoma"/>
            <family val="2"/>
          </rPr>
          <t>stc:</t>
        </r>
        <r>
          <rPr>
            <sz val="9"/>
            <color indexed="81"/>
            <rFont val="Tahoma"/>
            <family val="2"/>
          </rPr>
          <t xml:space="preserve">
Chuyển vào thu NS 2018</t>
        </r>
      </text>
    </comment>
    <comment ref="C23" authorId="0">
      <text>
        <r>
          <rPr>
            <b/>
            <sz val="9"/>
            <color indexed="81"/>
            <rFont val="Tahoma"/>
            <family val="2"/>
          </rPr>
          <t>stc:</t>
        </r>
        <r>
          <rPr>
            <sz val="9"/>
            <color indexed="81"/>
            <rFont val="Tahoma"/>
            <family val="2"/>
          </rPr>
          <t xml:space="preserve">
724 trđ của Ban Dân tộc; 94 trđ của VPĐP</t>
        </r>
      </text>
    </comment>
    <comment ref="C24" authorId="0">
      <text>
        <r>
          <rPr>
            <b/>
            <sz val="9"/>
            <color indexed="81"/>
            <rFont val="Tahoma"/>
            <family val="2"/>
          </rPr>
          <t>stc:</t>
        </r>
        <r>
          <rPr>
            <sz val="9"/>
            <color indexed="81"/>
            <rFont val="Tahoma"/>
            <family val="2"/>
          </rPr>
          <t xml:space="preserve">
42 trđ của Sở Lao động; 36 trđ của Sở NN; 153 trđ của Sở GD; 1633 trđ của VPĐPXDNTM</t>
        </r>
      </text>
    </comment>
    <comment ref="C30" authorId="0">
      <text>
        <r>
          <rPr>
            <b/>
            <sz val="9"/>
            <color indexed="81"/>
            <rFont val="Tahoma"/>
          </rPr>
          <t>stc:</t>
        </r>
        <r>
          <rPr>
            <sz val="9"/>
            <color indexed="81"/>
            <rFont val="Tahoma"/>
          </rPr>
          <t xml:space="preserve">
1427-73=1354 của SGD</t>
        </r>
      </text>
    </comment>
  </commentList>
</comments>
</file>

<file path=xl/comments2.xml><?xml version="1.0" encoding="utf-8"?>
<comments xmlns="http://schemas.openxmlformats.org/spreadsheetml/2006/main">
  <authors>
    <author>hoa</author>
    <author>stc</author>
  </authors>
  <commentList>
    <comment ref="H18" authorId="0">
      <text>
        <r>
          <rPr>
            <b/>
            <sz val="9"/>
            <color indexed="81"/>
            <rFont val="Tahoma"/>
            <family val="2"/>
          </rPr>
          <t>hoa:</t>
        </r>
        <r>
          <rPr>
            <sz val="9"/>
            <color indexed="81"/>
            <rFont val="Tahoma"/>
            <family val="2"/>
          </rPr>
          <t xml:space="preserve">
cả môn bài 1,5tr</t>
        </r>
      </text>
    </comment>
    <comment ref="H65" authorId="1">
      <text>
        <r>
          <rPr>
            <b/>
            <sz val="9"/>
            <color indexed="81"/>
            <rFont val="Tahoma"/>
            <family val="2"/>
          </rPr>
          <t>stc:</t>
        </r>
        <r>
          <rPr>
            <sz val="9"/>
            <color indexed="81"/>
            <rFont val="Tahoma"/>
            <family val="2"/>
          </rPr>
          <t xml:space="preserve">
Tăng thêm 32.411 trđ so với ban đầu do BTC bổ sung có mục tiêu KP cải cách tiền lương</t>
        </r>
      </text>
    </comment>
    <comment ref="H66" authorId="1">
      <text>
        <r>
          <rPr>
            <b/>
            <sz val="9"/>
            <color indexed="81"/>
            <rFont val="Tahoma"/>
            <family val="2"/>
          </rPr>
          <t>stc:</t>
        </r>
        <r>
          <rPr>
            <sz val="9"/>
            <color indexed="81"/>
            <rFont val="Tahoma"/>
            <family val="2"/>
          </rPr>
          <t xml:space="preserve">
Tăng thêm 32.411trđ so với ban đầu do BTC bổ sung có mục tiêu KP CCTL năm 2017</t>
        </r>
      </text>
    </comment>
    <comment ref="H69" authorId="1">
      <text>
        <r>
          <rPr>
            <b/>
            <sz val="9"/>
            <color indexed="81"/>
            <rFont val="Tahoma"/>
            <family val="2"/>
          </rPr>
          <t>stc:
Bao gồm</t>
        </r>
        <r>
          <rPr>
            <sz val="9"/>
            <color indexed="81"/>
            <rFont val="Tahoma"/>
            <family val="2"/>
          </rPr>
          <t xml:space="preserve"> 1,988 dư tại đơn vị 2016 chuyển sang 2017</t>
        </r>
      </text>
    </comment>
  </commentList>
</comments>
</file>

<file path=xl/comments3.xml><?xml version="1.0" encoding="utf-8"?>
<comments xmlns="http://schemas.openxmlformats.org/spreadsheetml/2006/main">
  <authors>
    <author>stc</author>
  </authors>
  <commentList>
    <comment ref="C28" authorId="0">
      <text>
        <r>
          <rPr>
            <b/>
            <sz val="9"/>
            <color indexed="81"/>
            <rFont val="Tahoma"/>
            <family val="2"/>
          </rPr>
          <t>stc:</t>
        </r>
        <r>
          <rPr>
            <sz val="9"/>
            <color indexed="81"/>
            <rFont val="Tahoma"/>
            <family val="2"/>
          </rPr>
          <t xml:space="preserve">
=2.787.822+70.028 (SNCTMTQG) + 4.161 (BS có mục tiêu DT đầu năm)</t>
        </r>
      </text>
    </comment>
    <comment ref="D28" authorId="0">
      <text>
        <r>
          <rPr>
            <b/>
            <sz val="9"/>
            <color indexed="81"/>
            <rFont val="Tahoma"/>
            <family val="2"/>
          </rPr>
          <t>stc:</t>
        </r>
        <r>
          <rPr>
            <sz val="9"/>
            <color indexed="81"/>
            <rFont val="Tahoma"/>
            <family val="2"/>
          </rPr>
          <t xml:space="preserve">
Chênh lệch 18,520 do NS tỉnh được chuyển nguồn từ năm trước sang 5.520 trđ, chênh lệch thu NSNN trên địa bàn so với BTC giao: 600.000 - 586.000 =14.000trđ (trong đó chênh chi đầu tư PT 1.000 trđ)</t>
        </r>
      </text>
    </comment>
    <comment ref="F44" authorId="0">
      <text>
        <r>
          <rPr>
            <b/>
            <sz val="9"/>
            <color indexed="81"/>
            <rFont val="Tahoma"/>
            <family val="2"/>
          </rPr>
          <t>stc:</t>
        </r>
        <r>
          <rPr>
            <sz val="9"/>
            <color indexed="81"/>
            <rFont val="Tahoma"/>
            <family val="2"/>
          </rPr>
          <t xml:space="preserve">
Bao gồm 1.988 trđ dư tạm ứng ĐTXDCB từ năm 2003 trở về trước STC theo dõi + 32.411trđ BTC bổ sung có mục tiêu KP CCTL năm 2017 chuyển nguồn sang năm 2018 để thực hiện</t>
        </r>
      </text>
    </comment>
    <comment ref="E51" authorId="0">
      <text>
        <r>
          <rPr>
            <b/>
            <sz val="9"/>
            <color indexed="81"/>
            <rFont val="Tahoma"/>
            <family val="2"/>
          </rPr>
          <t>stc:</t>
        </r>
        <r>
          <rPr>
            <sz val="9"/>
            <color indexed="81"/>
            <rFont val="Tahoma"/>
            <family val="2"/>
          </rPr>
          <t xml:space="preserve">
Chênh lệch so với tổng chi NSĐP trên tabmis: (7.561.991+1.988) -7.406.279 =157.700 trđ chi trả nợ gốc vay.</t>
        </r>
      </text>
    </comment>
    <comment ref="F51" authorId="0">
      <text>
        <r>
          <rPr>
            <b/>
            <sz val="9"/>
            <color indexed="81"/>
            <rFont val="Tahoma"/>
            <family val="2"/>
          </rPr>
          <t>stc:</t>
        </r>
        <r>
          <rPr>
            <sz val="9"/>
            <color indexed="81"/>
            <rFont val="Tahoma"/>
            <family val="2"/>
          </rPr>
          <t xml:space="preserve">
Chưa bao gồm 157.700 chi trả nợ gốc (4.314.684 + 157.700) = 4.472.384 trđ</t>
        </r>
      </text>
    </comment>
  </commentList>
</comments>
</file>

<file path=xl/comments4.xml><?xml version="1.0" encoding="utf-8"?>
<comments xmlns="http://schemas.openxmlformats.org/spreadsheetml/2006/main">
  <authors>
    <author>stc</author>
  </authors>
  <commentList>
    <comment ref="C9" authorId="0">
      <text>
        <r>
          <rPr>
            <b/>
            <sz val="9"/>
            <color indexed="81"/>
            <rFont val="Tahoma"/>
            <family val="2"/>
          </rPr>
          <t>stc:</t>
        </r>
        <r>
          <rPr>
            <sz val="9"/>
            <color indexed="81"/>
            <rFont val="Tahoma"/>
            <family val="2"/>
          </rPr>
          <t xml:space="preserve">
Khớp dự toán giao đầu năm tại biểu số 17 QĐ số 2088/QĐ-UBND ngày 08/12/2017 của UBND tỉnh</t>
        </r>
      </text>
    </comment>
    <comment ref="C11" authorId="0">
      <text>
        <r>
          <rPr>
            <b/>
            <sz val="9"/>
            <color indexed="81"/>
            <rFont val="Tahoma"/>
            <family val="2"/>
          </rPr>
          <t>stc:</t>
        </r>
        <r>
          <rPr>
            <sz val="9"/>
            <color indexed="81"/>
            <rFont val="Tahoma"/>
            <family val="2"/>
          </rPr>
          <t xml:space="preserve">
Bao gồm thuế tài nguyên, thu khác, thu cấp quyền khai thác khoáng sản, thu XSKT, phí lệ phí, thuế bảo vệ môi trường, thu khác NS, thu cố định tại xã, 59.670 trđ chênh lệch giữa thu nội địa trên địa bàn 595.000 - thu NSĐP hưởng theo phân cấp 535.330 trđ.</t>
        </r>
      </text>
    </comment>
    <comment ref="C12" authorId="0">
      <text>
        <r>
          <rPr>
            <b/>
            <sz val="9"/>
            <color indexed="81"/>
            <rFont val="Tahoma"/>
            <family val="2"/>
          </rPr>
          <t>stc:</t>
        </r>
        <r>
          <rPr>
            <sz val="9"/>
            <color indexed="81"/>
            <rFont val="Tahoma"/>
            <family val="2"/>
          </rPr>
          <t xml:space="preserve">
Bao gồm thuế GTGT, thuế TNDN, lệ phí trước bạ, thuế sử dụng đất NN, thu tiền sử dụng đất, thuế sử dụng đất phi nông nghiệp, tiền cho thuê mặt nước, thuế thu nhập cá nhân</t>
        </r>
      </text>
    </comment>
    <comment ref="C22" authorId="0">
      <text>
        <r>
          <rPr>
            <b/>
            <sz val="9"/>
            <color indexed="81"/>
            <rFont val="Tahoma"/>
            <family val="2"/>
          </rPr>
          <t>stc:</t>
        </r>
        <r>
          <rPr>
            <sz val="9"/>
            <color indexed="81"/>
            <rFont val="Tahoma"/>
            <family val="2"/>
          </rPr>
          <t xml:space="preserve">
Khớp dự toán giao đầu năm</t>
        </r>
      </text>
    </comment>
    <comment ref="C23" authorId="0">
      <text>
        <r>
          <rPr>
            <b/>
            <sz val="9"/>
            <color indexed="81"/>
            <rFont val="Tahoma"/>
            <family val="2"/>
          </rPr>
          <t>stc:</t>
        </r>
        <r>
          <rPr>
            <sz val="9"/>
            <color indexed="81"/>
            <rFont val="Tahoma"/>
            <family val="2"/>
          </rPr>
          <t xml:space="preserve">
Khớp với DT giao tại QĐ 2088/QĐ-UBND ngày 08/12/2017.</t>
        </r>
      </text>
    </comment>
    <comment ref="D28" authorId="0">
      <text>
        <r>
          <rPr>
            <b/>
            <sz val="9"/>
            <color indexed="81"/>
            <rFont val="Tahoma"/>
            <family val="2"/>
          </rPr>
          <t>stc:</t>
        </r>
        <r>
          <rPr>
            <sz val="9"/>
            <color indexed="81"/>
            <rFont val="Tahoma"/>
            <family val="2"/>
          </rPr>
          <t xml:space="preserve">
Dự phòng ngân sách đã được QT trong các lĩnh vực chi</t>
        </r>
      </text>
    </comment>
    <comment ref="D35" authorId="0">
      <text>
        <r>
          <rPr>
            <b/>
            <sz val="9"/>
            <color indexed="81"/>
            <rFont val="Tahoma"/>
            <family val="2"/>
          </rPr>
          <t>stc:</t>
        </r>
        <r>
          <rPr>
            <sz val="9"/>
            <color indexed="81"/>
            <rFont val="Tahoma"/>
            <family val="2"/>
          </rPr>
          <t xml:space="preserve">
OK </t>
        </r>
      </text>
    </comment>
  </commentList>
</comments>
</file>

<file path=xl/comments5.xml><?xml version="1.0" encoding="utf-8"?>
<comments xmlns="http://schemas.openxmlformats.org/spreadsheetml/2006/main">
  <authors>
    <author>stc</author>
  </authors>
  <commentList>
    <comment ref="D20" authorId="0">
      <text>
        <r>
          <rPr>
            <b/>
            <sz val="9"/>
            <color indexed="81"/>
            <rFont val="Tahoma"/>
            <family val="2"/>
          </rPr>
          <t>stc:</t>
        </r>
        <r>
          <rPr>
            <sz val="9"/>
            <color indexed="81"/>
            <rFont val="Tahoma"/>
            <family val="2"/>
          </rPr>
          <t xml:space="preserve">
Ko bao gồm 157.700 chi trả nợ gốc</t>
        </r>
      </text>
    </comment>
    <comment ref="D21" authorId="0">
      <text>
        <r>
          <rPr>
            <b/>
            <sz val="9"/>
            <color indexed="81"/>
            <rFont val="Tahoma"/>
            <family val="2"/>
          </rPr>
          <t>stc:</t>
        </r>
        <r>
          <rPr>
            <sz val="9"/>
            <color indexed="81"/>
            <rFont val="Tahoma"/>
            <family val="2"/>
          </rPr>
          <t xml:space="preserve">
Phải trừ đi 7.650 trđ trùng với mục 3</t>
        </r>
      </text>
    </comment>
    <comment ref="C23" authorId="0">
      <text>
        <r>
          <rPr>
            <b/>
            <sz val="9"/>
            <color indexed="81"/>
            <rFont val="Tahoma"/>
            <family val="2"/>
          </rPr>
          <t>stc:</t>
        </r>
        <r>
          <rPr>
            <sz val="9"/>
            <color indexed="81"/>
            <rFont val="Tahoma"/>
            <family val="2"/>
          </rPr>
          <t xml:space="preserve">
Giao tại QĐ 2033</t>
        </r>
      </text>
    </comment>
    <comment ref="C24" authorId="0">
      <text>
        <r>
          <rPr>
            <b/>
            <sz val="9"/>
            <color indexed="81"/>
            <rFont val="Tahoma"/>
            <family val="2"/>
          </rPr>
          <t>stc:</t>
        </r>
        <r>
          <rPr>
            <sz val="9"/>
            <color indexed="81"/>
            <rFont val="Tahoma"/>
            <family val="2"/>
          </rPr>
          <t xml:space="preserve">
= 5.728 giao tại QĐ 2033 + 285.084 vốn CTMTQG</t>
        </r>
      </text>
    </comment>
    <comment ref="C31" authorId="0">
      <text>
        <r>
          <rPr>
            <b/>
            <sz val="9"/>
            <color indexed="81"/>
            <rFont val="Tahoma"/>
            <family val="2"/>
          </rPr>
          <t>stc:</t>
        </r>
        <r>
          <rPr>
            <sz val="9"/>
            <color indexed="81"/>
            <rFont val="Tahoma"/>
            <family val="2"/>
          </rPr>
          <t xml:space="preserve">
Giao tại QĐ 2033</t>
        </r>
      </text>
    </comment>
  </commentList>
</comments>
</file>

<file path=xl/comments6.xml><?xml version="1.0" encoding="utf-8"?>
<comments xmlns="http://schemas.openxmlformats.org/spreadsheetml/2006/main">
  <authors>
    <author>stc</author>
  </authors>
  <commentList>
    <comment ref="C8" authorId="0">
      <text>
        <r>
          <rPr>
            <b/>
            <sz val="9"/>
            <color indexed="81"/>
            <rFont val="Tahoma"/>
            <family val="2"/>
          </rPr>
          <t>stc:</t>
        </r>
        <r>
          <rPr>
            <sz val="9"/>
            <color indexed="81"/>
            <rFont val="Tahoma"/>
            <family val="2"/>
          </rPr>
          <t xml:space="preserve">
Khớp với DT giao đầu năm</t>
        </r>
      </text>
    </comment>
    <comment ref="D8" authorId="0">
      <text>
        <r>
          <rPr>
            <b/>
            <sz val="9"/>
            <color indexed="81"/>
            <rFont val="Tahoma"/>
            <family val="2"/>
          </rPr>
          <t>stc:</t>
        </r>
        <r>
          <rPr>
            <sz val="9"/>
            <color indexed="81"/>
            <rFont val="Tahoma"/>
            <family val="2"/>
          </rPr>
          <t xml:space="preserve">
Chưa bao gồm 157.700 chi trả nợ gốc vay, 2.044.591 chi bổ sung cân đối NS cấp tỉnh cho cấp huyện, 623.352 bs cân đối cấp huyện cho cấp xã</t>
        </r>
      </text>
    </comment>
    <comment ref="C25" authorId="0">
      <text>
        <r>
          <rPr>
            <b/>
            <sz val="9"/>
            <color indexed="81"/>
            <rFont val="Tahoma"/>
            <family val="2"/>
          </rPr>
          <t>stc:</t>
        </r>
        <r>
          <rPr>
            <sz val="9"/>
            <color indexed="81"/>
            <rFont val="Tahoma"/>
            <family val="2"/>
          </rPr>
          <t xml:space="preserve">
DT nằm trong chi ĐTPT</t>
        </r>
      </text>
    </comment>
  </commentList>
</comments>
</file>

<file path=xl/comments7.xml><?xml version="1.0" encoding="utf-8"?>
<comments xmlns="http://schemas.openxmlformats.org/spreadsheetml/2006/main">
  <authors>
    <author>stc</author>
  </authors>
  <commentList>
    <comment ref="M8" authorId="0">
      <text>
        <r>
          <rPr>
            <b/>
            <sz val="9"/>
            <color indexed="81"/>
            <rFont val="Tahoma"/>
            <family val="2"/>
          </rPr>
          <t>stc:</t>
        </r>
        <r>
          <rPr>
            <sz val="9"/>
            <color indexed="81"/>
            <rFont val="Tahoma"/>
            <family val="2"/>
          </rPr>
          <t xml:space="preserve">
OK</t>
        </r>
      </text>
    </comment>
    <comment ref="N8" authorId="0">
      <text>
        <r>
          <rPr>
            <b/>
            <sz val="9"/>
            <color indexed="81"/>
            <rFont val="Tahoma"/>
            <family val="2"/>
          </rPr>
          <t>stc:</t>
        </r>
        <r>
          <rPr>
            <sz val="9"/>
            <color indexed="81"/>
            <rFont val="Tahoma"/>
            <family val="2"/>
          </rPr>
          <t xml:space="preserve">
ok</t>
        </r>
      </text>
    </comment>
    <comment ref="C9" authorId="0">
      <text>
        <r>
          <rPr>
            <b/>
            <sz val="9"/>
            <color indexed="81"/>
            <rFont val="Tahoma"/>
            <family val="2"/>
          </rPr>
          <t>stc:</t>
        </r>
        <r>
          <rPr>
            <sz val="9"/>
            <color indexed="81"/>
            <rFont val="Tahoma"/>
            <family val="2"/>
          </rPr>
          <t xml:space="preserve">
Khớp với DT giao đầu năm</t>
        </r>
      </text>
    </comment>
    <comment ref="E9" authorId="0">
      <text>
        <r>
          <rPr>
            <b/>
            <sz val="9"/>
            <color indexed="81"/>
            <rFont val="Tahoma"/>
            <family val="2"/>
          </rPr>
          <t>stc:</t>
        </r>
        <r>
          <rPr>
            <sz val="9"/>
            <color indexed="81"/>
            <rFont val="Tahoma"/>
            <family val="2"/>
          </rPr>
          <t xml:space="preserve">
=2.170.074 + 282.393 (DT tỉnh điều hành phân về cho Huyện thực hiện)</t>
        </r>
      </text>
    </comment>
    <comment ref="F9" authorId="0">
      <text>
        <r>
          <rPr>
            <b/>
            <sz val="9"/>
            <color indexed="81"/>
            <rFont val="Tahoma"/>
            <family val="2"/>
          </rPr>
          <t>stc:</t>
        </r>
        <r>
          <rPr>
            <sz val="9"/>
            <color indexed="81"/>
            <rFont val="Tahoma"/>
            <family val="2"/>
          </rPr>
          <t xml:space="preserve">
Ko bao gồm 36.700 trđ trả nợ gốc vay, 3.065.737 trđ chi bổ sung cho NS cấp dưới</t>
        </r>
      </text>
    </comment>
    <comment ref="G9" authorId="0">
      <text>
        <r>
          <rPr>
            <b/>
            <sz val="9"/>
            <color indexed="81"/>
            <rFont val="Tahoma"/>
            <family val="2"/>
          </rPr>
          <t>stc:</t>
        </r>
        <r>
          <rPr>
            <sz val="9"/>
            <color indexed="81"/>
            <rFont val="Tahoma"/>
            <family val="2"/>
          </rPr>
          <t xml:space="preserve">
Chưa bao gồm 36.700 trđ chi trả nợ gốc vay trong nước, 2.289.807 trđ chi bổ sung cho ngân sách cấp dưới.</t>
        </r>
      </text>
    </comment>
    <comment ref="H9" authorId="0">
      <text>
        <r>
          <rPr>
            <b/>
            <sz val="9"/>
            <color indexed="81"/>
            <rFont val="Tahoma"/>
            <family val="2"/>
          </rPr>
          <t>stc:</t>
        </r>
        <r>
          <rPr>
            <sz val="9"/>
            <color indexed="81"/>
            <rFont val="Tahoma"/>
            <family val="2"/>
          </rPr>
          <t xml:space="preserve">
Chưa có 775.931 trđ chi bs cho NS cấp dưới</t>
        </r>
      </text>
    </comment>
    <comment ref="M9" authorId="0">
      <text>
        <r>
          <rPr>
            <b/>
            <sz val="9"/>
            <color indexed="81"/>
            <rFont val="Tahoma"/>
            <family val="2"/>
          </rPr>
          <t>stc:</t>
        </r>
        <r>
          <rPr>
            <sz val="9"/>
            <color indexed="81"/>
            <rFont val="Tahoma"/>
            <family val="2"/>
          </rPr>
          <t xml:space="preserve">
OK</t>
        </r>
      </text>
    </comment>
    <comment ref="N9" authorId="0">
      <text>
        <r>
          <rPr>
            <b/>
            <sz val="9"/>
            <color indexed="81"/>
            <rFont val="Tahoma"/>
            <family val="2"/>
          </rPr>
          <t>stc:</t>
        </r>
        <r>
          <rPr>
            <sz val="9"/>
            <color indexed="81"/>
            <rFont val="Tahoma"/>
            <family val="2"/>
          </rPr>
          <t xml:space="preserve">
ok</t>
        </r>
      </text>
    </comment>
    <comment ref="C10" authorId="0">
      <text>
        <r>
          <rPr>
            <b/>
            <sz val="9"/>
            <color indexed="81"/>
            <rFont val="Tahoma"/>
            <family val="2"/>
          </rPr>
          <t>stc:</t>
        </r>
        <r>
          <rPr>
            <sz val="9"/>
            <color indexed="81"/>
            <rFont val="Tahoma"/>
            <family val="2"/>
          </rPr>
          <t xml:space="preserve">
Khớp với DT giao đầu năm</t>
        </r>
      </text>
    </comment>
    <comment ref="D10" authorId="0">
      <text>
        <r>
          <rPr>
            <b/>
            <sz val="9"/>
            <color indexed="81"/>
            <rFont val="Tahoma"/>
            <family val="2"/>
          </rPr>
          <t>stc:</t>
        </r>
        <r>
          <rPr>
            <sz val="9"/>
            <color indexed="81"/>
            <rFont val="Tahoma"/>
            <family val="2"/>
          </rPr>
          <t xml:space="preserve">
Khớp với DT giao đầu năm</t>
        </r>
      </text>
    </comment>
    <comment ref="E10" authorId="0">
      <text>
        <r>
          <rPr>
            <b/>
            <sz val="9"/>
            <color indexed="81"/>
            <rFont val="Tahoma"/>
            <family val="2"/>
          </rPr>
          <t>stc:</t>
        </r>
        <r>
          <rPr>
            <sz val="9"/>
            <color indexed="81"/>
            <rFont val="Tahoma"/>
            <family val="2"/>
          </rPr>
          <t xml:space="preserve">
Khớp với DT giao đầu năm</t>
        </r>
      </text>
    </comment>
    <comment ref="M10" authorId="0">
      <text>
        <r>
          <rPr>
            <b/>
            <sz val="9"/>
            <color indexed="81"/>
            <rFont val="Tahoma"/>
            <family val="2"/>
          </rPr>
          <t>stc:</t>
        </r>
        <r>
          <rPr>
            <sz val="9"/>
            <color indexed="81"/>
            <rFont val="Tahoma"/>
            <family val="2"/>
          </rPr>
          <t xml:space="preserve">
OK</t>
        </r>
      </text>
    </comment>
    <comment ref="N10" authorId="0">
      <text>
        <r>
          <rPr>
            <b/>
            <sz val="9"/>
            <color indexed="81"/>
            <rFont val="Tahoma"/>
            <family val="2"/>
          </rPr>
          <t>stc:</t>
        </r>
        <r>
          <rPr>
            <sz val="9"/>
            <color indexed="81"/>
            <rFont val="Tahoma"/>
            <family val="2"/>
          </rPr>
          <t xml:space="preserve">
ok</t>
        </r>
      </text>
    </comment>
    <comment ref="M11" authorId="0">
      <text>
        <r>
          <rPr>
            <b/>
            <sz val="9"/>
            <color indexed="81"/>
            <rFont val="Tahoma"/>
            <family val="2"/>
          </rPr>
          <t>stc:</t>
        </r>
        <r>
          <rPr>
            <sz val="9"/>
            <color indexed="81"/>
            <rFont val="Tahoma"/>
            <family val="2"/>
          </rPr>
          <t xml:space="preserve">
OK</t>
        </r>
      </text>
    </comment>
    <comment ref="D12" authorId="0">
      <text>
        <r>
          <rPr>
            <b/>
            <sz val="9"/>
            <color indexed="81"/>
            <rFont val="Tahoma"/>
            <family val="2"/>
          </rPr>
          <t>stc:</t>
        </r>
        <r>
          <rPr>
            <sz val="9"/>
            <color indexed="81"/>
            <rFont val="Tahoma"/>
            <family val="2"/>
          </rPr>
          <t xml:space="preserve">
Bao gồm cả 31.800 trđ dự toán tỉnh điều hành chưa phân bổ từ đầu năm</t>
        </r>
      </text>
    </comment>
    <comment ref="M12" authorId="0">
      <text>
        <r>
          <rPr>
            <b/>
            <sz val="9"/>
            <color indexed="81"/>
            <rFont val="Tahoma"/>
            <family val="2"/>
          </rPr>
          <t>stc:</t>
        </r>
        <r>
          <rPr>
            <sz val="9"/>
            <color indexed="81"/>
            <rFont val="Tahoma"/>
            <family val="2"/>
          </rPr>
          <t xml:space="preserve">
ok</t>
        </r>
      </text>
    </comment>
    <comment ref="M13" authorId="0">
      <text>
        <r>
          <rPr>
            <b/>
            <sz val="9"/>
            <color indexed="81"/>
            <rFont val="Tahoma"/>
            <family val="2"/>
          </rPr>
          <t>stc:</t>
        </r>
        <r>
          <rPr>
            <sz val="9"/>
            <color indexed="81"/>
            <rFont val="Tahoma"/>
            <family val="2"/>
          </rPr>
          <t xml:space="preserve">
OK</t>
        </r>
      </text>
    </comment>
    <comment ref="N13" authorId="0">
      <text>
        <r>
          <rPr>
            <b/>
            <sz val="9"/>
            <color indexed="81"/>
            <rFont val="Tahoma"/>
            <family val="2"/>
          </rPr>
          <t>stc:</t>
        </r>
        <r>
          <rPr>
            <sz val="9"/>
            <color indexed="81"/>
            <rFont val="Tahoma"/>
            <family val="2"/>
          </rPr>
          <t xml:space="preserve">
ok</t>
        </r>
      </text>
    </comment>
    <comment ref="M14" authorId="0">
      <text>
        <r>
          <rPr>
            <b/>
            <sz val="9"/>
            <color indexed="81"/>
            <rFont val="Tahoma"/>
            <family val="2"/>
          </rPr>
          <t>stc:</t>
        </r>
        <r>
          <rPr>
            <sz val="9"/>
            <color indexed="81"/>
            <rFont val="Tahoma"/>
            <family val="2"/>
          </rPr>
          <t xml:space="preserve">
OK</t>
        </r>
      </text>
    </comment>
    <comment ref="N14" authorId="0">
      <text>
        <r>
          <rPr>
            <b/>
            <sz val="9"/>
            <color indexed="81"/>
            <rFont val="Tahoma"/>
            <family val="2"/>
          </rPr>
          <t>stc:</t>
        </r>
        <r>
          <rPr>
            <sz val="9"/>
            <color indexed="81"/>
            <rFont val="Tahoma"/>
            <family val="2"/>
          </rPr>
          <t xml:space="preserve">
ok</t>
        </r>
      </text>
    </comment>
    <comment ref="M16" authorId="0">
      <text>
        <r>
          <rPr>
            <b/>
            <sz val="9"/>
            <color indexed="81"/>
            <rFont val="Tahoma"/>
            <family val="2"/>
          </rPr>
          <t>stc:</t>
        </r>
        <r>
          <rPr>
            <sz val="9"/>
            <color indexed="81"/>
            <rFont val="Tahoma"/>
            <family val="2"/>
          </rPr>
          <t xml:space="preserve">
OK</t>
        </r>
      </text>
    </comment>
    <comment ref="N16" authorId="0">
      <text>
        <r>
          <rPr>
            <b/>
            <sz val="9"/>
            <color indexed="81"/>
            <rFont val="Tahoma"/>
            <family val="2"/>
          </rPr>
          <t>stc:</t>
        </r>
        <r>
          <rPr>
            <sz val="9"/>
            <color indexed="81"/>
            <rFont val="Tahoma"/>
            <family val="2"/>
          </rPr>
          <t xml:space="preserve">
OK</t>
        </r>
      </text>
    </comment>
    <comment ref="C21" authorId="0">
      <text>
        <r>
          <rPr>
            <b/>
            <sz val="9"/>
            <color indexed="81"/>
            <rFont val="Tahoma"/>
            <family val="2"/>
          </rPr>
          <t>stc:</t>
        </r>
        <r>
          <rPr>
            <sz val="9"/>
            <color indexed="81"/>
            <rFont val="Tahoma"/>
            <family val="2"/>
          </rPr>
          <t xml:space="preserve">
Khớp với DT giao đầu năm</t>
        </r>
      </text>
    </comment>
    <comment ref="C27" authorId="0">
      <text>
        <r>
          <rPr>
            <b/>
            <sz val="9"/>
            <color indexed="81"/>
            <rFont val="Tahoma"/>
            <family val="2"/>
          </rPr>
          <t>stc:</t>
        </r>
        <r>
          <rPr>
            <sz val="9"/>
            <color indexed="81"/>
            <rFont val="Tahoma"/>
            <family val="2"/>
          </rPr>
          <t xml:space="preserve">
Khớp với DT giao đầu năm</t>
        </r>
      </text>
    </comment>
    <comment ref="C30" authorId="0">
      <text>
        <r>
          <rPr>
            <b/>
            <sz val="9"/>
            <color indexed="81"/>
            <rFont val="Tahoma"/>
            <family val="2"/>
          </rPr>
          <t>stc:</t>
        </r>
        <r>
          <rPr>
            <sz val="9"/>
            <color indexed="81"/>
            <rFont val="Tahoma"/>
            <family val="2"/>
          </rPr>
          <t xml:space="preserve">
Khớp với DT giao đầu năm</t>
        </r>
      </text>
    </comment>
    <comment ref="C31" authorId="0">
      <text>
        <r>
          <rPr>
            <b/>
            <sz val="9"/>
            <color indexed="81"/>
            <rFont val="Tahoma"/>
            <family val="2"/>
          </rPr>
          <t>stc:</t>
        </r>
        <r>
          <rPr>
            <sz val="9"/>
            <color indexed="81"/>
            <rFont val="Tahoma"/>
            <family val="2"/>
          </rPr>
          <t xml:space="preserve">
Khớp với DT giao đầu năm</t>
        </r>
      </text>
    </comment>
    <comment ref="C38" authorId="0">
      <text>
        <r>
          <rPr>
            <b/>
            <sz val="9"/>
            <color indexed="81"/>
            <rFont val="Tahoma"/>
            <family val="2"/>
          </rPr>
          <t>stc:</t>
        </r>
        <r>
          <rPr>
            <sz val="9"/>
            <color indexed="81"/>
            <rFont val="Tahoma"/>
            <family val="2"/>
          </rPr>
          <t xml:space="preserve">
Khớp với DT giao đầu năm</t>
        </r>
      </text>
    </comment>
    <comment ref="B67" authorId="0">
      <text>
        <r>
          <rPr>
            <b/>
            <sz val="9"/>
            <color indexed="81"/>
            <rFont val="Tahoma"/>
            <family val="2"/>
          </rPr>
          <t>stc:</t>
        </r>
        <r>
          <rPr>
            <sz val="9"/>
            <color indexed="81"/>
            <rFont val="Tahoma"/>
            <family val="2"/>
          </rPr>
          <t xml:space="preserve">
Chính sách giao trong cân đối đầu năm</t>
        </r>
      </text>
    </comment>
    <comment ref="G87" authorId="0">
      <text>
        <r>
          <rPr>
            <b/>
            <sz val="9"/>
            <color indexed="81"/>
            <rFont val="Tahoma"/>
            <family val="2"/>
          </rPr>
          <t>stc:</t>
        </r>
        <r>
          <rPr>
            <sz val="9"/>
            <color indexed="81"/>
            <rFont val="Tahoma"/>
            <family val="2"/>
          </rPr>
          <t xml:space="preserve">
VQGBB+Cty Lâm nghiệp</t>
        </r>
      </text>
    </comment>
  </commentList>
</comments>
</file>

<file path=xl/comments8.xml><?xml version="1.0" encoding="utf-8"?>
<comments xmlns="http://schemas.openxmlformats.org/spreadsheetml/2006/main">
  <authors>
    <author>stc</author>
  </authors>
  <commentList>
    <comment ref="F8" authorId="0">
      <text>
        <r>
          <rPr>
            <b/>
            <sz val="9"/>
            <color indexed="81"/>
            <rFont val="Tahoma"/>
            <family val="2"/>
          </rPr>
          <t>stc:</t>
        </r>
        <r>
          <rPr>
            <sz val="9"/>
            <color indexed="81"/>
            <rFont val="Tahoma"/>
            <family val="2"/>
          </rPr>
          <t xml:space="preserve">
Ko bao gồm 2.667.943 chi chuyển giao NS các cấp</t>
        </r>
      </text>
    </comment>
    <comment ref="G8" authorId="0">
      <text>
        <r>
          <rPr>
            <b/>
            <sz val="9"/>
            <color indexed="81"/>
            <rFont val="Tahoma"/>
            <family val="2"/>
          </rPr>
          <t>stc:</t>
        </r>
        <r>
          <rPr>
            <sz val="9"/>
            <color indexed="81"/>
            <rFont val="Tahoma"/>
            <family val="2"/>
          </rPr>
          <t xml:space="preserve">
Chưa bao gồm 2.044.591trđ chi bs cho NS cấp dưới</t>
        </r>
      </text>
    </comment>
    <comment ref="H8" authorId="0">
      <text>
        <r>
          <rPr>
            <b/>
            <sz val="9"/>
            <color indexed="81"/>
            <rFont val="Tahoma"/>
            <family val="2"/>
          </rPr>
          <t>stc:</t>
        </r>
        <r>
          <rPr>
            <sz val="9"/>
            <color indexed="81"/>
            <rFont val="Tahoma"/>
            <family val="2"/>
          </rPr>
          <t xml:space="preserve">
Chưa bao gồm 623.352 trđ chi bs cho ngân sách cấp dưới.</t>
        </r>
      </text>
    </comment>
    <comment ref="C10" authorId="0">
      <text>
        <r>
          <rPr>
            <b/>
            <sz val="9"/>
            <color indexed="81"/>
            <rFont val="Tahoma"/>
            <family val="2"/>
          </rPr>
          <t>stc:</t>
        </r>
        <r>
          <rPr>
            <sz val="9"/>
            <color indexed="81"/>
            <rFont val="Tahoma"/>
            <family val="2"/>
          </rPr>
          <t xml:space="preserve">
=321.470+105.521+176.863-1.800-19.510</t>
        </r>
      </text>
    </comment>
    <comment ref="E11" authorId="0">
      <text>
        <r>
          <rPr>
            <b/>
            <sz val="9"/>
            <color indexed="81"/>
            <rFont val="Tahoma"/>
            <family val="2"/>
          </rPr>
          <t>stc:</t>
        </r>
        <r>
          <rPr>
            <sz val="9"/>
            <color indexed="81"/>
            <rFont val="Tahoma"/>
            <family val="2"/>
          </rPr>
          <t xml:space="preserve">
Ko bao gồm 19.510 trđ DT CĐNS cấp tỉnh chuyển cho huyện Bạch Thông để hỗ trợ XDNTM năm 2017</t>
        </r>
      </text>
    </comment>
    <comment ref="C38" authorId="0">
      <text>
        <r>
          <rPr>
            <b/>
            <sz val="9"/>
            <color indexed="81"/>
            <rFont val="Tahoma"/>
            <family val="2"/>
          </rPr>
          <t>stc:</t>
        </r>
        <r>
          <rPr>
            <sz val="9"/>
            <color indexed="81"/>
            <rFont val="Tahoma"/>
            <family val="2"/>
          </rPr>
          <t xml:space="preserve">
=2.806.342+4.161</t>
        </r>
      </text>
    </comment>
    <comment ref="D38" authorId="0">
      <text>
        <r>
          <rPr>
            <b/>
            <sz val="9"/>
            <color indexed="81"/>
            <rFont val="Tahoma"/>
            <family val="2"/>
          </rPr>
          <t>stc:</t>
        </r>
        <r>
          <rPr>
            <sz val="9"/>
            <color indexed="81"/>
            <rFont val="Tahoma"/>
            <family val="2"/>
          </rPr>
          <t xml:space="preserve">
Bao gồm cả DT 56.620 trđ tỉnh điều hành chưa phân bổ</t>
        </r>
      </text>
    </comment>
    <comment ref="F52" authorId="0">
      <text>
        <r>
          <rPr>
            <b/>
            <sz val="9"/>
            <color indexed="81"/>
            <rFont val="Tahoma"/>
            <family val="2"/>
          </rPr>
          <t>stc:</t>
        </r>
        <r>
          <rPr>
            <sz val="9"/>
            <color indexed="81"/>
            <rFont val="Tahoma"/>
            <family val="2"/>
          </rPr>
          <t xml:space="preserve">
QT vào chi đầu tư phát triển</t>
        </r>
      </text>
    </comment>
    <comment ref="C63" authorId="0">
      <text>
        <r>
          <rPr>
            <b/>
            <sz val="9"/>
            <color indexed="81"/>
            <rFont val="Tahoma"/>
            <family val="2"/>
          </rPr>
          <t>stc:</t>
        </r>
        <r>
          <rPr>
            <sz val="9"/>
            <color indexed="81"/>
            <rFont val="Tahoma"/>
            <family val="2"/>
          </rPr>
          <t xml:space="preserve">
bao gồm 19.510 vốn đầu tư tỉnh chuyển về huyện Bạch Thông</t>
        </r>
      </text>
    </comment>
    <comment ref="E63" authorId="0">
      <text>
        <r>
          <rPr>
            <b/>
            <sz val="9"/>
            <color indexed="81"/>
            <rFont val="Tahoma"/>
          </rPr>
          <t>stc:</t>
        </r>
        <r>
          <rPr>
            <sz val="9"/>
            <color indexed="81"/>
            <rFont val="Tahoma"/>
          </rPr>
          <t xml:space="preserve">
Bao gồm 19.510 trđ CĐNS cấp tỉnh hỗ trợ huyện BT Chi ĐTPT XDNTM năm 2017</t>
        </r>
      </text>
    </comment>
    <comment ref="H63" authorId="0">
      <text>
        <r>
          <rPr>
            <b/>
            <sz val="9"/>
            <color indexed="81"/>
            <rFont val="Tahoma"/>
            <family val="2"/>
          </rPr>
          <t>stc:</t>
        </r>
        <r>
          <rPr>
            <sz val="9"/>
            <color indexed="81"/>
            <rFont val="Tahoma"/>
            <family val="2"/>
          </rPr>
          <t xml:space="preserve">
Bao gồm 18.217,897 trđ số QT NS tỉnh hỗ trợ huyện BT xây dựng NTM năm 2017</t>
        </r>
      </text>
    </comment>
  </commentList>
</comments>
</file>

<file path=xl/comments9.xml><?xml version="1.0" encoding="utf-8"?>
<comments xmlns="http://schemas.openxmlformats.org/spreadsheetml/2006/main">
  <authors>
    <author>stc</author>
  </authors>
  <commentList>
    <comment ref="E10" authorId="0">
      <text>
        <r>
          <rPr>
            <b/>
            <sz val="9"/>
            <color indexed="81"/>
            <rFont val="Tahoma"/>
            <family val="2"/>
          </rPr>
          <t>stc:</t>
        </r>
        <r>
          <rPr>
            <sz val="9"/>
            <color indexed="81"/>
            <rFont val="Tahoma"/>
            <family val="2"/>
          </rPr>
          <t xml:space="preserve">
Khớp với DT giao đầu năm tại QĐ 2088: 1.078.588+10.928</t>
        </r>
      </text>
    </comment>
    <comment ref="F10" authorId="0">
      <text>
        <r>
          <rPr>
            <b/>
            <sz val="9"/>
            <color indexed="81"/>
            <rFont val="Tahoma"/>
            <family val="2"/>
          </rPr>
          <t>stc:</t>
        </r>
        <r>
          <rPr>
            <sz val="9"/>
            <color indexed="81"/>
            <rFont val="Tahoma"/>
            <family val="2"/>
          </rPr>
          <t xml:space="preserve">
Khớp với DT CTMT QG</t>
        </r>
      </text>
    </comment>
    <comment ref="K10" authorId="0">
      <text>
        <r>
          <rPr>
            <b/>
            <sz val="9"/>
            <color indexed="81"/>
            <rFont val="Tahoma"/>
            <family val="2"/>
          </rPr>
          <t>stc:</t>
        </r>
        <r>
          <rPr>
            <sz val="9"/>
            <color indexed="81"/>
            <rFont val="Tahoma"/>
            <family val="2"/>
          </rPr>
          <t xml:space="preserve">
Khớp với số QT chi cấp tỉnh tại B52</t>
        </r>
      </text>
    </comment>
    <comment ref="D27" authorId="0">
      <text>
        <r>
          <rPr>
            <b/>
            <sz val="9"/>
            <color indexed="81"/>
            <rFont val="Tahoma"/>
            <family val="2"/>
          </rPr>
          <t>stc:</t>
        </r>
        <r>
          <rPr>
            <sz val="9"/>
            <color indexed="81"/>
            <rFont val="Tahoma"/>
            <family val="2"/>
          </rPr>
          <t xml:space="preserve">
Bao gồm cả Ban Quản lý Dự án đầu tư xây dựng công trình Bệnh viện đa khoa Bắc Kạn.</t>
        </r>
      </text>
    </comment>
    <comment ref="D36" authorId="0">
      <text>
        <r>
          <rPr>
            <b/>
            <sz val="9"/>
            <color indexed="81"/>
            <rFont val="Tahoma"/>
            <family val="2"/>
          </rPr>
          <t>stc:</t>
        </r>
        <r>
          <rPr>
            <sz val="9"/>
            <color indexed="81"/>
            <rFont val="Tahoma"/>
            <family val="2"/>
          </rPr>
          <t xml:space="preserve">
Cty phát triển hạ tầng</t>
        </r>
      </text>
    </comment>
  </commentList>
</comments>
</file>

<file path=xl/sharedStrings.xml><?xml version="1.0" encoding="utf-8"?>
<sst xmlns="http://schemas.openxmlformats.org/spreadsheetml/2006/main" count="4926" uniqueCount="2233">
  <si>
    <t>STT</t>
  </si>
  <si>
    <t>Nội dung</t>
  </si>
  <si>
    <t>A</t>
  </si>
  <si>
    <t>B</t>
  </si>
  <si>
    <t>-</t>
  </si>
  <si>
    <t>Đơn vị: Triệu đồng</t>
  </si>
  <si>
    <t>Thu nội địa</t>
  </si>
  <si>
    <t>II</t>
  </si>
  <si>
    <t>III</t>
  </si>
  <si>
    <t>IV</t>
  </si>
  <si>
    <t>C</t>
  </si>
  <si>
    <t>I</t>
  </si>
  <si>
    <t>Thu bổ sung có mục tiêu</t>
  </si>
  <si>
    <t>D</t>
  </si>
  <si>
    <t>TỔNG CHI NSĐP</t>
  </si>
  <si>
    <t>Chi thường xuyên</t>
  </si>
  <si>
    <t>Chi trả nợ lãi các khoản do chính quyền địa phương vay</t>
  </si>
  <si>
    <t>Chi tạo nguồn, điều chỉnh tiền lương</t>
  </si>
  <si>
    <t>E</t>
  </si>
  <si>
    <t>G</t>
  </si>
  <si>
    <t>Từ nguồn vay để trả nợ gốc</t>
  </si>
  <si>
    <t>Vay để bù đắp bội chi</t>
  </si>
  <si>
    <t>Vay để trả nợ gốc</t>
  </si>
  <si>
    <t>V</t>
  </si>
  <si>
    <t>(Dùng cho ngân sách các cấp chính quyền địa phương)</t>
  </si>
  <si>
    <t>Tổng số</t>
  </si>
  <si>
    <t>Ngân sách huyện (xã)</t>
  </si>
  <si>
    <t>TỔNG SỐ</t>
  </si>
  <si>
    <t>Trong đó:</t>
  </si>
  <si>
    <t>Vốn trong nước</t>
  </si>
  <si>
    <t>a</t>
  </si>
  <si>
    <t>b</t>
  </si>
  <si>
    <t>Tên đơn vị</t>
  </si>
  <si>
    <t>Trong đó</t>
  </si>
  <si>
    <t>Danh mục dự án</t>
  </si>
  <si>
    <t>Địa điểm xây dựng</t>
  </si>
  <si>
    <t>Năng lực thiết kế</t>
  </si>
  <si>
    <t>Thời gian khởi công - hoàn thành</t>
  </si>
  <si>
    <t>Quyết định đầu tư</t>
  </si>
  <si>
    <t>Số Quyết định, ngày, tháng, năm ban hành</t>
  </si>
  <si>
    <t>Tổng số (tất cả các nguồn vốn)</t>
  </si>
  <si>
    <t>So sánh</t>
  </si>
  <si>
    <t>Tuyệt đối</t>
  </si>
  <si>
    <t>TỔNG NGUỒN THU NSĐP</t>
  </si>
  <si>
    <t>Thu bổ sung cân đối ngân sách</t>
  </si>
  <si>
    <t>Thu từ quỹ dự trữ tài chính</t>
  </si>
  <si>
    <t>Thu chuyển nguồn từ năm trước chuyển sang</t>
  </si>
  <si>
    <t>Chi bổ sung quỹ dự trữ tài chính</t>
  </si>
  <si>
    <t>Dự phòng ngân sách</t>
  </si>
  <si>
    <t>Chi các chương trình mục tiêu</t>
  </si>
  <si>
    <t>Chi các chương trình mục tiêu quốc gia</t>
  </si>
  <si>
    <t>Chi các chương trình mục tiêu, nhiệm vụ</t>
  </si>
  <si>
    <t>Chi chuyển nguồn sang năm sau</t>
  </si>
  <si>
    <t>Từ nguồn bội thu, tăng thu, tiết kiệm chi, kết dư ngân sách cấp tỉnh</t>
  </si>
  <si>
    <t>3=2/1</t>
  </si>
  <si>
    <t>Thuế thu nhập cá nhân</t>
  </si>
  <si>
    <t>Thuế bảo vệ môi trường</t>
  </si>
  <si>
    <t>Thu tiền sử dụng đất</t>
  </si>
  <si>
    <t>Thu từ dầu thô</t>
  </si>
  <si>
    <t>Nguồn thu ngân sách</t>
  </si>
  <si>
    <t>Thu ngân sách được hưởng theo phân cấp</t>
  </si>
  <si>
    <t>Thu bổ sung từ ngân sách cấp trên</t>
  </si>
  <si>
    <t>Thu kết dư</t>
  </si>
  <si>
    <t>Chi ngân sách</t>
  </si>
  <si>
    <t>Chi bổ sung cân đối ngân sách</t>
  </si>
  <si>
    <t>Chi bổ sung có mục tiêu</t>
  </si>
  <si>
    <t>Chi bổ sung cho ngân sách cấp dưới</t>
  </si>
  <si>
    <t>Nội dung (1)</t>
  </si>
  <si>
    <t>3=2-1</t>
  </si>
  <si>
    <t>4=2/1</t>
  </si>
  <si>
    <t>Thu NSĐP được hưởng theo phân cấp</t>
  </si>
  <si>
    <t>Thu NSĐP hưởng 100%</t>
  </si>
  <si>
    <t>Thu NSĐP hưởng từ các khoản thu phân chia</t>
  </si>
  <si>
    <t>Chi đầu tư phát triển</t>
  </si>
  <si>
    <t>TỔNG MỨC VAY CỦA NSĐP</t>
  </si>
  <si>
    <t>So sánh (%)</t>
  </si>
  <si>
    <t>Tổng thu NSNN</t>
  </si>
  <si>
    <t>Thu NSĐP</t>
  </si>
  <si>
    <t>5=3/1</t>
  </si>
  <si>
    <t>6=4/2</t>
  </si>
  <si>
    <t>Thuế sử dụng đất nông nghiệp</t>
  </si>
  <si>
    <t>Thuế sử dụng đất phi nông nghiệp</t>
  </si>
  <si>
    <t>Tiền cho thuê đất, thuê mặt nước</t>
  </si>
  <si>
    <t>Thu từ hoạt động xổ số kiến thiết</t>
  </si>
  <si>
    <t>Thu tiền cấp quyền khai thác khoáng sản</t>
  </si>
  <si>
    <t>Thu khác ngân sách</t>
  </si>
  <si>
    <t>Tương đối (%)</t>
  </si>
  <si>
    <t>CHI CÂN ĐỐI NSĐP</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</si>
  <si>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</si>
  <si>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</si>
  <si>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</si>
  <si>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</si>
  <si>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</si>
  <si>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</si>
  <si>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</si>
  <si>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</si>
  <si>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VI</t>
  </si>
  <si>
    <t>CHI CÁC CHƯƠNG TRÌNH MỤC TIÊU</t>
  </si>
  <si>
    <t>Lệ phí trước bạ</t>
  </si>
  <si>
    <t>CHI CHUYỂN NGUỒN SANG NĂM SAU</t>
  </si>
  <si>
    <t>(Dùng cho ngân sách tỉnh, huyện)</t>
  </si>
  <si>
    <t>Bao gồm</t>
  </si>
  <si>
    <t>Ngân sách địa phương</t>
  </si>
  <si>
    <t>1=2+3</t>
  </si>
  <si>
    <t>4=5+6</t>
  </si>
  <si>
    <t>7=4/1</t>
  </si>
  <si>
    <t>8=5/2</t>
  </si>
  <si>
    <t>9=6/3</t>
  </si>
  <si>
    <t>Chi đầu tư từ nguồn thu xổ số kiến thiết</t>
  </si>
  <si>
    <t xml:space="preserve">Chi đầu tư phát triển </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</si>
  <si>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</si>
  <si>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</si>
  <si>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</si>
  <si>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</si>
  <si>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</si>
  <si>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</si>
  <si>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</si>
  <si>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</si>
  <si>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</si>
  <si>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</si>
  <si>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</si>
  <si>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thường xuyên khác</t>
  </si>
  <si>
    <t>Chi chương trình MTQG</t>
  </si>
  <si>
    <t>Chi chuyển nguồn sang ngân sách năm sau</t>
  </si>
  <si>
    <t>CHI CHUYỂN NGUỒN SANG NGÂN SÁCH NĂM SAU</t>
  </si>
  <si>
    <t>Chi giao thông</t>
  </si>
  <si>
    <t>Chi nông nghiệp, lâm nghiệp, thủy lợi, thủy sản</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</si>
  <si>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</si>
  <si>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</si>
  <si>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</si>
  <si>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</si>
  <si>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</si>
  <si>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</si>
  <si>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</si>
  <si>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</si>
  <si>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 xml:space="preserve">Chi khoa học và công nghệ </t>
  </si>
  <si>
    <t>Dự toán</t>
  </si>
  <si>
    <t>CHI DỰ PHÒNG NGÂN SÁCH</t>
  </si>
  <si>
    <t>CHI TẠO NGUỒN, ĐIỀU CHỈNH TIỀN LƯƠNG</t>
  </si>
  <si>
    <t>VII</t>
  </si>
  <si>
    <t>Biểu mẫu số 48</t>
  </si>
  <si>
    <t>Biểu mẫu số 49</t>
  </si>
  <si>
    <t>Biểu mẫu số 50</t>
  </si>
  <si>
    <t>Biểu mẫu số 51</t>
  </si>
  <si>
    <t>Biểu mẫu số 52</t>
  </si>
  <si>
    <t>Biểu mẫu số 53</t>
  </si>
  <si>
    <t>Biểu mẫu số 54</t>
  </si>
  <si>
    <t>Đầu tư phát triển</t>
  </si>
  <si>
    <t>Kinh phí sự nghiệp</t>
  </si>
  <si>
    <t>Vốn ngoài nước</t>
  </si>
  <si>
    <t>Chia ra</t>
  </si>
  <si>
    <t>Số bổ sung cân đối từ ngân sách cấp trên</t>
  </si>
  <si>
    <t>Số bổ sung thực hiện cải cách tiền lương</t>
  </si>
  <si>
    <t>Tổng mức đầu tư được duyệt</t>
  </si>
  <si>
    <t>Chia theo nguồn vốn</t>
  </si>
  <si>
    <t>Quyết toán</t>
  </si>
  <si>
    <t xml:space="preserve">Thu bổ sung từ ngân sách cấp trên </t>
  </si>
  <si>
    <t xml:space="preserve">Tổng chi cân đối NSĐP </t>
  </si>
  <si>
    <t>CHI TRẢ NỢ GỐC CỦA NSĐP</t>
  </si>
  <si>
    <t>TỔNG MỨC DƯ NỢ VAY CUỐI NĂM CỦA NSĐP</t>
  </si>
  <si>
    <t>Bổ sung cân đối ngân sách</t>
  </si>
  <si>
    <t>Bổ sung có mục tiêu</t>
  </si>
  <si>
    <t>TỔNG NGUỒN THU NSNN (A+B+C+D)</t>
  </si>
  <si>
    <t>TỔNG THU CÂN ĐỐI NSNN</t>
  </si>
  <si>
    <t xml:space="preserve">Thu phí, lệ phí </t>
  </si>
  <si>
    <t>Tiền cho thuê và tiền bán nhà ở thuộc sở hữu nhà nước</t>
  </si>
  <si>
    <t xml:space="preserve">Thu từ hoạt động xuất nhập khẩu </t>
  </si>
  <si>
    <t>Thuế giá trị gia tăng thu từ hàng hóa nhập khẩu</t>
  </si>
  <si>
    <t>THU TỪ QUỸ DỰ TRỮ TÀI CHÍNH</t>
  </si>
  <si>
    <t>THU KẾT DƯ NĂM TRƯỚC</t>
  </si>
  <si>
    <t>THU CHUYỂN NGUỒN TỪ NĂM TRƯỚC CHUYỂN SANG</t>
  </si>
  <si>
    <t>TỔNG CHI NGÂN SÁCH ĐỊA PHƯƠNG</t>
  </si>
  <si>
    <t>CHI CÂN ĐỐI NGÂN SÁCH ĐỊA PHƯƠNG</t>
  </si>
  <si>
    <t xml:space="preserve">Chi đầu tư cho các dự án </t>
  </si>
  <si>
    <t>Biểu mẫu số 55</t>
  </si>
  <si>
    <t>18=2/1</t>
  </si>
  <si>
    <t>Biểu mẫu số 56</t>
  </si>
  <si>
    <t>18= 2/1</t>
  </si>
  <si>
    <t>Biểu mẫu số 57</t>
  </si>
  <si>
    <t>Dự toán được cấp</t>
  </si>
  <si>
    <t>Kinh phí thực hiện trong năm</t>
  </si>
  <si>
    <t>Nguồn còn lại</t>
  </si>
  <si>
    <t>Dự toán đầu năm</t>
  </si>
  <si>
    <t>Chuyển nguồn năm sau</t>
  </si>
  <si>
    <t>Hủy bỏ</t>
  </si>
  <si>
    <t>Biểu mẫu số 58</t>
  </si>
  <si>
    <t>Chi CTMTQG</t>
  </si>
  <si>
    <t>Chi giáo dục đào tạo dạy nghề</t>
  </si>
  <si>
    <t>Biểu mẫu số 59</t>
  </si>
  <si>
    <t>So sách (%)</t>
  </si>
  <si>
    <t>Gồm</t>
  </si>
  <si>
    <t>Vốn đầu tư để thực hiện các CTMT, nhiệm vụ</t>
  </si>
  <si>
    <t>Vốn sự nghiệp thực hiện các chế độ, chính sách</t>
  </si>
  <si>
    <t>Vốn thực hiện các CTMT quốc gia</t>
  </si>
  <si>
    <t>3=4+5</t>
  </si>
  <si>
    <t>11=12+13</t>
  </si>
  <si>
    <t>17=9/1</t>
  </si>
  <si>
    <t>18=10/2</t>
  </si>
  <si>
    <t>19=11/3</t>
  </si>
  <si>
    <t>20=12/4</t>
  </si>
  <si>
    <t>21=13/5</t>
  </si>
  <si>
    <t>22=14/6</t>
  </si>
  <si>
    <t>23=15/7</t>
  </si>
  <si>
    <t>24=16/8</t>
  </si>
  <si>
    <t>Biểu mẫu số 60</t>
  </si>
  <si>
    <t>Tổng thu NSĐP</t>
  </si>
  <si>
    <t>Thu NSĐP hưởng theo phân cấp</t>
  </si>
  <si>
    <t>Thu từ kết dư năm trước</t>
  </si>
  <si>
    <t>Biểu mẫu số 61</t>
  </si>
  <si>
    <t>Biểu mẫu số 62</t>
  </si>
  <si>
    <t>DỰ TOÁN</t>
  </si>
  <si>
    <t>QUYẾT TOÁN</t>
  </si>
  <si>
    <t>Biểu mẫu số 64</t>
  </si>
  <si>
    <t>(KHÔNG BAO GỒM NGUỒN NGÂN SÁCH NHÀ NƯỚC)</t>
  </si>
  <si>
    <t>Cơ quan tài chính, UBND cấp dưới báo cáo cơ quan tài chính, UBND cấp trên</t>
  </si>
  <si>
    <t>Dùng cho cơ quan kế hoạch và đầu tư báo cáo cơ quan tài chính, UBND cùng cấp; UBND cấp dưới gửi số liệu cho cơ quan kế hoạch và đầu tư, cơ quan tài chính cấp trên báo cáo UBND cấp trên</t>
  </si>
  <si>
    <t>Các cơ quan, đơn vị, địa phương cung cấp số liệu cho Sở Tài chính báo cáo UBND thành phố</t>
  </si>
  <si>
    <t>UBND cấp dưới cung cấp số liệu cho cơ quan tài chính cấp trên báo cáo UBND cấp trên</t>
  </si>
  <si>
    <t>Cục Thuế cung cấp số liệu cho Sở Tài chính báo cáo UBND thành phố</t>
  </si>
  <si>
    <t>UBND cấp dưới cung cấp số liệu cho cơ quan tài chính, cơ quan kế hoạch và đầu tư cấp trên báo cáo UBND cấp trên</t>
  </si>
  <si>
    <t>Các cơ quan, đơn vị, địa phương cung cấp số liệu cho Sở Kế hoạch và Đầu tư, Sở Tài chính báo cáo UBND thành phố</t>
  </si>
  <si>
    <t>UBND TỈNH BẮC KẠN</t>
  </si>
  <si>
    <t xml:space="preserve"> TM. ỦY BAN NHÂN DÂN </t>
  </si>
  <si>
    <t>CHỦ TỊCH</t>
  </si>
  <si>
    <t>(Ký tên, đóng dấu)</t>
  </si>
  <si>
    <t>QUYẾT TOÁN CHI NGÂN SÁCH ĐỊA PHƯƠNG THEO LĨNH VỰC NĂM 2017</t>
  </si>
  <si>
    <t>QUYẾT TOÁN THU NGÂN SÁCH HUYỆN (XÃ) NĂM 2017</t>
  </si>
  <si>
    <t>QUYẾT TOÁN VỐN ĐẦU TƯ CÁC CHƯƠNG TRÌNH, DỰ ÁN SỬ DỤNG VỐN NGÂN SÁCH NHÀ NƯỚC NĂM 2017</t>
  </si>
  <si>
    <t>TỔNG HỢP THU DỊCH VỤ CỦA ĐƠN VỊ SỰ NGHIỆP CÔNG NĂM 2017</t>
  </si>
  <si>
    <t>Chi nộp ngân sách cấp trên</t>
  </si>
  <si>
    <t>NGÂN SÁCH HUYỆN</t>
  </si>
  <si>
    <t>Trong đó chi tiết các chương trình</t>
  </si>
  <si>
    <t>Chương trình MTQG việc làm và dạy nghề</t>
  </si>
  <si>
    <t>Thành phố Bắc Kạn</t>
  </si>
  <si>
    <t>Huyện Bạch Thông</t>
  </si>
  <si>
    <t>Huyện Chợ Mới</t>
  </si>
  <si>
    <t>Huyện Chợ Đồn</t>
  </si>
  <si>
    <t>Huyện Na Rì</t>
  </si>
  <si>
    <t>Huyện Ngân Sơn</t>
  </si>
  <si>
    <t>Huyện Ba Bể</t>
  </si>
  <si>
    <t>Huyện Pác Nặm</t>
  </si>
  <si>
    <t>Ngân sách cấp tỉnh</t>
  </si>
  <si>
    <t>Ngân sách huyện</t>
  </si>
  <si>
    <t>Sở Nông nghiệp</t>
  </si>
  <si>
    <t>Sở Giáo dục và Đào tạo</t>
  </si>
  <si>
    <t>Sở Nội vụ</t>
  </si>
  <si>
    <t>Liên minh HTX</t>
  </si>
  <si>
    <t>Ban Dân tộc</t>
  </si>
  <si>
    <t>Ban Quản lý dự án đầu tư xây dựng tỉnh</t>
  </si>
  <si>
    <t>42=4/1</t>
  </si>
  <si>
    <t>43=5/2</t>
  </si>
  <si>
    <t>44=6/3</t>
  </si>
  <si>
    <t>Dự án nâng cao năng lực truyền thông</t>
  </si>
  <si>
    <t>Năm 2016</t>
  </si>
  <si>
    <t>Năm 2014</t>
  </si>
  <si>
    <t>Năm 2013</t>
  </si>
  <si>
    <t>Năm 2011</t>
  </si>
  <si>
    <t>Tập đoàn Bảo Việt</t>
  </si>
  <si>
    <t>Năm 2017</t>
  </si>
  <si>
    <t>Tập đoàn than hỗ trợ</t>
  </si>
  <si>
    <t>Hỗ trợ giống vật nuôi</t>
  </si>
  <si>
    <t>Hỗ trợ giống cây trồng</t>
  </si>
  <si>
    <t>Chương trình 30a năm 2012 trở về trước</t>
  </si>
  <si>
    <t>Năm 2012</t>
  </si>
  <si>
    <t>Hỗ trợ đầu tư cơ sở hạ tầng</t>
  </si>
  <si>
    <t>Chương trình 30a không thuộc chương trình MTQG giảm nghèo</t>
  </si>
  <si>
    <t>Dự án hỗ trợ phát triển sản xuất</t>
  </si>
  <si>
    <t>7.2</t>
  </si>
  <si>
    <t>Vốn viện trợ của chính phủ Ailen</t>
  </si>
  <si>
    <t>Chương trình 135 (Không thuộc chương trình MTQG giảm nghèo)</t>
  </si>
  <si>
    <t>Hỗ trợ xã Cường Lợi - Na Rì</t>
  </si>
  <si>
    <t>Năm 2016, 2017</t>
  </si>
  <si>
    <t xml:space="preserve">Ngân sách huyện </t>
  </si>
  <si>
    <t xml:space="preserve">Nguồn phân bổ lại từ kinh phí thực hiện Nghị định 42 còn dư </t>
  </si>
  <si>
    <t>Ngân sách tỉnh hỗ trợ</t>
  </si>
  <si>
    <t>Mô hình phát triển sản xuất gắn với liên kết theo chuỗi giá trị sản phẩm</t>
  </si>
  <si>
    <t>Kinh phí xử lý cải thiện môi trường</t>
  </si>
  <si>
    <t>Năm 2015</t>
  </si>
  <si>
    <t>Kinh phí Ban chỉ đạo</t>
  </si>
  <si>
    <t>Kinh phí hỗ trợ phát triển sản xuất</t>
  </si>
  <si>
    <t>Kinh phí tuyên truyền, giám sát đánh giá chương trình</t>
  </si>
  <si>
    <t>Hỗ trợ xây dựng cơ sở hạ tầng thiết yếu</t>
  </si>
  <si>
    <t>CTMT quốc gia xây dựng nông thôn mới</t>
  </si>
  <si>
    <t>Ngân sách huyện bổ sung (Ban chỉ đạo)</t>
  </si>
  <si>
    <t>Kinh phí NS tỉnh hỗ trợ (Ban chỉ đạo)</t>
  </si>
  <si>
    <t>Dự án 5: Nâng cao năng lực truyền thông, giám sát đánh giá chương trình MTQG GNBV</t>
  </si>
  <si>
    <t>Truyền thông về giảm nghèo</t>
  </si>
  <si>
    <t xml:space="preserve"> -</t>
  </si>
  <si>
    <t>Dự án 4: Truyền thông và giảm nghèo về thông tin</t>
  </si>
  <si>
    <t>Nhân rộng mô hình giảm nghèo</t>
  </si>
  <si>
    <t>Phát triển sản xuất, đa dạng hóa mô hình sinh kế</t>
  </si>
  <si>
    <t xml:space="preserve">Dự án 3: Hỗ trợ phát triển sản xuất, đa dạng hóa sinh kế và nhân rộng mô hình giảm nghèo </t>
  </si>
  <si>
    <t>Hỗ trợ phát triển sản xuất</t>
  </si>
  <si>
    <t>Tiểu dự án 2: Hỗ trợ phát triển sx, đa dạng hóa sinh kế và nhân rộng mô hình GN</t>
  </si>
  <si>
    <t>2.1</t>
  </si>
  <si>
    <t>Dự án hỗ trợ pt cơ sở hạ tầng</t>
  </si>
  <si>
    <t>Kinh phí duy tu bảo dưỡng</t>
  </si>
  <si>
    <t>Tiểu dự án 1</t>
  </si>
  <si>
    <t>Dự án 2: Chương trình 135</t>
  </si>
  <si>
    <t>Tiểu dự án 4: Hỗ trợ người lao động đi làm việc ở nước ngoài</t>
  </si>
  <si>
    <t>1.3</t>
  </si>
  <si>
    <t>Kinh phí hỗ trợ vaxin tiêm phòng</t>
  </si>
  <si>
    <t>Chăm sóc, giao khoán, bảo vệ rừng</t>
  </si>
  <si>
    <t xml:space="preserve"> - </t>
  </si>
  <si>
    <t>Tiểu dự án 3: Hỗ trợ phát triển sx, đa dạng hóa sinh kế và nhân rộng mô hình GN</t>
  </si>
  <si>
    <t>1.2</t>
  </si>
  <si>
    <t>Hỗ trợ đầu tư xây dựng cơ sở hạ tầng</t>
  </si>
  <si>
    <t xml:space="preserve"> Duy tu bảo dưỡng các công trình cơ sở hạ tầng</t>
  </si>
  <si>
    <t>1.1</t>
  </si>
  <si>
    <t>Dự án 1: Chương trình 30a</t>
  </si>
  <si>
    <t>Chương trình Mục tiêu quốc gia giảm nghèo và bền vững</t>
  </si>
  <si>
    <t>Tổng số:</t>
  </si>
  <si>
    <t>Xã</t>
  </si>
  <si>
    <t>Huyện</t>
  </si>
  <si>
    <t>SN</t>
  </si>
  <si>
    <t>Vốn ĐT</t>
  </si>
  <si>
    <t>TT</t>
  </si>
  <si>
    <t>Thành phố</t>
  </si>
  <si>
    <t>Nội dung chi</t>
  </si>
  <si>
    <t>QUYẾT TOÁN CHƯƠNG TRÌNH MỤC TIÊU QUỐC GIA NĂM 2017</t>
  </si>
  <si>
    <t xml:space="preserve">QUYẾT TOÁN CHI CHƯƠNG TRÌNH MỤC TIÊU QUỐC GIA, </t>
  </si>
  <si>
    <t>Phụ lục 06 biểu 45</t>
  </si>
  <si>
    <t>Giá trị khối lượng thực hiện từ khởi công đến 31/12/2016</t>
  </si>
  <si>
    <t>Lũy kế vốn đã bố trí đến 31/12/2016</t>
  </si>
  <si>
    <t>TPCP</t>
  </si>
  <si>
    <t>Ngân sách trung ương bổ sung CMT</t>
  </si>
  <si>
    <t>Xổ số kiến thiết</t>
  </si>
  <si>
    <t>Nguồn hỗ trợ chính sách ngành Y Tế do EU tài trợ</t>
  </si>
  <si>
    <t xml:space="preserve">CTMTQG </t>
  </si>
  <si>
    <t>ODA</t>
  </si>
  <si>
    <t>Nguồn dự phòng NSTW</t>
  </si>
  <si>
    <t>ODA ngân sách Tỉnh vay lại</t>
  </si>
  <si>
    <t>Cân đối hỗ trợ đối ứng ODA</t>
  </si>
  <si>
    <t>Nguồn khác</t>
  </si>
  <si>
    <t>ĐPCĐ</t>
  </si>
  <si>
    <t>Vốn vay tín dụng ưu đãi</t>
  </si>
  <si>
    <t>Nguồn vay tồn ngân KBNN</t>
  </si>
  <si>
    <t>Nguồn thu tiền sử dụng đất cấp tỉnh 2015 chuyển sang 2016</t>
  </si>
  <si>
    <t>Nguồn KPHQ lũ lụt</t>
  </si>
  <si>
    <t>Nguồn khắc phục hậu quả lũ lụt</t>
  </si>
  <si>
    <t>Vốn ODA giải ngân theo cơ chế tài chính trong nước</t>
  </si>
  <si>
    <t>Trái phiếu Chính phủ</t>
  </si>
  <si>
    <t xml:space="preserve">Ngân sách Tỉnh điều hành trả nợ quyết toán và thanh toán KLHT đối với các công trình dự án kéo dài </t>
  </si>
  <si>
    <t>Ngân sách trung ương hỗ trợ CMT</t>
  </si>
  <si>
    <t>Vốn vay Tín dụng ưu đãi</t>
  </si>
  <si>
    <t>ODA Ngân sách trung ương cấp phát</t>
  </si>
  <si>
    <t>Ngân sách Tỉnh Thái Nguyên hỗ trợ</t>
  </si>
  <si>
    <t>Nguồn Dự phòng vốn vay TD ưu đãi chuyển nguồn từ năm 2016 sang</t>
  </si>
  <si>
    <t>Kết dư Ngân sách Tỉnh năm 2015 đã chuyển sang năm 2017</t>
  </si>
  <si>
    <t>ODA Ngân sách Tỉnh vay lại</t>
  </si>
  <si>
    <t>Hỗ trợ đối ứng ODA</t>
  </si>
  <si>
    <t>CTMT QG Văn hóa đã chuyển sang năm 2017</t>
  </si>
  <si>
    <t>Dự phòng Ngân sách Trung ương năm 2016</t>
  </si>
  <si>
    <t>Nguồn vốn ngân sách tỉnh điều hành trả nợ quyết toán và thanh toán KLHT đối với các công trình dự án kéo dài</t>
  </si>
  <si>
    <t xml:space="preserve">Dự phòng Ngân sách Trung ương </t>
  </si>
  <si>
    <t>Dự phòng Ngân sách Tỉnh</t>
  </si>
  <si>
    <t>LĨNH VỰC KINH TẾ</t>
  </si>
  <si>
    <t>Sở Y Tế</t>
  </si>
  <si>
    <t>Trả nợ quyết toán</t>
  </si>
  <si>
    <t>Hệ thống cấp nước và vệ sinh các trạm y tế năm 2012</t>
  </si>
  <si>
    <t>1872/QĐ-UBND ngày 12/11/2012</t>
  </si>
  <si>
    <t>Hệ thống cấp nước và vệ sinh các trạm y tế năm 2011</t>
  </si>
  <si>
    <t>Số 1244/QĐ-UBND ngày 12/7/2011</t>
  </si>
  <si>
    <t>Hệ thống cấp nước và vệ sinh các trạm y tế năm 2010</t>
  </si>
  <si>
    <t>2653/QĐ-UBND ngày 27/8/2009</t>
  </si>
  <si>
    <t>Trung tâm nước sinh hoạt và vệ sinh môi trường</t>
  </si>
  <si>
    <t>CN&amp;VSTH huyện Chợ Đồn</t>
  </si>
  <si>
    <t>2013-2014</t>
  </si>
  <si>
    <t>1822 ngày 25/10/2013</t>
  </si>
  <si>
    <t>CNSH xã Chu Hương, huyện Ba Bể</t>
  </si>
  <si>
    <t>1820/QĐ-UBND ngày 25/10/2013</t>
  </si>
  <si>
    <t>Khởi công mới giai đoạn 2016-2020</t>
  </si>
  <si>
    <t xml:space="preserve"> - CNSH xã Đông Viên, huyện Chợ Đồn</t>
  </si>
  <si>
    <t>2143/QĐ-UBND ngày 18/12/2017</t>
  </si>
  <si>
    <t xml:space="preserve"> - CNSH xã Thượng Giáo, huyện Ba Bể</t>
  </si>
  <si>
    <t>2178 ngày 21/12/2017</t>
  </si>
  <si>
    <t xml:space="preserve"> - CNSH xã Vũ Muộn, huyện Bạch Thông</t>
  </si>
  <si>
    <t>2018-2019</t>
  </si>
  <si>
    <t>2177 ngày 21/12/2017</t>
  </si>
  <si>
    <t xml:space="preserve"> - CNSH xã Lương Bằng, huyện Chợ Đồn</t>
  </si>
  <si>
    <t>1821 ngày 25/10/2013</t>
  </si>
  <si>
    <t xml:space="preserve"> - CNSH xã Nông Hạ, huyện Chợ Mới</t>
  </si>
  <si>
    <t>2017-2018</t>
  </si>
  <si>
    <t>422 ngày 31/3/2016</t>
  </si>
  <si>
    <t xml:space="preserve"> - CNSH xã Ngọc Phái, huyện Chợ Đồn</t>
  </si>
  <si>
    <t>1760 ngày 31/10/2016</t>
  </si>
  <si>
    <t xml:space="preserve"> - CNSH xã Thuần Mang, huyện Ngân Sơn</t>
  </si>
  <si>
    <t>1763 ngày 31/10/2016</t>
  </si>
  <si>
    <t xml:space="preserve"> - CNSH xã Phúc Lộc, huyện Ba Bể</t>
  </si>
  <si>
    <t>1754 ngày 31/10/2016</t>
  </si>
  <si>
    <t xml:space="preserve"> - CNSH xã Đồng Phúc, huyện Ba Bể</t>
  </si>
  <si>
    <t xml:space="preserve"> - CNSH xã Mỹ Phương, huyện Ba Bể</t>
  </si>
  <si>
    <t>1758 ngày 31/10/2016</t>
  </si>
  <si>
    <t xml:space="preserve"> - CNSH xã Vi Hương, huyện Bạch Thông</t>
  </si>
  <si>
    <t>1757 ngày 31/10/2016</t>
  </si>
  <si>
    <t xml:space="preserve"> - CNSH xã Lục Bình, huyện Bạch Thông</t>
  </si>
  <si>
    <t>1764 ngày 31/10/2016</t>
  </si>
  <si>
    <t xml:space="preserve"> - CNSH xã Kim Lư, huyện Na Rì</t>
  </si>
  <si>
    <t>1765 ngày 31/10/2016</t>
  </si>
  <si>
    <t xml:space="preserve"> - CNSH xã Cường Lợi, huyện Na Rì</t>
  </si>
  <si>
    <t>1762 ngày 31/10/2016</t>
  </si>
  <si>
    <t xml:space="preserve"> - CNSH xã Yên Hân, huyện Chợ Mới</t>
  </si>
  <si>
    <t>1755 ngày 31/10/2016</t>
  </si>
  <si>
    <t>Ban Hỗ trợ Kinh doanh nông hộ</t>
  </si>
  <si>
    <t>Chương trình hỗ trợ kinh doanh cho nông hộ tỉnh Bắc Kạn</t>
  </si>
  <si>
    <t>Quyết định 1438/QĐ-UBND ngày 7/8/2016</t>
  </si>
  <si>
    <t>Các dự án hoàn thành bàn giao đi vào sử dụng trước ngày 31/12/2016</t>
  </si>
  <si>
    <t>Quan hệ đối tác vì người nghèo trong phát triển nông lâm nghiệp tỉnh BK (trong đó thu hồi ứng trước 6000)</t>
  </si>
  <si>
    <t>2251/QĐ-UBND ngày 11/11/2008</t>
  </si>
  <si>
    <t>UBND huyện Bạch Thông</t>
  </si>
  <si>
    <t>Dự án hoàn thành bàn giao đi vào sử dụng trước năm 2015</t>
  </si>
  <si>
    <t xml:space="preserve">Đường Đôn Phong- Nặm Tốc </t>
  </si>
  <si>
    <t>2013-2015</t>
  </si>
  <si>
    <t>QĐ 179 ngày 22/02/2017</t>
  </si>
  <si>
    <t>Công trình cải tạo, nâng cấp hồ chứa nước Khuổi Chanh, xã Cẩm Giàng, BT</t>
  </si>
  <si>
    <t>2014-2017</t>
  </si>
  <si>
    <t>QĐ số 946 ngày 04/7/2017</t>
  </si>
  <si>
    <t>7527175 - Mương nà kè thôn nà lẹng xã quân bình huyện bạch thông</t>
  </si>
  <si>
    <t>72/QĐ-UBND ngày 14/7/2015</t>
  </si>
  <si>
    <t>7592917 - Nâng cấp kênh mương Rìa làng thôn Nà Phải xã Phương Linh</t>
  </si>
  <si>
    <t>T11/2016-
T12/2016</t>
  </si>
  <si>
    <t>81/QĐ-UBND ngày 14/10/2016</t>
  </si>
  <si>
    <t>Kênh mương Nà Hán thôn Phiêng Mòn xã Tú Trĩ</t>
  </si>
  <si>
    <t>T12/2016-
T12/2016</t>
  </si>
  <si>
    <t>124/QĐ-UBND ngày 12/10/2016</t>
  </si>
  <si>
    <t>Kênh mương Trang Tồng, thôn Pò Đeng, xã Tú Trĩ</t>
  </si>
  <si>
    <t>101a/QĐ-UBND ngày 10/11/2016</t>
  </si>
  <si>
    <t>7598118 - Đổ bê tông xi măng đường trục thôn Cốc Xả (đoạn nối tiếp) xã Hà Vị</t>
  </si>
  <si>
    <t>70/QĐ-UBND ngày 13/10/2016</t>
  </si>
  <si>
    <t>7598359 - Xây dựng nhà văn hóa thôn Khau Ca xã Mỹ Thanh</t>
  </si>
  <si>
    <t>128/QĐ-UBND ngày 28/11/2016</t>
  </si>
  <si>
    <t>7598792 - Đổ bê tông tiếp đường nội thôn Pác Thiên xã Nguyên Phúc</t>
  </si>
  <si>
    <t>T12/2016-
T01/2017</t>
  </si>
  <si>
    <t>7598977 - Nâng cấp đổ bê tông đường thôn Bản Mún I, Bản mún II xã dương phong (đoạn nối tiếp)</t>
  </si>
  <si>
    <t>T10/2016-
T12/2016</t>
  </si>
  <si>
    <t>QĐ 63 ngày 11/10/2016</t>
  </si>
  <si>
    <t>7599588 - Đường Đon cọn xã vũ muộn huyện bạch thông</t>
  </si>
  <si>
    <t>T11/216-
T01/2017</t>
  </si>
  <si>
    <t>108/QĐ-UBND ngày 23/11/2016</t>
  </si>
  <si>
    <t>7599590 - Đường Đon Lùn, thôn tân lập xã vũ muộn huyện bạch thông</t>
  </si>
  <si>
    <t>109/QĐ-UBND ngày 23/11/2016</t>
  </si>
  <si>
    <t>7599595 - Đường thôn nà khoang xã vũ muộn huyện bạch thông</t>
  </si>
  <si>
    <t>107/QĐ-UBND ngày 23/11/2016</t>
  </si>
  <si>
    <t>7601500 - Kênh mương Khuổi đẳng thôn Khuổi Đẳng xã Sỹ Bình huyện Bạch Thông</t>
  </si>
  <si>
    <t>T12/216-
T4/2017</t>
  </si>
  <si>
    <t>88/QĐ-UBND ngày 18/10/201</t>
  </si>
  <si>
    <t>7601504 - Đường nội thôn Nà Lẹng xã Sỹ Bình huyện Bạch Thông</t>
  </si>
  <si>
    <t>87/QĐ-UBND ngày 18/10/2016</t>
  </si>
  <si>
    <t>7601506 - Đường nội đồng từ Pác Tạng xuống thôn Nà Cà xã Sỹ Bình huyện Bạch Thông</t>
  </si>
  <si>
    <t>86/QĐ-UBND ngày 18/10/2016</t>
  </si>
  <si>
    <t>7602005 - Đường Đon Bây - Bó Lịn - Địa Cát xã Vi Hương, huyện Bạch Thông (Đoạn nối tiếp)</t>
  </si>
  <si>
    <t>95/QĐ-UBND ngày 12/10/2016</t>
  </si>
  <si>
    <t>7605583 - Đường nội thôn nà búng đoạn nối tiếp xã Quân Bình</t>
  </si>
  <si>
    <t>Sở Xây dựng</t>
  </si>
  <si>
    <t>Chuyển tiếp</t>
  </si>
  <si>
    <t>Cấp nước và vệ sinh thị xã Bắc Kạn - Phần thoát nước</t>
  </si>
  <si>
    <t>1513 ngày 22/9/2016</t>
  </si>
  <si>
    <t>Sở Nông nghiệp và Phát triển Nông thôn</t>
  </si>
  <si>
    <t>Cải tạo sửa chữa công trình thủy lợi Pù Lòn, xã Bình Văn</t>
  </si>
  <si>
    <t>1701/QĐ-UBND ngày 16/102013</t>
  </si>
  <si>
    <t>Sửa chữa lớn công trình đập kênh Quan Nưa xã Dương Quang và đập kênh Nà Giảo xã Lục Bình, huyện Bạch Thông</t>
  </si>
  <si>
    <t>Số 2436/QĐ-UBND, 30/12/2012</t>
  </si>
  <si>
    <t>Dự án chuyển tiếp</t>
  </si>
  <si>
    <t>Phát triển hạ tầng nông thôn bền vững các tỉnh miền núi phía Bắc</t>
  </si>
  <si>
    <t>2881 ngày 13/11/2012</t>
  </si>
  <si>
    <t>UBND huyện Chợ Đồn</t>
  </si>
  <si>
    <t>Đập kênh Nà Pèn, xã Đồng Lạc, huyện Chợ Đồn</t>
  </si>
  <si>
    <t>2235/QĐ-UBND ngày 28/10/2011</t>
  </si>
  <si>
    <t>Dự án đầu tư xây dựng Kè chống xói lở bờ Sông Cầu đoạn từ thôn Bản Làn đến thôn Nà Mặn và đoạn Tổng Lồm thôn Pác Kéo xã Phương Viên, huyện Chợ Đồn</t>
  </si>
  <si>
    <t>2010-2013</t>
  </si>
  <si>
    <t>QĐ số 295/QĐ-UBND ngày 05/02/2010</t>
  </si>
  <si>
    <t>Đường liên thôn Pác Gia, xã Rã Bản - Bản Loon xã Đại Sảo huyện Chợ Đồn</t>
  </si>
  <si>
    <t>7576625 - Đường GT trục thôn thôn khuổi Áng Xã Bình Trung</t>
  </si>
  <si>
    <t>Quyết định số 1552/QĐ-UBND ngày 30/6/2016</t>
  </si>
  <si>
    <t>7577947 - Đường GTNT Nà trang kéo điểm (đoạn 3) Xã Phong Huân</t>
  </si>
  <si>
    <t>7584155 - Đường GT trục thôn Khuổi cưởm Xã Bằng Phúc</t>
  </si>
  <si>
    <t>7584158 - Đường GT trục thôn Bản Chang xã Bằng Phúc</t>
  </si>
  <si>
    <t>7588307 - Kênh Nà niếng ,thôn Nà Niếng xã Bằng Lãng</t>
  </si>
  <si>
    <t>7592667 - Đường liên thôn thôn phiêng cà Thôn Nà Khảo Xã Đại sảo</t>
  </si>
  <si>
    <t>7592679 - Đường GT liên thôn Thôn Bản Hun Nà Cà Xã Rã Bản</t>
  </si>
  <si>
    <t>7593286 - Đường giao thông truc xã bản thi ( Đoạn TT thôn hơp tiến)</t>
  </si>
  <si>
    <t xml:space="preserve">7593386 - Đường GT trục thôn Pác Cuồng Xã Yên Thịnh </t>
  </si>
  <si>
    <t>7593389 - Đường trục thông Bó Pết xã Yên Thịnh huyện Chợ Đồn</t>
  </si>
  <si>
    <t>7593408 - Đường GT trục thôn Nà Lùng xã Lương Bằng</t>
  </si>
  <si>
    <t>7593412 - Đường GT trục thôn thôn Bản Vẹn Xã Lương Bằng</t>
  </si>
  <si>
    <t>7593415 - Đường GT trục thôn thôn Nà Lếch xã Lương Bằng</t>
  </si>
  <si>
    <t>7593416 - Đường GT Trục thôn Bản Cuôn 2 Ngọc Phái</t>
  </si>
  <si>
    <t>7593547 - Đường GT trục thôn thôn Cọn Poongr xã Nam Cường</t>
  </si>
  <si>
    <t>7593550 - Đường GT liên thôn Nà Lịn nà Sắm xã Tân Lập</t>
  </si>
  <si>
    <t>7593582 - Đường GTTT khuân toong Xã Yên Nhuận</t>
  </si>
  <si>
    <t>7593679 - Đường GT liên thôn Khuổi đăm Bản Lác Xã Quảng Bạch</t>
  </si>
  <si>
    <t>7594090 - Đường GT trục thôn Nà Đẩy Xã Nghĩa Tá</t>
  </si>
  <si>
    <t>7594091 - Đường GT trục thôn thôn bản lạp Xã Nghĩa Tá</t>
  </si>
  <si>
    <t>7594095 - Đường GT liên thôn thôn Bản ó Nà Bản xã Xuân Lạc</t>
  </si>
  <si>
    <t xml:space="preserve">7594096 - Đường liên thôn thôn Nà mặn Pác kéo Xã Phương Viên </t>
  </si>
  <si>
    <t>7594102 - Đường GT trục thôn tư trạm biến áp đến nhà ông thức Thôn Pác Khoang xã yên Mỹ</t>
  </si>
  <si>
    <t>7594105 - Đường GTTT Bản lự từ nhà ông Duẩn đến nhà ông khiêm xã Yên Mỹ</t>
  </si>
  <si>
    <t>7594113 - Đường GTNT Nà Giỏ từ nhà ông Hiến đến nhà họp thôn Xã yên Mỹ</t>
  </si>
  <si>
    <t>7594114 - Đường GT liên thôn liên cộp (đoạn 3) Yên Thượng</t>
  </si>
  <si>
    <t>7594115 - Đường liên thôn ngù mòn(đoạn 3) xã Yên Thượng</t>
  </si>
  <si>
    <t>7594550 - Kênh Nà Vì thôn Bản nhì Xã bằng Lãng</t>
  </si>
  <si>
    <t>7595398 - Đường thôn Nà Làng Xã Phuong Viên</t>
  </si>
  <si>
    <t>7595400 - Đường xóm Bản Pịt thôn choong Xã Phương Viên</t>
  </si>
  <si>
    <t>7596237 - Đường GT Trục thôn Cốc Tộc Đồng Lạc</t>
  </si>
  <si>
    <t>VIII</t>
  </si>
  <si>
    <t>Vườn Quốc gia Ba Bể</t>
  </si>
  <si>
    <t>Cấp nước sinh hoạt vườn Quốc gia Ba Bể</t>
  </si>
  <si>
    <t>1856/QĐ-UBND ngày 23/9/2004</t>
  </si>
  <si>
    <t>Dự án khởi công mới giai đoạn 2016-2020</t>
  </si>
  <si>
    <t>Sửa chữa đập tràn Bản Pjạc, xã Quảng Khê, huyện Ba Bể</t>
  </si>
  <si>
    <t>1539 ngày 29/9/2017</t>
  </si>
  <si>
    <t>IX</t>
  </si>
  <si>
    <t>UBND huyện Chợ Mới</t>
  </si>
  <si>
    <t>Khắc phục sạt lở thôn Khuổi Lót xã Thanh Bình huyện Chợ Mới</t>
  </si>
  <si>
    <t>Kè chống xói lở thôn Nà Chào, Nà Tào, xã Như Cố</t>
  </si>
  <si>
    <t>2009-2010</t>
  </si>
  <si>
    <t>Số 620/QĐ-UBND ngày 27/3/2009</t>
  </si>
  <si>
    <t>Đường Yên Cư - Cao kỳ, huyện Chợ Mới</t>
  </si>
  <si>
    <t>2006-201</t>
  </si>
  <si>
    <t>Số 924/QĐ-UB ngày 29/4/2005 ngày 17/1/2006</t>
  </si>
  <si>
    <t>Hồ chứa nước Khuổi Cuộn, xã Nông Hạ</t>
  </si>
  <si>
    <t>2010-2015</t>
  </si>
  <si>
    <t>Số 1439/QĐ-UBND ngày 16/7/2010</t>
  </si>
  <si>
    <t>7592564 - Nhà Văn hóa thôn Nà Mố xã Yên Đĩnh</t>
  </si>
  <si>
    <t>87/QĐ-UBND ngày 07/10/2016</t>
  </si>
  <si>
    <t>7597832 - Đổ bê tông đường trục thôn Nà Rẫy xã Thanh Vận</t>
  </si>
  <si>
    <t>05/01/2017-05/03/2017</t>
  </si>
  <si>
    <t>205/QĐ-UBND ngày 28/10/2016</t>
  </si>
  <si>
    <t>7597834 - Đổ bê tông đường liên thôn Khau Chủ - Kéo Lẳm xã Thanh Vận</t>
  </si>
  <si>
    <t>10/11/2016-25/4/2017</t>
  </si>
  <si>
    <t>206/QĐ-UBND ngày 28/10/2016</t>
  </si>
  <si>
    <t>7597836 - Đổ bê tông đường trục thôn Phiêng Khảo xã Thanh Vận</t>
  </si>
  <si>
    <t>17/02/2017-20/4/2017</t>
  </si>
  <si>
    <t>204/QĐ-UBND ngày 28/10/2016</t>
  </si>
  <si>
    <t>7598991 - Đổ bê tông đường trục thôn Đèo Vai II xã Quảng Chu</t>
  </si>
  <si>
    <t>KC 12/2016</t>
  </si>
  <si>
    <t>72a/QĐ-UBND ngày 25/10/2016</t>
  </si>
  <si>
    <t>7598995 - Đổ bê tông đường trục thôn Làng Chẽ (Đoạn nối tiếp) xã Quảng Chu</t>
  </si>
  <si>
    <t>KC: 12/2016</t>
  </si>
  <si>
    <t>71a/QĐ-UBND ngày 25/10/2016</t>
  </si>
  <si>
    <t>7599406 - Đổ bê tông đường trục thôn Khổi Nhàng (Đoạn nối tiếp năm 2015) xã Hòa Mục</t>
  </si>
  <si>
    <t>2016</t>
  </si>
  <si>
    <t>69/QĐ-UBND
 ngày 28/10/2017</t>
  </si>
  <si>
    <t>7599485 - Đổ bê tông đường trục thôn Tổng Sâu (Từ QL 3 đến bản Nồng) xã Cao Kỳ</t>
  </si>
  <si>
    <t>2016-2017</t>
  </si>
  <si>
    <t>Quyết định số 111/QĐ-UBND ngày 4/11/2016</t>
  </si>
  <si>
    <t>7599492 - Đổ bê tông đường trục thôn Hua Phai xã Cao Kỳ</t>
  </si>
  <si>
    <t>Quyết định số 112/QĐ-UBND ngày 4/11/2016</t>
  </si>
  <si>
    <t>7599494 - Đổ bê tông đường trục thôn Bản Phố (Đoạn nối tiếp) xã Cao Kỳ</t>
  </si>
  <si>
    <t>Quyết định số 113/QĐ-UBND ngày 4/11/2016</t>
  </si>
  <si>
    <t>7599544 - Đổ bê tông đường trục thôn Bản Quất xã Như Cố</t>
  </si>
  <si>
    <t>09/2017</t>
  </si>
  <si>
    <t>Số 72b ngày 29/10/2016</t>
  </si>
  <si>
    <t>7599549 - Đổ bê tông đường trục thôn Nà Ngài (Đoạn từ nhà ông Giai - Ông Nhật nhánh I,II) xã Nông Thịnh</t>
  </si>
  <si>
    <t>25/11/16-25/12/16</t>
  </si>
  <si>
    <t>Số 82angày
28/10/16</t>
  </si>
  <si>
    <t>7599773 - Đổ bê tông đường trục thôn Đon Quy (Đoạn nối tiếp) xã Yên Cư</t>
  </si>
  <si>
    <t>Số 161/QĐ
-UBND ngày 27/10/2016</t>
  </si>
  <si>
    <t>7599779 - Đổ bê tông đường trục thôn Nà Riền (Nhánh I, II) xã Yên Cư</t>
  </si>
  <si>
    <t>Số 162/QĐ
-UBND ngày 27/10/2016</t>
  </si>
  <si>
    <t>7599789 - Đổ bê tông đường trục thôn Nà Chiêm (Đoạn nối tiếp) xã Thanh Bình</t>
  </si>
  <si>
    <t>Số 1871 ngay
11/11/2016</t>
  </si>
  <si>
    <t>7600021 - Đổ bê tông đường liên thôn Bản Cáu - Khau Mu (Đoạn nối tiếp đoạn I năm 2016 Cốc Muồng - Bá Lải) xã Mai Lạp</t>
  </si>
  <si>
    <t>83/QĐ-UBND ngày 27/10/2016</t>
  </si>
  <si>
    <t>7600177 - Đổ bê tông đường trục thôn Nà Bài (đoạn từ TL 259b - Nhà ông Phâu) xã Thanh Mai</t>
  </si>
  <si>
    <t>Số 1552/QĐ-UBND ngày 30/9/2016</t>
  </si>
  <si>
    <t>7600186 - Đổ bê tông đường LT Bản Tý Khuổi Dạc xã Thanh Mai</t>
  </si>
  <si>
    <t>7600974 - Đập mương Khe Cai thôn Nà Cù xã Nông Hạ</t>
  </si>
  <si>
    <t>7601360 - Đổ bê tông đường liên thôn Bản Mới - Khôn Tắng xã Bình Văn</t>
  </si>
  <si>
    <t>11/2016-03/2017</t>
  </si>
  <si>
    <t>QĐ số 298 ngày 28/10/2016</t>
  </si>
  <si>
    <t>7602081 - Đổ bê tông đường liên thôn Nà Sao Yên Hân</t>
  </si>
  <si>
    <t>01-11-2016 -
17/03/2017</t>
  </si>
  <si>
    <t>Số 94 ngày
28/10/2016</t>
  </si>
  <si>
    <t>7602084 - Đổ bê tông đường trục thôn Bản Mộc (Hội trường thôn vào hồ Khuổi Sung) xã Yên Hân</t>
  </si>
  <si>
    <t>01-11-2016 -
16/03/2017</t>
  </si>
  <si>
    <t>Số 93 ngày
28/10/2016</t>
  </si>
  <si>
    <t>X</t>
  </si>
  <si>
    <t>Ban QLDA Đầu tư Xây dựng Tỉnh</t>
  </si>
  <si>
    <t>Nhà văn hóa thôn Nà Vài, xã Hà Hiệu, huyện Ba Bể</t>
  </si>
  <si>
    <t>822/QĐ-UBND ngày 17/6/2015</t>
  </si>
  <si>
    <t>Cải tạo nâng cấp đường từ bờ hồ đi Quảng Khê giai đoạn I</t>
  </si>
  <si>
    <t>2013-2017</t>
  </si>
  <si>
    <t>1604/QĐ-UBND  ngày 01/10/2013</t>
  </si>
  <si>
    <t>Di dời khẩn cấp 16 hộ dân tại vùng sạt lở thôn Phiêng Liềng 2, xã Ngọc Phái, huyện Chợ Đồn, tỉnh Bắc Kạn</t>
  </si>
  <si>
    <t>Đầu tư xây dựng tuyến kè xã Nam Cường, huyện Chợ Đồn, tỉnh Bắc Kạn</t>
  </si>
  <si>
    <t>2010-2018</t>
  </si>
  <si>
    <t>Số 233/QĐ-UBND ngày 28/01/2010</t>
  </si>
  <si>
    <t>Dự án bố trí ổn định dân cư khẩn cấp thôn Nà Tu xã Cẩm Giàng huyện Bạch Thông</t>
  </si>
  <si>
    <t>Đường Bản Tầu xã Cao Thượng - Bản Vài xã Khang Ninh</t>
  </si>
  <si>
    <t>c</t>
  </si>
  <si>
    <t>Khắc phục sạt lở đất khu dân cư Nà Cáy, thôn Thôm Mò, huyện Bạch Thông</t>
  </si>
  <si>
    <t>Số 423/QĐ-UBND ngày 31/3/2016</t>
  </si>
  <si>
    <t>XI</t>
  </si>
  <si>
    <t>UBND huyện Na Rì</t>
  </si>
  <si>
    <t>Đường du lịch vào động Nàng Tiên</t>
  </si>
  <si>
    <t>2002-2010</t>
  </si>
  <si>
    <t>2577/QĐ-UBND ngày 06/12/2001</t>
  </si>
  <si>
    <t>Đã quyết toán</t>
  </si>
  <si>
    <t>Lưới điện nông thôn các xã Cư Lễ, Xuân Dương, Dương Sơn, Liêm Thủy, huyện Na Rì</t>
  </si>
  <si>
    <t>2010-2011</t>
  </si>
  <si>
    <t>954/QĐ-UBND ngày 27/5/2008</t>
  </si>
  <si>
    <t>Đường liên thôn Thôm Khinh - Khuổi Vạc, xã Vũ Loan. 7597113</t>
  </si>
  <si>
    <t>06/12/2016 đến 14/01/2017</t>
  </si>
  <si>
    <t>125/QĐ-UBND ngày 25/10/2016</t>
  </si>
  <si>
    <t>Đường Trục thôn Khau Lạ, xã Lạng San, 7597161</t>
  </si>
  <si>
    <t>01/12/2016 đến 31/12/2016</t>
  </si>
  <si>
    <t xml:space="preserve">64/QĐ-UBND ngày 18/10/2016 </t>
  </si>
  <si>
    <t>Đường Trục thôn Chợ Cũ, xã Lạng San, 7597164</t>
  </si>
  <si>
    <t>02/12/2016 đến 28/12/2016</t>
  </si>
  <si>
    <t>63/QĐ-UBND ngày 18/10/2016</t>
  </si>
  <si>
    <t>Đường trục thôn Pò Đồn xã Lương Hạ. 7597169</t>
  </si>
  <si>
    <t>04/11/2016 đến 03/12/2016</t>
  </si>
  <si>
    <t>116a/QĐ-UBND ngày 26/10/2016</t>
  </si>
  <si>
    <t>Nhà văn hóa và khu thể thao thôn Khau An, xã Cư Lễ. 7598346</t>
  </si>
  <si>
    <t>06/12/2016 đến 27/02/2017</t>
  </si>
  <si>
    <t xml:space="preserve">133/QĐ-UBND ngày 31/10/2016 </t>
  </si>
  <si>
    <t>Nhà văn hóa và khu thể thao thôn Khau Pần, xã Cư Lễ. 7598354</t>
  </si>
  <si>
    <t>06/12/2016 đến 26/02/2017</t>
  </si>
  <si>
    <t>134/QĐ-UBND ngày 31/10/2016</t>
  </si>
  <si>
    <t>Đường liên thôn Cốc Phia - Nà Lẹng xã Ân Tình. 7598356</t>
  </si>
  <si>
    <t xml:space="preserve"> 26/11/2016 đến 20/01/2017</t>
  </si>
  <si>
    <t>114/QĐ-UBND ngày 17/10/2016</t>
  </si>
  <si>
    <t>Đường trục thôn Nà Cằm xã Côn Minh. 7598676</t>
  </si>
  <si>
    <t>24/11/2016 đến 17/01/2017</t>
  </si>
  <si>
    <t xml:space="preserve">340/QĐ-UBND ngày 31/10/2016 </t>
  </si>
  <si>
    <t>Đường nội đồng thôn Khuổi Luông, thôn Nà Đấu, xã Hảo Nghĩa. 7598965</t>
  </si>
  <si>
    <t>10/01/2017 đến 19/6/2017</t>
  </si>
  <si>
    <t>75/QĐ-UBND ngày 21/10/2016</t>
  </si>
  <si>
    <t>Trường Mầm Non xã Lương Thượng, 7599428</t>
  </si>
  <si>
    <t>22/01/2017 đến 20/5/2017</t>
  </si>
  <si>
    <t>116/QĐ-UBND ngày 24/10/2016</t>
  </si>
  <si>
    <t>Đường trục thôn Pò Nim - Pác Ngòa, xã Cường Lợi. 7599435</t>
  </si>
  <si>
    <t xml:space="preserve"> 02/11/2016 đến 29/11/2016</t>
  </si>
  <si>
    <t xml:space="preserve">82/QĐ-UBND ngày 28/10/2016 </t>
  </si>
  <si>
    <t>Đường trục thôn từ Y Ba Pò Chẹt - Nà Nôm xã Lam Sơn. 7599442</t>
  </si>
  <si>
    <t>10/11/2016 đến 10/02/2017</t>
  </si>
  <si>
    <t xml:space="preserve"> 50/QĐ-UBND ngày 28/10/2016</t>
  </si>
  <si>
    <t>Đường trục thôn Pác Piẩu đến Chộc Năm thôn Nà Mực xã Văn Minh. 7599447</t>
  </si>
  <si>
    <t>10/11/2016 đến 25/12/2016</t>
  </si>
  <si>
    <t xml:space="preserve">249/QĐ-UBND ngày 26/10/2016 </t>
  </si>
  <si>
    <t>Đường trục thôn từ Pác Khuổi Tục đến nhà họp thôn Nà Piet xã Văn Minh</t>
  </si>
  <si>
    <t>08/12/2016 đến 04/01/2017</t>
  </si>
  <si>
    <t>254/QĐ-UBND ngày 27/10/2016</t>
  </si>
  <si>
    <t>Đường liên thôn Khuổi Nà - Khuổi Cáy xã Đổng Xá. 7599480</t>
  </si>
  <si>
    <t>11/01/2017 đến 09/3/2017</t>
  </si>
  <si>
    <t>110/QĐ-UBND ngày 12/10/2016</t>
  </si>
  <si>
    <t>Đường liên thôn Khau Moóc - Phiêng Pụt xã Hữu Thác. 7599482</t>
  </si>
  <si>
    <t>03/11/2016 đến 12/01/2017</t>
  </si>
  <si>
    <t xml:space="preserve">61/QĐ-UBND ngày 25/10/2016 </t>
  </si>
  <si>
    <t>Đường liên thôn Nà Pài - Khun Mằn xã Kim Lư. 7599529</t>
  </si>
  <si>
    <t>11/11/2016 đến 10/12/2016</t>
  </si>
  <si>
    <t xml:space="preserve">234/QĐ-UBND ngày 28/10/2016 </t>
  </si>
  <si>
    <t>Đường liên thôn Bản Vèn - Bản Vin xã Kim Hỷ. 7600351</t>
  </si>
  <si>
    <t>02/12/2016 đến 18/01/2017</t>
  </si>
  <si>
    <t>108/QĐ-UBND ngày 25/10/2016</t>
  </si>
  <si>
    <t>Đường trục thôn từ Nà Vờ đến Nà Bó xã Liêm Thủy. 7601417</t>
  </si>
  <si>
    <t>20/12/2016 đến 31/12/2016</t>
  </si>
  <si>
    <t>128/QĐ-UBND ngày 16/12/2016</t>
  </si>
  <si>
    <t>Đường liên thôn Lũng Danh thôn Nà Pì xã Liêm Thủy. 7601422</t>
  </si>
  <si>
    <t>127/QĐ-UBND ngày 16/12/2016</t>
  </si>
  <si>
    <t>Đường trục thôn Pò Phuyeo- Thôm Bả xã Văn Học. 7604026</t>
  </si>
  <si>
    <t>06/01/2017 đến 23/01/2017</t>
  </si>
  <si>
    <t xml:space="preserve">67/QĐ-UBND ngày 30/10/2016 </t>
  </si>
  <si>
    <t>Đường liên thôn từ Ca Đoóng đến Nà Chiêng xã Quang Phong. 7604330</t>
  </si>
  <si>
    <t>16/12/2016 đến 17/02/2017</t>
  </si>
  <si>
    <t xml:space="preserve"> 97/QĐ-UBND ngày 24/10/2016</t>
  </si>
  <si>
    <t>Đường liên thôn Khuổi Po - Bản Chang xã Lương Thành. 7604371</t>
  </si>
  <si>
    <t>06/01/2017 đến 22/02/2017</t>
  </si>
  <si>
    <t xml:space="preserve">82/QĐ-UBND ngày 25/10/2016 </t>
  </si>
  <si>
    <t>Các dự án dự kiến hoàn thành năm 2017</t>
  </si>
  <si>
    <t>Đường từ cầu Hát Deng đến ngã ba đường đi Văn Học, huyện Na Rì</t>
  </si>
  <si>
    <t>2009-2016</t>
  </si>
  <si>
    <t>1044/QĐ-UBND ngày 15/7/2015</t>
  </si>
  <si>
    <t>Dự án đầu tư xây dựng Kè chắn sạt lở đất khu dân cư thôn Hát Deng, trường PTDT nội trú và trường tiểu học thị trấn Yến Lạc, huyện Na Rì</t>
  </si>
  <si>
    <t>Chợ đầu mối nông lâm sản huyện Na Rì</t>
  </si>
  <si>
    <t>XII</t>
  </si>
  <si>
    <t>UBND Thành phố Bắc Kạn</t>
  </si>
  <si>
    <t>Đường và đê bao chống lũ khu vực Bắc sông Cầu</t>
  </si>
  <si>
    <t>2007-2012</t>
  </si>
  <si>
    <t>04/QĐ-UBND ngày 04/1/2002</t>
  </si>
  <si>
    <t>Đường GTNT Nà Pèn - Phặc Tràng, xã Dương Quang, thị xã Bắc Kạn</t>
  </si>
  <si>
    <t>Đường GTNT Quan Nưa - Bản Giềng, xã Dương Quang, thị xã Bắc Kạn</t>
  </si>
  <si>
    <t>1197/QĐ-UBND ngày 17/9/2008</t>
  </si>
  <si>
    <t>Đường GTNT Quan Nưa, xã Dương Quang, thị xã Bắc Kạn</t>
  </si>
  <si>
    <t>1284/QĐ-UBND ngày 30/9/2009</t>
  </si>
  <si>
    <t>Đường GTNT Tổng Nẻng, xã Huyền Tụng, thị xã Bắc Kạn</t>
  </si>
  <si>
    <t>1286/QĐ-UBND ngày 30/6/2009</t>
  </si>
  <si>
    <t>KCHKM Nà Ỏi, xã Dương Quang, thị xã Bắc Kạn</t>
  </si>
  <si>
    <t>1303/QĐ-UBND ngày 03/10/2009</t>
  </si>
  <si>
    <t>KCHKM Phai Riệc, xã Xuất Hóa, thị xã Bắc Kạn</t>
  </si>
  <si>
    <t>1626/QĐ-UBND ngày 6/12/2008</t>
  </si>
  <si>
    <t>XIII</t>
  </si>
  <si>
    <t>UBND huyện Ngân Sơn</t>
  </si>
  <si>
    <t>Cải tạo, nâng cấp hồ Khuổi Cáp, thị trấn Nà Phặc, huyện Ngân Sơn</t>
  </si>
  <si>
    <t>201/QĐ-UBND ngày 22/01/2014</t>
  </si>
  <si>
    <t>Khắc phục sạt lở tuyến đường ĐH21, xã Trung Hòa, huyện Ngân Sơn</t>
  </si>
  <si>
    <t>2532/QĐ-UBND ngày 31/12/2014</t>
  </si>
  <si>
    <t>Bố trí sắp xếp ổn định dân cư thôn Nà Cháo, xã Cốc Đán, huyện Ngân Sơn</t>
  </si>
  <si>
    <t>12/2009-04/2012</t>
  </si>
  <si>
    <t xml:space="preserve">323/QĐ-UBND ngày 6/3/2012 </t>
  </si>
  <si>
    <t>Nâng cấp hồ chứa nước Nà Diếu, xã Thượng Quan, huyện Ngân Sơn</t>
  </si>
  <si>
    <t>09/2010-09/2012</t>
  </si>
  <si>
    <t>1015/QĐ-UBND ngày 07/02/2013</t>
  </si>
  <si>
    <t>7595874 - Đường 251 - Nà Y xã Thượng Ân</t>
  </si>
  <si>
    <t>18/11/2016 - 18/01/2017</t>
  </si>
  <si>
    <t>QĐ:104b  01/11/2016</t>
  </si>
  <si>
    <t>7595878 - Đường 251 - Sloong tặc giai đoạn 2 xã Thượng Ân</t>
  </si>
  <si>
    <t>01/01/2017 - 30/10/2017</t>
  </si>
  <si>
    <t>QĐ:104a  01/11/2016</t>
  </si>
  <si>
    <t>7598138 - Đường trục chính thôn Quan Làng (giai đoạn II) xã Đức Vân</t>
  </si>
  <si>
    <t>T01/2017- T8/2017</t>
  </si>
  <si>
    <t>1552/QĐ-UBND ngày30/9/2016</t>
  </si>
  <si>
    <t>7599560 - Đường Nà Kịt - Nà Ránh (giai đoạn II) xã Thượng Quan</t>
  </si>
  <si>
    <t>01/12/2016 - 30/03/2017</t>
  </si>
  <si>
    <t>64a/QĐ-UBND ngày 10/10/2016</t>
  </si>
  <si>
    <t>7601269 - Đường từ nhà họp thôn Khuổi Bốc đến quốc lộ 3 (giai đoạn II) xã Lãng Ngâm</t>
  </si>
  <si>
    <t>20/11/2016 - 20/5/2017</t>
  </si>
  <si>
    <t>58a/QĐ-UBND ngày 28/10/2016</t>
  </si>
  <si>
    <t>7601372 - Đường nội thôn Nà Đi - Bản Phạc xã Trung Hòa</t>
  </si>
  <si>
    <t>12/2016
4/2017</t>
  </si>
  <si>
    <t>7601750 - Đường QL 279 - Khuổi lầy (giai đoạn II) xã Thuần Mang</t>
  </si>
  <si>
    <t>8/2017-09/2017 </t>
  </si>
  <si>
    <t> số 2048/QĐ-UBND ngày 10/9/2015 </t>
  </si>
  <si>
    <t>7601757 - Đường Bản Nìm (giai đoạn 3) xã Thuần Mang</t>
  </si>
  <si>
    <t> 3/2017-4/2017</t>
  </si>
  <si>
    <t>số 2048/QĐ-UBND ngày 10/9/2015 </t>
  </si>
  <si>
    <t xml:space="preserve">7603164 - Nhà Văn hóa thôn Nà Bốc xã Vân Tùng  </t>
  </si>
  <si>
    <t>11/2016-01/2017</t>
  </si>
  <si>
    <t>2048/QĐ-UBND ngày 10/9/2015</t>
  </si>
  <si>
    <t xml:space="preserve">7603165 - Nha van hóa Thôn Ðèo gió xã Vân Tùng </t>
  </si>
  <si>
    <t>7604219 - CT Cấp nước sinh hoạt, thoát nước thải thôn Phiêng Pục xã Huong Nê</t>
  </si>
  <si>
    <t> 3/2017-8/2017</t>
  </si>
  <si>
    <t>63b/QĐ-UBND ngày 05/10/2016</t>
  </si>
  <si>
    <t xml:space="preserve">7604243 - Đường giao thông nông thôn Khuổi Diễn- Phia Khao xã Cốc Đán </t>
  </si>
  <si>
    <t>11/2016-12/2017</t>
  </si>
  <si>
    <t>1552/QĐ-UBND ngày 03/10/2016</t>
  </si>
  <si>
    <t xml:space="preserve">7604253 - Đường  giao thông thôn Tát Slia - Phiêng Lèng xã Cốc Ðán </t>
  </si>
  <si>
    <t>11/2016/-10/2017</t>
  </si>
  <si>
    <t>7604397 - Đường vào nhà họp thôn Pù Cà xã Lãng Ngâm</t>
  </si>
  <si>
    <t>59/QĐ-UBND ngày 29/10/2016</t>
  </si>
  <si>
    <t xml:space="preserve">7604466 - Đường Pù Mò con thôn Pù Mò xã Bằng Vân </t>
  </si>
  <si>
    <t>T12/2016- T3/2017</t>
  </si>
  <si>
    <t>Số 92/QĐ-UBND ngày 24/10/2016</t>
  </si>
  <si>
    <t xml:space="preserve">7604469 - Đường nội  thôn Ðông Chót ( Giai đoạn 2) thôn Ðông Chót xã Bằng Vân </t>
  </si>
  <si>
    <t>Số 91/QĐ-UBND ngày 24/10/2016</t>
  </si>
  <si>
    <t>Đường vào khu di tích Coỏng Tát, xã Thượng Ân, huyện Ngân sơn</t>
  </si>
  <si>
    <t>07/2017-01/2018</t>
  </si>
  <si>
    <t>881/QĐ-UBND ngày 23/6/2017</t>
  </si>
  <si>
    <t>XIV</t>
  </si>
  <si>
    <t>Sở Giao thông Vận tải</t>
  </si>
  <si>
    <t>KPHQBL, ĐBGT bước 1 đợt 1 năm 2014 trên tuyến đường ĐT254B tỉnh BK</t>
  </si>
  <si>
    <t>675QĐ-SGTVT ngày 31/12/2014</t>
  </si>
  <si>
    <t>KPHQBL, ĐBGT bước 1 đợt 1 năm 2014 tại km14+100 và km31+980 ĐT258</t>
  </si>
  <si>
    <t>651/QĐ-SGTVT ngày 25/12/2014</t>
  </si>
  <si>
    <t>KPHQBL, ĐBGT bước 1 đợt 1 năm 2014 trên tuyến đường ĐT251, ĐT252, ĐT252B, ĐT253 tỉnh BK</t>
  </si>
  <si>
    <t>31/QĐ-SGT ngày 23/1/2015</t>
  </si>
  <si>
    <t>KPHQBL, ĐBGT bước 1 đợt 2 năm 2014 trên tuyến đường ĐT254 tỉnh BK</t>
  </si>
  <si>
    <t>30/QĐ-SGTVT ngày 30/1/2015</t>
  </si>
  <si>
    <t>KPHQBL, ĐBGT bước 1 đợt 2 năm 2014 trên tuyến đường ĐT254B tỉnh BK</t>
  </si>
  <si>
    <t>KPHQBL, ĐBGT bước 1 đợt 1 năm 2014 trên tuyến đường ĐT256 tỉnh BK</t>
  </si>
  <si>
    <t>19/QĐ-SGT ngày 21/1/2015</t>
  </si>
  <si>
    <t>KPHQBL, ĐBGT bước 1 đợt 2 năm 2014 trên tuyến đường ĐT257 tỉnh BK</t>
  </si>
  <si>
    <t>28/QĐ-SGTVT ngày 23/1/2015</t>
  </si>
  <si>
    <t>KPHQBL, ĐBGT bước 1 đợt 2 năm 2014 trên tuyến đường ĐT257B tỉnh BK</t>
  </si>
  <si>
    <t>19/QĐ-SGTVT ngày 21/1/2015</t>
  </si>
  <si>
    <t>KPHQBL, ĐBGT bước 1 đợt 2 năm 2014 trên tuyến đường ĐT 258 và ĐT258B tỉnh BK</t>
  </si>
  <si>
    <t>641/QĐ-SGTVT ngày 24/12/2014</t>
  </si>
  <si>
    <t>KPHQBL, ĐBGT bước 1 đợt 2 năm 2014 trên tuyến đường ĐT 259 và ĐT259B tỉnh BK</t>
  </si>
  <si>
    <t>643/QĐ-SGTVT ngày 24/12/2014</t>
  </si>
  <si>
    <t>Sửa chữa kè xây, KPHQBL, ĐBGT bước 1 đợt 2 năm 2014 tại Km35+600 ĐT257 tỉnh BK</t>
  </si>
  <si>
    <t>12/QĐ-SGTVT ngày 19/1/2015</t>
  </si>
  <si>
    <t>KPHQBL, ĐBGT bước 1 đợt 3 năm 2014 trên tuyến đường ĐT258 tỉnh BK</t>
  </si>
  <si>
    <t>18/QĐ-SGTVT ngày 21/1/2015</t>
  </si>
  <si>
    <t>Các dự án hoàn thành trước 31/12/2016</t>
  </si>
  <si>
    <t>Ban QLDA Công trình Giao thông</t>
  </si>
  <si>
    <t>Cầu Dương Quang</t>
  </si>
  <si>
    <t>401 ngày 04/4/2001</t>
  </si>
  <si>
    <t>XV</t>
  </si>
  <si>
    <t>Chi cục Kiểm Lâm</t>
  </si>
  <si>
    <t>Quản lý rừng bền vững và đa dạng sinh học nhằm giảm phát thải CO2</t>
  </si>
  <si>
    <t>XVI</t>
  </si>
  <si>
    <t xml:space="preserve">Công ty Cổ phần Cấp thoát nước Bắc Kạn </t>
  </si>
  <si>
    <t xml:space="preserve">Đã Quyết toán </t>
  </si>
  <si>
    <t>DA cấp nước và vệ sinh thị trấn Yến Lạc, Na Rì - Phần Cấp nước</t>
  </si>
  <si>
    <t>183 ngày 10/02/2015</t>
  </si>
  <si>
    <t>Cấp nước và vệ sinh thị xã Bắc Kạn - Phần cấp nước</t>
  </si>
  <si>
    <t>XVII</t>
  </si>
  <si>
    <t>Sở Kế hoạch và Đầu tư</t>
  </si>
  <si>
    <t>Đầu tư hạ tầng cơ bản cho phát triển toàn diện các tỉnh Đông Bắc: Hà giang, Cao Bằng, Bắc Kạn, Lạng Sơn (ADB tài trợ)</t>
  </si>
  <si>
    <t>30/QĐ-UBND ngày 08/1/2016 của UBND tỉnh Lạng Sơn</t>
  </si>
  <si>
    <t>Hỗ trợ kỹ thuật hạ tầng cơ bản cho phát triển toàn diện các tỉnh Đông Bắc: Hà giang, Cao Bằng, Bắc Kạn, Lạng Sơn (ADB tài trợ)</t>
  </si>
  <si>
    <t>1249/QĐ-UBND ngày 25/8/2017</t>
  </si>
  <si>
    <t>XVIII</t>
  </si>
  <si>
    <t>Ban Bảo vệ Phát triển Rừng Vườn Quốc gia Ba Bể</t>
  </si>
  <si>
    <t>Dự án chuyển tiếp hoàn thành sau năm 2017</t>
  </si>
  <si>
    <t>BVPTR Vườn Quốc gia Ba Bể giai đoạn 2011-2020</t>
  </si>
  <si>
    <t>2012-2020</t>
  </si>
  <si>
    <t xml:space="preserve">642/QĐ-UBND ngày 03/5/2012 </t>
  </si>
  <si>
    <t>XIX</t>
  </si>
  <si>
    <t>Ban Bảo vệ Phát triển Rừng huyện Pác Nặm</t>
  </si>
  <si>
    <t>BVPTR huyện Pác Nặm giai đoạn 2011-2020</t>
  </si>
  <si>
    <t>2011-2020</t>
  </si>
  <si>
    <t>645/QĐ-UBND ngày 3/5/2012</t>
  </si>
  <si>
    <t>XX</t>
  </si>
  <si>
    <t>Ban Bảo vệ Phát triển Rừng huyện Ngân Sơn</t>
  </si>
  <si>
    <t>BVPTR huyện Ngân Sơn giai đoạn 2011-2020</t>
  </si>
  <si>
    <t>640/QĐ-UBND ngày 03.5.2012</t>
  </si>
  <si>
    <t>XXI</t>
  </si>
  <si>
    <t>Ban Bảo vệ Phát triển Rừng huyện Bạch Thông</t>
  </si>
  <si>
    <t>BVPTR huyện Bạch Thông giai đoạn 2011-2020</t>
  </si>
  <si>
    <t xml:space="preserve">629/QĐ-UBND </t>
  </si>
  <si>
    <t>XXII</t>
  </si>
  <si>
    <t>Ban Bảo vệ Phát triển Rừng huyện Na Rì</t>
  </si>
  <si>
    <t>BVPTR huyện Na Rì giai đoạn 2011-2020</t>
  </si>
  <si>
    <t>646/QĐ-UBND ngày 03/5/2012</t>
  </si>
  <si>
    <t>XXIII</t>
  </si>
  <si>
    <t>Ban Bảo vệ Phát triển Rừng huyện Chợ Đồn</t>
  </si>
  <si>
    <t>BVPTR huyện Chợ Đồn giai đoạn 2011-2020</t>
  </si>
  <si>
    <t xml:space="preserve">QĐ số 643 /QĐ-UBND ngày 03/5/2012 của UBND tỉnh Bắc Kạn </t>
  </si>
  <si>
    <t>XXIV</t>
  </si>
  <si>
    <t xml:space="preserve">Ban Bảo vệ Phát triển Rừng Thành phố Bắc Kạn </t>
  </si>
  <si>
    <t>BVPTR thành phố Bắc Kạn giai đoạn 2011-2020</t>
  </si>
  <si>
    <t>2013-2019</t>
  </si>
  <si>
    <t>644/QĐ-UBND ngày 03/5/2012</t>
  </si>
  <si>
    <t>XXV</t>
  </si>
  <si>
    <t>Ban Bảo vệ Phát triển Rừng Công ty Lâm nghiệp</t>
  </si>
  <si>
    <t>BVPTR Công ty TNHH MTV Lâm nghiệp Bắc Kạn giai đoạn 2011-2020</t>
  </si>
  <si>
    <t>1868/QĐ-UBND ngày 30/10/2013</t>
  </si>
  <si>
    <t>XXVI</t>
  </si>
  <si>
    <t>Ban Bảo vệ Phát triển Rừng huyện Chợ Mới</t>
  </si>
  <si>
    <t>BVPTR huyện Chợ Mới giai đoạn 2011-2020</t>
  </si>
  <si>
    <t>Quyết định số 641/QĐ-UBND ngày 03/05/2012 của UBND tỉnh Bắc Kạn</t>
  </si>
  <si>
    <t>XXVII</t>
  </si>
  <si>
    <t>UBND huyện Ba Bể</t>
  </si>
  <si>
    <t>Kè chống sạt lở bờ tả sông Năng đoạn qua Tiểu khu 8 và 9 thị trấn Chợ Rã, huyện Ba Bể</t>
  </si>
  <si>
    <t>Số 690/QĐ-UBND ngày 16/5/3016</t>
  </si>
  <si>
    <t>Đường vào khu cơ quan huyện Ba Bể</t>
  </si>
  <si>
    <t>Kè chống xói lở bờ sông xã Chu Hương</t>
  </si>
  <si>
    <t>1084/QĐ-UBND ngày 21/5/2009</t>
  </si>
  <si>
    <t>Kè chống xói lở bờ sông Năng khu vực thôn Kéo Sáng, xã Thượng Giáo</t>
  </si>
  <si>
    <t>1521/QĐ-UBND ngày 13/8/2008</t>
  </si>
  <si>
    <t>Dự án di dân TĐC xã Khang Ninh huyện Ba Bể, thuộc dự án xây dựng công trình thủy điện Tuyên Quang</t>
  </si>
  <si>
    <t>7592045 - BTH đường NT Nà Bản đoạn từ đập tràn Quảng Khê - nhà Ô Đô xã Quảng Khê</t>
  </si>
  <si>
    <t>QĐ số 114/QĐ-UBND ngày 7/10/2016</t>
  </si>
  <si>
    <t>7594408 - Đường Trụ sở-Coọc Mu (ttiếp đoạn CTMTQG XD NTM năm 2015) xã Hoàng Trĩ.</t>
  </si>
  <si>
    <t>Số 1552 ngày 30/9/2016</t>
  </si>
  <si>
    <t>7594411 - Rải BT ĐNT Nà Slài (tiếp đoạn CTMTQG XD NTM năm 2016) xã Hoàng Trĩ.</t>
  </si>
  <si>
    <t>7596039 - Rải BT ĐNT Nà Khâu (tiếp đoạn NTM NV CT MTQG năm 2016) xã Đông Phúc.</t>
  </si>
  <si>
    <t>QĐ số: 1552/QĐ - UBND ngày 30/9/2016</t>
  </si>
  <si>
    <t>7596069 - Nâng cấp đường Nà Kẹm - Bản Mạ xã Địa Linh</t>
  </si>
  <si>
    <t>số:77/QĐ
 ngày 12 tháng 10 năm 2016</t>
  </si>
  <si>
    <t>7596641 - Rải BT liên thôn Nà Viễn - Phiêng Khăm ( địa phận Bản Lạ) xã Yến Dương</t>
  </si>
  <si>
    <t xml:space="preserve">183QĐ-UBND ngày 17/10/2016 </t>
  </si>
  <si>
    <t>7596648 - Rải BT đường Cốc Tranh (tiếp đoạn NTM NV MTQG năm 2016) Yến Dương</t>
  </si>
  <si>
    <t xml:space="preserve">181/QĐ-UBND ngày 17/10/2016 </t>
  </si>
  <si>
    <t>7596653 - Rải bê tông thôn Nà Nghè - Nà Viễn xã Yến Dương</t>
  </si>
  <si>
    <t xml:space="preserve">182QĐ-UBND ngày 17/10/2016 </t>
  </si>
  <si>
    <t>7596687 - NC tuyến đường LT từ tỉnh lộ 258 đi Bjoóc Ve (tiếp đoạn CTMTQG XD NTM NV BX có MT từ NSTW) năm 2016 xã Mỹ Phương</t>
  </si>
  <si>
    <t>QĐ số 104a/QĐ-UBND ngày 12/10/2016</t>
  </si>
  <si>
    <t>7596875 - Rải bê tông tuyến đường liên xã Phúc Lộc-Yến Dương(tiếp đoạnNTM NV CTMTQG năm 2016) xã Phúc Lộc</t>
  </si>
  <si>
    <t>QĐ số 105/QĐ-UBND ngày 17/10/2016</t>
  </si>
  <si>
    <t>7596885 - Đương liên thôn Khuổi Trà - Phia Phạ xã Phúc Lộc</t>
  </si>
  <si>
    <t>QĐ  số 104/QĐ-UBND ngày 17/10/2016</t>
  </si>
  <si>
    <t>7597404 - Nhà họp thôn Tổm Làm xã Bành Trạch</t>
  </si>
  <si>
    <t>QĐ số 124/QĐ-UBND ngày 05/10/2019</t>
  </si>
  <si>
    <t>7597410 - Rải BT đường nội thôn Nà Dụ: đầu thôn - cuối thôn xã Bành Trạch</t>
  </si>
  <si>
    <t>QĐ số 122/QĐ-UBND ngày 05/10/2018</t>
  </si>
  <si>
    <t>7597412 - Rải bê tông đường nội thồn Nà Lần: Bờ sông - Khuổi Phước xã Bành Trạch</t>
  </si>
  <si>
    <t>QĐ số 121/QĐ-UBND ngày 05/10/2017</t>
  </si>
  <si>
    <t>7597416 - Rải BT ĐNT Bản Hon đoạn 1: QL 279-Khuổi Giáo, đoạn 2: QL 279 - Bản Tẩu, đoạn 3: QL 279-Bản Ngàn xã Bành Trạch</t>
  </si>
  <si>
    <t>QĐ số 120/QĐ-UBND ngày 05/10/2016</t>
  </si>
  <si>
    <t>7599514 - Rải Bê tông đường liên thôn Kéo Gió -Nặm Dài (tiếp đoạn CT MTQG XD NTM nguồn vốn bổ xung có mục tiêu  từ NSTW năm 2016, xã Nam Mẫu.</t>
  </si>
  <si>
    <t>QĐ số: 56/QĐ - UBND ngày 03/11/2016</t>
  </si>
  <si>
    <t>7600449 - BTH đường LTNà Kiêng-Nà Cọ-Nà Niềng (tiếp đoạn CTMTQG XD NTM năm 2016) xã Khang Ninh</t>
  </si>
  <si>
    <t>7601302 - Nhà văn hóa thôn Nà Ma xã Hà Hiệu</t>
  </si>
  <si>
    <t>Số 105/QĐ - UBND ngày 18/10/2016</t>
  </si>
  <si>
    <t>7601304 - Nhà văn hóa thôn bản Mới xã Hà Hiệu</t>
  </si>
  <si>
    <t>Số 106/QĐ - UBND ngày 18/10/2016</t>
  </si>
  <si>
    <t>7601305 - Nhà văn hóa thôn Chợ Giảii xã Hà Hiệu</t>
  </si>
  <si>
    <t>Số 107/QĐ - UBND ngày 18/10/2016</t>
  </si>
  <si>
    <t>7601309 - Nhà văn hóa thôn Nà Dài xã Hà Hiệu</t>
  </si>
  <si>
    <t>Số 108/QĐ - UBND ngày 18/10/2016</t>
  </si>
  <si>
    <t>7601313 - Đường Kéo Tân - Nà Bó thôn Côc Lùng xã Hà Hiệu</t>
  </si>
  <si>
    <t>Số 109/QĐ - UBND ngày 18/10/2016</t>
  </si>
  <si>
    <t>7602309 - Rải BT đường trong thôn Pác Phai xã Thượng Giáo.(tiếp đoạn CTMTQG XD NTM năm  2016)</t>
  </si>
  <si>
    <t>QĐ số 548 ngày 17/10/2016</t>
  </si>
  <si>
    <t>7602314 - Nhà Văn hóa thôn Nà Tạ xã Thượng Giáo</t>
  </si>
  <si>
    <t>QĐ số 549, ngày 17/10/2016</t>
  </si>
  <si>
    <t>7602316 - Nhà Văn hóa thôn Tin Đồn xã Thượng Giáo</t>
  </si>
  <si>
    <t>QĐ số 545, ngày 17/10/2016</t>
  </si>
  <si>
    <t>7602320 - Nhà Văn hóa thôn Nà Mỏ Đá Thượng Giáo</t>
  </si>
  <si>
    <t>QĐ số 547, ngày 17/10/2016</t>
  </si>
  <si>
    <t>7602322 - Nhà Văn hóa thôn Nà Hán xã Thượng Giáo</t>
  </si>
  <si>
    <t>QĐ số 546, ngày 17/10/2016</t>
  </si>
  <si>
    <t>7603015 - Nhà văn hóa thôn Pù Mắt xã Chu Hương</t>
  </si>
  <si>
    <t>số 107/QĐ-UBND, 
ngày 13/12/2016</t>
  </si>
  <si>
    <t>7603020 - Nhà văn hóa thôn Bản Pục xã Chu Hương</t>
  </si>
  <si>
    <t>số 105/QĐ-UBND, 
ngày 12/12/2016</t>
  </si>
  <si>
    <t>7603023 - Nhà văn hóa thôn Khuổi Coóng xã Chu Hương</t>
  </si>
  <si>
    <t>số 108/QĐ-UBND, 
ngày 13/12/2016</t>
  </si>
  <si>
    <t>7603026 - Nhà văn hóa thôn Nà Phẩy xã Chu Hương</t>
  </si>
  <si>
    <t>số 110/QĐ-UBND, 
ngày 13/12/2016</t>
  </si>
  <si>
    <t>7603091 - Mương Cốc Pái thôn Bản Trù xã Chu Hương</t>
  </si>
  <si>
    <t>số 104/QĐ-UBND, 
ngày 12/12/2016</t>
  </si>
  <si>
    <t>7603738 - Xây dựng nhà họp thôn Bản Piềng 2 xã Cao Trĩ</t>
  </si>
  <si>
    <t>số 116/QĐ-UBND, ngày 14/11/2016</t>
  </si>
  <si>
    <t>7603740 - Đường Bản Piềng 1 xã Cao Trĩ</t>
  </si>
  <si>
    <t>Số 21a/QĐ-UBND, ngày 17/4/2017</t>
  </si>
  <si>
    <t>7603742 - Rải BT đường Cầu treo-Côc Tát thôn Dài Khao (tiếp CT NTM NV CT MTQG năm 2016) xã Cao Trĩ</t>
  </si>
  <si>
    <t>số 119/QĐ-UBND ngày 15/11/2016</t>
  </si>
  <si>
    <t>7603746 - Xây dựng nhà họp thôn Bản Ngủ 2 xã Cao Trĩ</t>
  </si>
  <si>
    <t>Số 115/QĐ-UBND, ngày 13/10/2016</t>
  </si>
  <si>
    <t>7603755 - Rải BT ĐLT Bản Cám- Nà Sliến (tiếp đoạn NTM NV CT MTQG năm 2016) xã Cao Thượng.</t>
  </si>
  <si>
    <t xml:space="preserve">76 /QĐ-UBND ngày 14/10/2016 </t>
  </si>
  <si>
    <t>7604451 - BTH đường NT Bản Pjàn đoạn 1: từ Cầu treo- nhà Ô Thượng, đoạn 2: từ Cầu treo - nhà Ô Việt (tiếp đoạn CTMTQG XD NTM năm 2016)xã Quảng Khê</t>
  </si>
  <si>
    <t>QĐ số 114a/QĐ-UBND ngày 7/11/2016</t>
  </si>
  <si>
    <t>XXVIII</t>
  </si>
  <si>
    <t>Ban QL CTMT PT Lâm nghiệp Bền vững huyện Ba Bể</t>
  </si>
  <si>
    <t>BVPTR huyện Ba Bể giai đoạn 2011-2020</t>
  </si>
  <si>
    <t>647/QĐ-UBND ngày 03/5/2012</t>
  </si>
  <si>
    <t>XXIX</t>
  </si>
  <si>
    <t>Cải tạo, nâng cấp ĐT258B tỉnh Bắc Kạn</t>
  </si>
  <si>
    <t>2011-2015</t>
  </si>
  <si>
    <t>2841 ngày 17/12/2010 và 537 ngày 26/4/2017</t>
  </si>
  <si>
    <t xml:space="preserve">Xử lý điểm đen đoạn Km 192+300- Km 193+250 trên QL3 tỉnh Bắc Kạn </t>
  </si>
  <si>
    <t>1032/QĐ-TCĐBVN ngày 15/04/2015</t>
  </si>
  <si>
    <t>KPHQBL, ĐBGT bước 1 đợt 2 năm 2013 trên tuyến đường ĐT258 tỉnh Bắc Kạn</t>
  </si>
  <si>
    <t>1995/QĐ-UBND ngày 14/11/2013</t>
  </si>
  <si>
    <t>KPHQBL, ĐBGT bước 1 đợt 3 năm 2013 trên tuyến đường ĐT258 tỉnh Bắc Kạn</t>
  </si>
  <si>
    <t>2464/QĐ-UBND ngày 31/12/2013</t>
  </si>
  <si>
    <t>Mở nền đường KPHQBL, ĐBGT năm 2013 tại Km5+400 ĐT258 tỉnh Bắc Kạn</t>
  </si>
  <si>
    <t>551/QĐ-SGTVT ngày 27/12/2013</t>
  </si>
  <si>
    <t>Đường vào nhà máy tinh bột sắn Xuất Hóa, thị xã BK, tỉnh BK</t>
  </si>
  <si>
    <t>2003-2007</t>
  </si>
  <si>
    <t>1028 ngày 13/6/2013</t>
  </si>
  <si>
    <t>Đường liên xã Hà Vị - Lục Bình - Tú Trĩ, huyện Bạch Thông, tỉnh Bắc Kạn</t>
  </si>
  <si>
    <t>2001-2009</t>
  </si>
  <si>
    <t>145 ngày 24/12/2007</t>
  </si>
  <si>
    <t>Cầu dàn thép Quân Bình, huyện Bạch Thông</t>
  </si>
  <si>
    <t>2007-2009</t>
  </si>
  <si>
    <t>2592 ngày 15/12/2008</t>
  </si>
  <si>
    <t>Cải tạo sữa chữa ĐT258 đoạn tuyến Km0+00 - Km1+00</t>
  </si>
  <si>
    <t>1789 ngày 3/9/2014</t>
  </si>
  <si>
    <t>Đường Vũ Muộn - Cao Sơn - Côn Minh</t>
  </si>
  <si>
    <t>2007-2014</t>
  </si>
  <si>
    <t>518 ngày 31/3/2014</t>
  </si>
  <si>
    <t>Nâng cấp, cải tạo đường tỉnh 257</t>
  </si>
  <si>
    <t>258 ngày 25/1/2014</t>
  </si>
  <si>
    <t xml:space="preserve">Đầu tư hạ tầng khu dân cư đồng bào Mông </t>
  </si>
  <si>
    <t>2016-2020</t>
  </si>
  <si>
    <t>413 ngày 31/3/2016</t>
  </si>
  <si>
    <t>Hệ thống thoát lũ- vượt dòng cứu hộ, cứu nạn đường Bộc Bố, Bằng Thành</t>
  </si>
  <si>
    <t>350/QĐ-UBND ngày 13/3/2012</t>
  </si>
  <si>
    <t>Đường cứu hộ cứu nạn vùng sạt lở. Lũ quét huyện Pác Nặm</t>
  </si>
  <si>
    <t>451/QĐ-UBND ngày 16/3/2010</t>
  </si>
  <si>
    <t>Đường giao thông nông thôn Bằng Lũng - Đại Sảo, huyện Chợ Đồn</t>
  </si>
  <si>
    <t>2009-2012</t>
  </si>
  <si>
    <t>683/QĐ-UBND ngày 04/4/2008</t>
  </si>
  <si>
    <t>2002-2012</t>
  </si>
  <si>
    <t>d</t>
  </si>
  <si>
    <t>Cải tạo, sửa chữa ĐT258 đoạn từ điểm đầu khu du lịch Ba Bể tại Km42+00 (bến xuồng Buốc Lốm) đến trung tâm VQG Ba Bể tại Km48+200</t>
  </si>
  <si>
    <t>2015-2019</t>
  </si>
  <si>
    <t>1923 ngày 18/6/2014</t>
  </si>
  <si>
    <t>Mở rộng, nâng cấp ĐT254, tỉnh Bắc Kạn</t>
  </si>
  <si>
    <t>Số 868/QĐ-UBND ngày 22/6/2017</t>
  </si>
  <si>
    <t>DA xây dựng đường giao thông các tỉnh miền núi phía Bắc</t>
  </si>
  <si>
    <t>2012-2017</t>
  </si>
  <si>
    <t>1343 ngày 25/7/2011</t>
  </si>
  <si>
    <t>e</t>
  </si>
  <si>
    <t>Xây dựng, nâng cấp, cải tạo đường GTNT đến các xã miền núi đặc biệt khó khăn tỉnh BK (trong đó thu hồi ứng trước 11443)</t>
  </si>
  <si>
    <t>2007-2013</t>
  </si>
  <si>
    <t>923 ngày 18/6/2012</t>
  </si>
  <si>
    <t>Nâng cấp, cải tạo ĐT255 huyện Chợ Đồn</t>
  </si>
  <si>
    <t>1231 ngày 11/7/2011</t>
  </si>
  <si>
    <t>XXX</t>
  </si>
  <si>
    <t>UBND huyện Pác Nặm</t>
  </si>
  <si>
    <t>Khắc phục sạt lở tuyến đường Bộc Bố - Cổ Linh huyện Pác Nặm</t>
  </si>
  <si>
    <t>Văn bản số 3432/UBND-NLN ngày 31/8/2015</t>
  </si>
  <si>
    <t>Đổ bê tông đường liên thôn từ quán nhà ông Tàn đến nhà ông Sinh (Thin Đá) (đoạn từ đập mương Cốc Nghịu đến Phân trường Tân Hợi) thôn Tân Hợi xã An Thắng huyện Pác Nặm (đoạn nối tiếp)</t>
  </si>
  <si>
    <t>1552/QĐ-UBND ngày 30/9/2016</t>
  </si>
  <si>
    <t>Đường nhựa - nội thôn Nà Po thôn Nà Nghè xã Bộc Bố huyện Pác Nặm tỉnh Bắc Kạn</t>
  </si>
  <si>
    <t>Đường liên thôn nhà Nà Vài đi Khâu Bang - Khưa Lốm thôn Nà Vài xã Bằng Thành</t>
  </si>
  <si>
    <t xml:space="preserve">Nâng cấp đường đèo Kéo Pjảo (thôn Khuổi Khỉ) đến thôn Bản Sáp (đoạn từ Kéo Pựt đến đường 258B) thôn Bản Sáp xã Xuân La </t>
  </si>
  <si>
    <t>Đường từ đập tràn Nà Còi qua thôn Chẻ Pang đến xóm Bó Khiếu (đoạn 2) thôn Chẻ Pang xã Cao Tân huyện Pác Nặm</t>
  </si>
  <si>
    <t>Đường Khuổi Ún - Cốc Ngản thôn Khuổi Ún xã Nghiên Loan</t>
  </si>
  <si>
    <t>Đường Na Thang - Lủng Đâư thôn Khuổi Phây xã Nghiên Loan</t>
  </si>
  <si>
    <t>Đổ bê tông cuối trục chính đi Khuổi Lạc thôn Nà Bẻ xã Nhạn Môn huyện Pác Nặm</t>
  </si>
  <si>
    <t>Đường cổng bưu điện - Nà Mạc thôn Nà Coóc xã Bộc Bố huyện Pác Nặm tỉnh Bắc Kạn</t>
  </si>
  <si>
    <t>Đường nhà họp thôn - cuối thôn thôn Nà Lẩy xã Bộc Bố huyện Pác Nặm tỉnh Bắc Kạn</t>
  </si>
  <si>
    <t>Đường nhựa 258B - Trường THCS Bộc Bố thôn Nà Lẹng xã Bộc Bố huyện Pác Nặm tỉnh Bắc Kạn</t>
  </si>
  <si>
    <t>Đường nhựa - cuối thôn (đoạn điểm trường mầm non - cuối thôn) thôn Khuổi Bẻ xã Bộc Bố huyện Pác Nặm tỉnh Bắc Kạn</t>
  </si>
  <si>
    <t>Đường nhựa - nhà họp thôn (đoạn từ đường nhựa tới điểm trường mầm non) thôn Khâu Phảng xã Bộc Bố huyện Pác Nặm tỉnh Bắc Kạn</t>
  </si>
  <si>
    <t>XXXI</t>
  </si>
  <si>
    <t>CÔNG TY PHÁT TRIỂN HẠ TẦNG KHU CÔNG NGHIỆP</t>
  </si>
  <si>
    <t>Bổ sung đường điện 35KV Khu công nghiệp Thanh Bình</t>
  </si>
  <si>
    <t>2005/QĐ-UBND ngày 28/11/017</t>
  </si>
  <si>
    <t>LĨNH VỰC QUỐC PHÒNG</t>
  </si>
  <si>
    <t>Bộ Chỉ huy Quân sự Tỉnh</t>
  </si>
  <si>
    <t>Khắc phục hậu quả do mưa lũ đối với công trình phòng thủ tỉnh</t>
  </si>
  <si>
    <t>1809/QĐ-UBND ngày 25/10/2013</t>
  </si>
  <si>
    <t>Khắc phục hậu quả do cơn bão số 2 gây ra đối với các công trình phòng thủ của tỉnh năm 2014</t>
  </si>
  <si>
    <t>20014-2015</t>
  </si>
  <si>
    <t>1945/QĐ-UBND ngày 31/8/2014
5/9/2007</t>
  </si>
  <si>
    <t xml:space="preserve">Trung tâm huấn luyện lực lượng dự bị động viên và lực lượng làm nhiệm vụ sẵn sàng chiến đấu của tỉnh Bắc Kạn </t>
  </si>
  <si>
    <t>2030/QĐ-UBND ngày 28/12/2016</t>
  </si>
  <si>
    <t>Doanh trại ban CHQS huyện Ngân Sơn/ Bộ CHQS tỉnh Bắc Kạn/ Quân khu I (giai đoạn 1)</t>
  </si>
  <si>
    <t>2015-2018</t>
  </si>
  <si>
    <t>1997/QĐ-BQO ngày 01/6/2015</t>
  </si>
  <si>
    <t>Doanh trại ban CHQS huyện Chợ Đồn/ Bắc Kạn</t>
  </si>
  <si>
    <t>2015-2017</t>
  </si>
  <si>
    <t>1647/QĐ-BTL ngày 18/8/2015</t>
  </si>
  <si>
    <t>Xây dựng đường giao thông đến các xã CT229 huyện Na Rì, Bạch Thông</t>
  </si>
  <si>
    <t>418/QĐ-UBND ngày 31/3/2016</t>
  </si>
  <si>
    <t>Hoàn thiện hệ thống giao thông, thủy lợi các xã CT229 huyện Chợ Đồn</t>
  </si>
  <si>
    <t>416/QĐ-UBND ngày 31/3/2016</t>
  </si>
  <si>
    <t>Trạm y tế xã Yên Thịnh</t>
  </si>
  <si>
    <t xml:space="preserve">QĐ số 1888a /QĐ-UBND ngày 31/10/2013 </t>
  </si>
  <si>
    <t>LĨNH VỰC BẢO VỆ MÔI TRƯỜNG</t>
  </si>
  <si>
    <t>Xả lý, di chuyển và xây dựng bãi rác tại xã Huyền Tụng, thị xã BK</t>
  </si>
  <si>
    <t>2010-2012</t>
  </si>
  <si>
    <t>Số 324A/QĐ-UBND ngày 27/02/2012</t>
  </si>
  <si>
    <t>LĨNH VỰC PHÁT THANH TRUYỀN HÌNH</t>
  </si>
  <si>
    <t xml:space="preserve">Đài Phát thanh Truyền hình </t>
  </si>
  <si>
    <t>Đầu tư xây dựng công trình Đài PTTH BK giai đoạn 2</t>
  </si>
  <si>
    <t>934/QĐ-UBND ngày 12/5/2006</t>
  </si>
  <si>
    <t>Đầu tư hệ thống thiết bị trường quay, thiết bị sản xuất chương trình và phát sóng tự động cho Đài PTTH Bắc Kạn</t>
  </si>
  <si>
    <t>1796/QĐ-UBND ngày 31/10/2012</t>
  </si>
  <si>
    <t>LĨNH VỰC VĂN HÓA</t>
  </si>
  <si>
    <t>Sửa chữa nhà văn hóa huyện Na Rì</t>
  </si>
  <si>
    <t>434/QĐ-UBND ngày 31/3/2016</t>
  </si>
  <si>
    <t>Tu bổ, tôn tạo di tích thắng cảnh động Nàng Tiên, xã Lương Hạ, huyện Na Rì, BK</t>
  </si>
  <si>
    <t>968/QĐ-UBND ngày 30/6/2015</t>
  </si>
  <si>
    <t>F</t>
  </si>
  <si>
    <t>LĨNH VỰC QUẢN LÝ NHÀ NƯỚC</t>
  </si>
  <si>
    <t>Cải tạo, nâng cấp trung tâm hỗ trợ phụ nữ tỉnh Bắc Kạn</t>
  </si>
  <si>
    <t>1768/QĐ-UBND ngày 31/10/2016</t>
  </si>
  <si>
    <t>Trụ sở hợp khối Thị ủy - HĐND - UBND thành phố Bắc Kạn</t>
  </si>
  <si>
    <t>1787/QĐ-UBND ngày 30/10/2012</t>
  </si>
  <si>
    <t>Sở Thông tin và Truyền thông</t>
  </si>
  <si>
    <t>Cải tạo, sửa chữa trụ sở làm việc cũ của Đài PTTH tỉnh để làm trụ sở làm việc của Sở Thông tin truyền thông</t>
  </si>
  <si>
    <t>1385/QĐ-UBND ngày 30/8/2013</t>
  </si>
  <si>
    <t>Trụ sở UBND xã Thượng Ân</t>
  </si>
  <si>
    <t>1848/QĐ-UBND ngày 29/10/2013</t>
  </si>
  <si>
    <t>Trụ sở HĐND-UBND huyện Ngân Sơn</t>
  </si>
  <si>
    <t>01/2007-12/2012</t>
  </si>
  <si>
    <t>123/QĐ-UBND ngày 21/1/2013</t>
  </si>
  <si>
    <t>Trụ sở UBND xã Vân Tùng</t>
  </si>
  <si>
    <t>275/QĐ-UBND ngày 13/3/2009</t>
  </si>
  <si>
    <t xml:space="preserve">Trụ sở UBND xã Cốc Đán </t>
  </si>
  <si>
    <t>1929/QĐ-UBND ngày 30/10/2014</t>
  </si>
  <si>
    <t>Trụ sở hợp khối HU-HĐND-UBND huyện Ba Bể</t>
  </si>
  <si>
    <t>3202/QĐ-UBND ngày  16/10/2009</t>
  </si>
  <si>
    <t>Trụ sở UBND xã Cao Trĩ</t>
  </si>
  <si>
    <t>1889/QĐ-UBND ngày 31/10/2013</t>
  </si>
  <si>
    <t>Trụ sở UBND xã Nam Mẫu</t>
  </si>
  <si>
    <t>4150a/QĐ-UBND ngày 31/10/2016</t>
  </si>
  <si>
    <t>Các trạm, trốt kiểm lâm thuộc KBT thiên nhiên Kim Hỷ, huyện Na Rì</t>
  </si>
  <si>
    <t>1819/QĐ-UBND ngày 25/10/2013</t>
  </si>
  <si>
    <t>Trụ sở xã Đôn Phong</t>
  </si>
  <si>
    <t>2011-2012</t>
  </si>
  <si>
    <t>QĐ1304 ngày 27/7/2011</t>
  </si>
  <si>
    <t>Trụ sở UBND xã Nguyên Phúc</t>
  </si>
  <si>
    <t>QĐ2262 ngày 27/10/2015</t>
  </si>
  <si>
    <t>Trụ sở UBND xã Phong Huân</t>
  </si>
  <si>
    <t>2016-2018</t>
  </si>
  <si>
    <t>QĐ số 2224/QĐ-UBND ngày 28/10/2016</t>
  </si>
  <si>
    <t>Trạm kiểm lâm Đán Đeng, xã Nam Mẫu, huyện Ba Bể</t>
  </si>
  <si>
    <t>1817/QĐ-UBND ngày 07/9/2010</t>
  </si>
  <si>
    <t>Văn phòng Tỉnh ủy</t>
  </si>
  <si>
    <t>Sửa chữa, bổ sung thiết bị hội trường lớn và trụ sở các ban xây dựng Đảng Tỉnh ủy BK (trả nợ ứng trước)</t>
  </si>
  <si>
    <t>1890/QĐ-UBND ngày 2/10/2014</t>
  </si>
  <si>
    <t>Trụ sở UBND xã Cao Tân</t>
  </si>
  <si>
    <t>1937/QĐ-UBND ngày 24/10/2011</t>
  </si>
  <si>
    <t>LĨNH VỰC KHOA HỌC CÔNG NGHỆ</t>
  </si>
  <si>
    <t>Sở Khoa học Công Nghệ</t>
  </si>
  <si>
    <t>Dự án chuyển tiếp sang giai đoạn 2016-2020</t>
  </si>
  <si>
    <t>Dự án tăng cường tiềm lực Chi cục tiêu chuẩn đo lường chất lượng</t>
  </si>
  <si>
    <t>2015
-2017</t>
  </si>
  <si>
    <t>1887/
QĐ-UBND ngày 24/10/2014</t>
  </si>
  <si>
    <t>Trung tâm CNTT và truyền thông</t>
  </si>
  <si>
    <t>Ứng dụng CNTT trong hoạt động của các cơ quan nhà nước hướng tới xây dựng chính quyền điện tử tỉnh Bắc Kạn giai đoạn 2015-2020</t>
  </si>
  <si>
    <t>1748/QĐ-UBND ngày 31/10/2016</t>
  </si>
  <si>
    <t>UBND Thành phố</t>
  </si>
  <si>
    <t>Ứng dụng công nghệ thông tin xây dựng trung tâm dịch vụ hành chính công TPBK</t>
  </si>
  <si>
    <t>Số 747/QĐ-UBND ngày 30/3/2016</t>
  </si>
  <si>
    <t>Trung tâm Công nghệ Thông tin</t>
  </si>
  <si>
    <t>Nâng cấp thư điện tử tỉnh Bắc Kạn</t>
  </si>
  <si>
    <t>307/QĐ-UBND ngày 09/03/2016</t>
  </si>
  <si>
    <t>Ứng dụng công nghệ thông tin trong hoạt động của các cơ quan Đảng tỉnh Bắc Kạn giai đoạn 2015-2020</t>
  </si>
  <si>
    <t>H</t>
  </si>
  <si>
    <t>LĨNH VỰC GIÁO DỤC</t>
  </si>
  <si>
    <t>Sở Giao dục và Đào tạo</t>
  </si>
  <si>
    <t>Dự án Chuyển tiếp</t>
  </si>
  <si>
    <t>Trường THPT Bộc Bố, huyện Pác Nặm, HM: Nhà lớp học bộ môn 3 tầng (PTTHPT gđ2)</t>
  </si>
  <si>
    <t>Trường THPT Ba Bể, huyện Ba Bể, HM: Nhà lớp học bộ môn 3 tầng (PTTHPT gđ2)</t>
  </si>
  <si>
    <t>Trường THPT Phủ Thông, huyện Bạch Thông, HM: Nhà lớp học bộ môn 3 tầng (PTTHPT gđ2)</t>
  </si>
  <si>
    <t>Trường THPT Chợ Đồn, huyện Chợ Đồn, HM: Nhà học tập số 1 (PTTHPT gđ2)</t>
  </si>
  <si>
    <t>Trung tâm KTTH - hướng nghiệp dạy nghề</t>
  </si>
  <si>
    <t>2115/QĐ-UBND ngày 31/10/2002</t>
  </si>
  <si>
    <t xml:space="preserve"> - Trường PTCS Quang Thuận, huyện Bạch Thông</t>
  </si>
  <si>
    <t>1451 ngày
25/4/2017</t>
  </si>
  <si>
    <t>Trạm y tế xã Tân Tiến</t>
  </si>
  <si>
    <t xml:space="preserve">1766/QĐ-UBND ngày 31/10/2016 </t>
  </si>
  <si>
    <t>Nhà văn hóa xã Quang Thuận</t>
  </si>
  <si>
    <t>28/9/2017-18/12/2017-</t>
  </si>
  <si>
    <t>2266 ngày 25/8/2017</t>
  </si>
  <si>
    <t>Trường THCS Đức Xuân</t>
  </si>
  <si>
    <t>1549/QĐ-UBND ngày 11/09/2014</t>
  </si>
  <si>
    <t>Trường mầm non Sông Cầu</t>
  </si>
  <si>
    <t>2504/QĐ-UBND ngày 31/12/2013</t>
  </si>
  <si>
    <t>Trường mầm non Nông Thượng, thành phố Bắc Kạn</t>
  </si>
  <si>
    <t>899a/QĐ-UBND ngày 31/3/2016</t>
  </si>
  <si>
    <t>Trường mầm non phường Xuất Hóa</t>
  </si>
  <si>
    <t>Số 1659/QĐ-UBND ngày 19/10/2016</t>
  </si>
  <si>
    <t>Trường THCS Dương Quang, TPBK</t>
  </si>
  <si>
    <t>Số 1787/QĐ-UBND ngày 30/10/2017</t>
  </si>
  <si>
    <t>Trường THCS Nông Thượng, TPBK</t>
  </si>
  <si>
    <t>2017-2019</t>
  </si>
  <si>
    <t>Số 3011/QĐ-UBND ngày 31/10/2016</t>
  </si>
  <si>
    <t>Trạm y tế xã Dương Quang</t>
  </si>
  <si>
    <t>QĐ 1519/QĐ-UBND ngày 23/9/2016</t>
  </si>
  <si>
    <t>Trường PTDTNT huyện Ba Bể</t>
  </si>
  <si>
    <t>1946/QĐ-UBND 31/10/2014</t>
  </si>
  <si>
    <t>Trường THPT Chuyên BK</t>
  </si>
  <si>
    <t>1790/QĐ-UBND ngày 04/11/2015</t>
  </si>
  <si>
    <t>THPT Na Rì, huyện Na Rì</t>
  </si>
  <si>
    <t>Nâng cấp, bổ sung cơ sở vật chất trường Phổ thông dân tộc nội trú huyện Ngân Sơn, tỉnh Bắc Kạn</t>
  </si>
  <si>
    <t>Trường THPT Chợ Đồn, huyện Chợ Đồn (giai đoạn 2)</t>
  </si>
  <si>
    <t>439/QĐ-UBND 31/3/2016</t>
  </si>
  <si>
    <t>Hoàn thiện cơ sở vật chất trường THPT Chợ Đồn</t>
  </si>
  <si>
    <t>Hoàn thiện cơ sở vật chất trường THPT Bình Trung</t>
  </si>
  <si>
    <t>781/QĐ-UBND ngày 06/6/2017</t>
  </si>
  <si>
    <t>Trường PTDTNT THCS huyện Chợ Mới</t>
  </si>
  <si>
    <t>2013-2018</t>
  </si>
  <si>
    <t>736/QĐ-UBND ngày 16/5/2013</t>
  </si>
  <si>
    <t>Trường Tiểu học và THCS xã Cao Trĩ</t>
  </si>
  <si>
    <t>1599/QĐ-UBND 31/3/2016</t>
  </si>
  <si>
    <t>Nâng cấp trường tiểu học thị trấn Chợ Rã I đạt chuẩn Quốc gia</t>
  </si>
  <si>
    <t>QĐ số: 435/QĐ-UBND ngày 31/3/2016</t>
  </si>
  <si>
    <t>Trường mầm non Hoàng Trĩ</t>
  </si>
  <si>
    <t>2330/QĐ-UBND ngày 31/12/2010</t>
  </si>
  <si>
    <t xml:space="preserve">Kiên cố hóa trường mầm non Địa Linh </t>
  </si>
  <si>
    <t>1601/QĐ-UBND ngày 31/3/2016</t>
  </si>
  <si>
    <t>Kiên cố hóa trường mầm non Bành Trạch</t>
  </si>
  <si>
    <t>1600/QĐ-UBND ngày 31/3/2016</t>
  </si>
  <si>
    <t xml:space="preserve">Kiên cố hóa trường mầm non Nam Mẫu </t>
  </si>
  <si>
    <t>602a/QĐ-UBND ngày 31/3/2016</t>
  </si>
  <si>
    <t>Trường tiểu học Thượng Giáo</t>
  </si>
  <si>
    <t>4136a/QĐ-UBND ngày 31/10/2016</t>
  </si>
  <si>
    <t xml:space="preserve"> DA hỗ trợ xây dựng nhà ở bán trú và các công trình thiết yếu trên địa bàn huyện Ba Bể giai đoạn 2016-2020</t>
  </si>
  <si>
    <t>2101a/QĐ-UBND ngày 15/8/2017</t>
  </si>
  <si>
    <t>Trường THCS Hà Hiệu, huyện Ba Bể</t>
  </si>
  <si>
    <t>1668/QĐ-UBND ngày 20/10/2016</t>
  </si>
  <si>
    <t>Nhà văn hóa xã Hà Hiệu</t>
  </si>
  <si>
    <t>923/QĐ-UBND ngày 30/6/2017</t>
  </si>
  <si>
    <t>Trường mầm non Rã Bản</t>
  </si>
  <si>
    <t>QĐ 1598a/QĐ-UBND, ngày 7/10/2016</t>
  </si>
  <si>
    <t xml:space="preserve"> DA hỗ trợ xây dựng nhà ở bán trú và các công trình thiết yếu trường phổ thông cơ sở Yên Mỹ, huyện Chợ Đồn</t>
  </si>
  <si>
    <t>QĐ số 2599/QĐ-UBND ngày 29/9/2017</t>
  </si>
  <si>
    <t xml:space="preserve">Trường mầm non Yên Nhuận </t>
  </si>
  <si>
    <t>527/QĐ-UBND ngày 31/03/2016</t>
  </si>
  <si>
    <t>Trường THCS Cao Kỳ</t>
  </si>
  <si>
    <t>Trường Tiểu học Bình Văn</t>
  </si>
  <si>
    <t>950a/QĐ-UBND ngày 31/3/2016</t>
  </si>
  <si>
    <t>DA hỗ trợ xây dựng nhà ở bán trú và các công trình thiết yếu trường tiểu học Cao Kỳ, huyện Chợ Mới</t>
  </si>
  <si>
    <t>Số 1602/QĐ-UBND, ngày 29/8/2017</t>
  </si>
  <si>
    <t xml:space="preserve"> Nâng câp, sửa chữa trường mầm non Yên Đĩnh để công nhận lại đạt chuẩn Quốc gia mức độ I</t>
  </si>
  <si>
    <t>Số 1548/QĐ-UBND ngày 31/9/2016</t>
  </si>
  <si>
    <t>Xây dựng nhà văn hóa tổ 2 thị trấn Chợ Mới, huyện Chợ Mới</t>
  </si>
  <si>
    <t>437/QĐ-UBND, ngày 31/3/2016</t>
  </si>
  <si>
    <t>Trường Tiểu học Như Cố II đạt chuẩn Quốc gia, huyện Chợ Mới</t>
  </si>
  <si>
    <t>Xây dựng nhà văn hóa tổ 5 thị trấn Chợ Mới, huyện Chợ Mới</t>
  </si>
  <si>
    <t>438/QĐ-UBND, ngày 31/3/2017</t>
  </si>
  <si>
    <t>Nhà văn hóa xã Như Cố</t>
  </si>
  <si>
    <t>Số 681/QĐ-UBND, ngày 17/5/2017</t>
  </si>
  <si>
    <t>Trường mầm non xã Văn Học</t>
  </si>
  <si>
    <t>2014-2015</t>
  </si>
  <si>
    <t>2396/QĐ-UBND ngày 25/10/2013</t>
  </si>
  <si>
    <t>Phòng học bộ môn trường THCS Kim Lư</t>
  </si>
  <si>
    <t>927/QĐ-UBND ngày 30/6/2017</t>
  </si>
  <si>
    <t>DA hỗ trợ xây dựng nhà ở bán trú và các công trình thiết yếu trên địa bàn huyện Na Rì giai đoạn 2016-2020</t>
  </si>
  <si>
    <t>2119/QĐ-UBND ngày 26/12/2016</t>
  </si>
  <si>
    <t>Nhà lớp học trường mầm non Kim Lư, huyện Na Rì</t>
  </si>
  <si>
    <t>714/QĐ-UBND ngày 24/3/2017</t>
  </si>
  <si>
    <t xml:space="preserve">Dự án chuyển tiếp </t>
  </si>
  <si>
    <t>Nhà hiệu bộ trường mầm non xã Hương Nê</t>
  </si>
  <si>
    <t>Trường THCS Vân Tùng</t>
  </si>
  <si>
    <t>01/2017 - 08/2017</t>
  </si>
  <si>
    <t>1708/QĐ-UBND ngày 25/10/2016</t>
  </si>
  <si>
    <t>DA hỗ trợ xây dựng nhà ở bán trú và các công trình thiết yếu trên địa bàn huyện Ngân Sơn giai đoạn 2016-2020</t>
  </si>
  <si>
    <t>Trường tiểu học Bằng Vân</t>
  </si>
  <si>
    <t>766a/QĐ-UBND ngày 30/3/2016</t>
  </si>
  <si>
    <t>Trường mầm non Bằng Vân (Hạng mục: 03 phòng học)</t>
  </si>
  <si>
    <t>1540/QĐ-UBND ngày 29/9/2017</t>
  </si>
  <si>
    <t>Khắc phục sạt lở tại phân trường Tiểu học Khâu Ban, xã Bằng Thành, huyện Pác Nặm</t>
  </si>
  <si>
    <t>7/2015 - 11/2015</t>
  </si>
  <si>
    <t>Số2061a/QĐ-UBND ngày 23/10/2014</t>
  </si>
  <si>
    <t>Trường mầm non Cổ Linh, huyện Pác Nặm, tỉnh Bắc Kạn</t>
  </si>
  <si>
    <t>605G/QĐ-UBND ngày 31/3/2016</t>
  </si>
  <si>
    <t>DA hỗ trợ xây dựng nhà ở bán trú và các công trình thiết yếu trên địa bàn huyện Pác Nặm giai đoạn 2016-2020</t>
  </si>
  <si>
    <t>1870/QĐ-UBND ngày 11/8/2017</t>
  </si>
  <si>
    <t>Kiên cố hóa trường mầm non xã Cổ Linh huyện Pác Nặm</t>
  </si>
  <si>
    <t>605/QĐ-UBND ngày 31/3/2016</t>
  </si>
  <si>
    <t>Kiên cố hóa trường mầm non xã Cao Tân huyện Pác Nặm</t>
  </si>
  <si>
    <t>605F/QĐ-UBND ngày 31/3/2016</t>
  </si>
  <si>
    <t>Kiên cố hóa trường mầm non xã Công Bằng huyện Pác Nặm</t>
  </si>
  <si>
    <t>605C/QĐ-UBND ngày 30/3/2016</t>
  </si>
  <si>
    <t>Kiên cố hóa trường mầm non xã Nghiên Loan huyện Pác Nặm</t>
  </si>
  <si>
    <t>605D/QĐ-UBND ngày 31/3/2016</t>
  </si>
  <si>
    <t>Kiên cố hóa trường mầm non xã An Thắng huyện Pác Nặm</t>
  </si>
  <si>
    <t>605E/QĐ-UBND ngày 31/3/2016</t>
  </si>
  <si>
    <t>Kiên cố hóa trường mầm non xã Giáo Hiệu huyện Pác Nặm</t>
  </si>
  <si>
    <t>605B/QĐ -UBND ngày 31/3/2016</t>
  </si>
  <si>
    <t xml:space="preserve">Trường Cao đẳng Nghề Dân tộc Nội trú </t>
  </si>
  <si>
    <t>Giáo dục và đào tạo nghề Bắc Kạn giai đoạn II (VIE/034)</t>
  </si>
  <si>
    <t>2036/ngày 04/12/2017</t>
  </si>
  <si>
    <t>LĨNH VỰC THÔNG TIN TRUYỀN THÔNG</t>
  </si>
  <si>
    <t>Tăng cường cơ sở vật chất cho hệ thống thông tin và truyền thông cơ sở tỉnh BK</t>
  </si>
  <si>
    <t>1493/QĐ-UBND ngày 25/09/2015</t>
  </si>
  <si>
    <t>K</t>
  </si>
  <si>
    <t>LĨNH VỰC Y TẾ</t>
  </si>
  <si>
    <t>Trạm y tế thị trấn Yến Lạc</t>
  </si>
  <si>
    <t> 2014-2017</t>
  </si>
  <si>
    <t>1788/QĐ-UBND ngày 23/10/2013</t>
  </si>
  <si>
    <t>Trung tâm phòng chống HIV/AIDS tỉnh Bắc Kạn</t>
  </si>
  <si>
    <t>2812/QĐ-UBND ngày 31/12/2008</t>
  </si>
  <si>
    <t>Trung tâm truyền thông giáo dục sức khỏe tỉnh Bắc Kạn</t>
  </si>
  <si>
    <t>3339/QD-UBND ngày 29/10/2009</t>
  </si>
  <si>
    <t>Mua sắm TTB cho hoạt động của các chương trình phòng chống Lao, phòng chống Phong và chăm sóc sức khỏe tâm thần cộng đồng thuộc Trung tâm PCBXH</t>
  </si>
  <si>
    <t>1898/QĐ- UBND ngày 14/11/2011</t>
  </si>
  <si>
    <t>Xử lý chất thải rắn y tế bệnh viện đa khoa Bắc Kạn thuộc dự án Hỗ trợ xử lý chất thải bệnh viện tỉnh Bắc Kạn</t>
  </si>
  <si>
    <t>2026/QĐ-BYT ngày 29/5/2015</t>
  </si>
  <si>
    <t>Bệnh viện đa khoa Bắc Kạn (hợp phần GPMB)</t>
  </si>
  <si>
    <t>1833/QĐ-UBND ngày 05-10 2011</t>
  </si>
  <si>
    <t>Trạm y tế xã Quân Bình</t>
  </si>
  <si>
    <t>QĐ 802 ngày 21/4/2016</t>
  </si>
  <si>
    <t>Trạm y tế xã Vũ Muộn</t>
  </si>
  <si>
    <t>QĐ1884 ngày 14/11/2016</t>
  </si>
  <si>
    <t>Ban QLDA Đầu tư và Xây dựng Tỉnh</t>
  </si>
  <si>
    <t>Nâng cấp, mở rộng trung tâm chữa bệnh giáo dục lao động xã hội</t>
  </si>
  <si>
    <t>2005-2017</t>
  </si>
  <si>
    <t>Số 1902/QĐ-UBND ngày 16/8/2005</t>
  </si>
  <si>
    <t>Trạm Y Tế xã Nông Thịnh, huyện Chợ Mới, tỉnh Bắc Kạn</t>
  </si>
  <si>
    <t>738/QĐ-UBND ngày 16/5/2013</t>
  </si>
  <si>
    <t xml:space="preserve">Mua sắm trang thiết bị trung tâm Kiểm nghiệm Thuốc - Mỹ phẩm - Thực phẩm tỉnh Bắc Kạn </t>
  </si>
  <si>
    <t>2015- 
2017</t>
  </si>
  <si>
    <t>2289/QĐ-UBND ngày 16/12/2013</t>
  </si>
  <si>
    <t xml:space="preserve">Bệnh viện đa khoa Bắc Kạn </t>
  </si>
  <si>
    <t>Ban QLDA Bệnh viện đa khoa Tỉnh</t>
  </si>
  <si>
    <t>Bệnh viện đa khoa và trung tâm đào tạo y tế tỉnh Bắc Kạn</t>
  </si>
  <si>
    <t>2011-2016</t>
  </si>
  <si>
    <t xml:space="preserve">1913/QĐ-UBND ngày 21/11/2016 </t>
  </si>
  <si>
    <t>L</t>
  </si>
  <si>
    <t>LĨNH VỰC KHÁC</t>
  </si>
  <si>
    <t>Ban Thực hiện Dự án Phát triển Du lịch Mê Kông</t>
  </si>
  <si>
    <t>Phát triển du lịch bền vững tiểu vùng sông Mê Kông mở rộng giai đoạn I</t>
  </si>
  <si>
    <t>5284/QĐ-BVHTTDL ngày 22/12/2008</t>
  </si>
  <si>
    <t>Chương trình đô thị miền núi phía Bắc, thị xã BK giai đoạn I</t>
  </si>
  <si>
    <t>1950 ngày 31/10/2014</t>
  </si>
  <si>
    <t>Chương trình đô thị miền núi phía Bắc, thị xã BK giai đoạn II</t>
  </si>
  <si>
    <t>2017-2020</t>
  </si>
  <si>
    <t>1721/QĐ-UBND ngày 30/10/2015</t>
  </si>
  <si>
    <t>Dự toán năm 2017</t>
  </si>
  <si>
    <t>Năm trước chuyển sang</t>
  </si>
  <si>
    <t>Bổ sung trong năm</t>
  </si>
  <si>
    <t>Ngân sách cấp tỉnh(huyện)</t>
  </si>
  <si>
    <t>CT MTQG giảm nghèo bền vững</t>
  </si>
  <si>
    <t>Văn phòng điều phối xây dựng Nông thôn mới và giảm nghèo</t>
  </si>
  <si>
    <t xml:space="preserve">Kinh phí truyền thông </t>
  </si>
  <si>
    <t>Kinh phí nâng cao năng lực, giám sát đánh giá chương trình</t>
  </si>
  <si>
    <t>Truyền thông và giảm nghèo về thông tin (Sở Thông tin và Truyền thông)</t>
  </si>
  <si>
    <t>Tiểu dự án 3: Tập huấn nâng cao năng lực cán bộ cơ sở và cộng đồng (Ban dân tộc)</t>
  </si>
  <si>
    <t>Chương trình MTQG xây dựng nông thôn mới</t>
  </si>
  <si>
    <t>KP Ban chỉ đạo Chương trình</t>
  </si>
  <si>
    <t>KP đào tạo, tập huấn</t>
  </si>
  <si>
    <t>KP tuyên truyền</t>
  </si>
  <si>
    <t>Hỗ trợ phát triển ngành nghề nông thôn</t>
  </si>
  <si>
    <t xml:space="preserve">Sở Nông nghiệp và PTNT </t>
  </si>
  <si>
    <t>KP đào tạo nghề cho nông nghiệp</t>
  </si>
  <si>
    <t>Hỗ trợ các HTX xây dựng mô hình</t>
  </si>
  <si>
    <t>Phổ cập GD mầm non 5 tuổi, xóa mù chữ, chống tái mù chữ, duy trì PCGD tiểu học, thực hiện PCGD THCS (Sở Giáo dục và Đào tạo)</t>
  </si>
  <si>
    <t>Sở Nội vụ (Bồi dưỡng cán bộ công chức xã)</t>
  </si>
  <si>
    <t>Sở Lao động Kinh phí đào tạo nghề cho lao động nông thôn</t>
  </si>
  <si>
    <t>Nâng cao chất lượng đào tạo nghề chho lao động nông thôn</t>
  </si>
  <si>
    <t>Nâng cao năng lực xây dựng nông thôn mới  và công tác giám sát, đánh giá thực hiện chương trình</t>
  </si>
  <si>
    <t>Hỗ trợ bồi dưỡng nguồn nhân lực của HTX (Liên minh hợp tác xã)</t>
  </si>
  <si>
    <t>Chương trình mục tiêu quốc gia về giáo dục và đào tạo (BQLDA đầu tư xây dựng tỉnh)</t>
  </si>
  <si>
    <t>Dự án hỗ trợ giáo dục miền núi, vùng dân tộc thiểu số và vùng có điều kiện khó khăn</t>
  </si>
  <si>
    <t>Dự án tăng cường năng lực đào tạo các cơ sở giáo dục</t>
  </si>
  <si>
    <t>Dự án tăng cường cơ sở vật chất trường học</t>
  </si>
  <si>
    <t>Dự án hỗ trợ giáo dục miền núi, vùng dân tộc thiểu số và vùng khó khăn; hỗ trợ cơ sở vật chất trường chuyên, trường sư phạm</t>
  </si>
  <si>
    <t>Chương trình mục tiêu quốc gia về văn hóa (BQLDA đầu tư xây dựng tỉnh)</t>
  </si>
  <si>
    <t>Dự án bảo tồn, tôn tạo, phục hồi các di tích ATK tỉnh Bắc Kạn</t>
  </si>
  <si>
    <t>Dự án tôn tạo di tích lịch sử địa điểm lưu niệm nơi Bác Hồ dừng chân trên đường từ Pác Bó về Tân Trào năm 1945</t>
  </si>
  <si>
    <t>Sở Y tế</t>
  </si>
  <si>
    <t>QUYẾT TOÁN CHI CÁC CHƯƠNG TRÌNH MTQG CẤP TỈNH NĂM 2017</t>
  </si>
  <si>
    <t>QUYẾT TOÁN CHI ĐẦU TƯ PHÁT TRIỂN CỦA NGÂN SÁCH CẤP TỈNH 
CHO TỪNG CƠ QUAN, TỔ CHỨC THEO LĨNH VỰC NĂM 2017</t>
  </si>
  <si>
    <t>Chi nông nghiệp, lâm nghiệp, thủy lợi, thủy sản...</t>
  </si>
  <si>
    <t xml:space="preserve">UBND thành phố Bắc Kạn </t>
  </si>
  <si>
    <t>Ban Quản lý Dự án đầu tư và Xây dựng tỉnh Bắc Kạn</t>
  </si>
  <si>
    <t>Ban Quản lý Dự án đầu tư xây dựng công trình Bệnh viện đa khoa Bắc Kạn</t>
  </si>
  <si>
    <t>Công ty Cổ phần Cấp thoát nước Bắc Kạn</t>
  </si>
  <si>
    <t xml:space="preserve">Bộ Chỉ huy Quân sự </t>
  </si>
  <si>
    <t xml:space="preserve">Ban Quản lý Dự án Công trình Giao thông tỉnh Bắc Kạn </t>
  </si>
  <si>
    <t xml:space="preserve">Sở Giao thông Vận tải tỉnh Bắc Kạn </t>
  </si>
  <si>
    <t xml:space="preserve">Công ty TNHH MTV Lâm nghiệp Bắc Kạn </t>
  </si>
  <si>
    <t xml:space="preserve">Chi cục Kiểm Lâm </t>
  </si>
  <si>
    <t>Sở Văn hóa Thể thao và Du lịch</t>
  </si>
  <si>
    <t>Trung tâm Công nghệ Thông tin và Truyền thông</t>
  </si>
  <si>
    <t xml:space="preserve">Đài Phát thanh và truyền hình </t>
  </si>
  <si>
    <t>Sở Y Tế tỉnh Bắc Kạn</t>
  </si>
  <si>
    <t>Công ty Phát triển Hạ tầng Khu công nghiệp</t>
  </si>
  <si>
    <t>Trung tâm Kỹ thuật tổng hợp hướng nghiệp và dạy nghề</t>
  </si>
  <si>
    <t>Trường Cao đẳng Nghề Dân tộc Nội trú Tỉnh</t>
  </si>
  <si>
    <t xml:space="preserve">Sở Khoa học và Công nghệ </t>
  </si>
  <si>
    <t xml:space="preserve">Ban Điều phối Dự án hỗ trợ kinh doanh nông hộ </t>
  </si>
  <si>
    <t>.</t>
  </si>
  <si>
    <t xml:space="preserve">Trung tâm nước sinh hoạt và vệ sinh môi trường </t>
  </si>
  <si>
    <t>Ủy ban nhân dân huyện Ba Bể</t>
  </si>
  <si>
    <t>Ủy ban nhân dân huyện Bạch Thông</t>
  </si>
  <si>
    <t>Ủy ban nhân dân huyện Ngân Sơn</t>
  </si>
  <si>
    <t>Ủy ban nhân dân huyện Chợ Đồn</t>
  </si>
  <si>
    <t>Ủy ban nhân dân huyện Pác Nặm</t>
  </si>
  <si>
    <t>Ủy ban nhân dân huyện Chợ Mới</t>
  </si>
  <si>
    <t>Ủy ban nhân dân huyện Na Rì</t>
  </si>
  <si>
    <t>Biểu số 55-NĐ31</t>
  </si>
  <si>
    <t>Sở Tài chính</t>
  </si>
  <si>
    <t>Quyết toán 2017</t>
  </si>
  <si>
    <t>Khối quản lý nhà nước</t>
  </si>
  <si>
    <t xml:space="preserve">VP Đoàn ĐBQH và HĐND </t>
  </si>
  <si>
    <t xml:space="preserve">Văn phòng UBND </t>
  </si>
  <si>
    <t>Sở Tư pháp</t>
  </si>
  <si>
    <t>Sở Công Thương</t>
  </si>
  <si>
    <t>Sở Văn hoá Thể thao và DL</t>
  </si>
  <si>
    <t xml:space="preserve">Sở Lao động TB &amp; XH </t>
  </si>
  <si>
    <t>Sở Khoa học và Công nghệ</t>
  </si>
  <si>
    <t>Sở Nông nghiệp &amp; PTNT</t>
  </si>
  <si>
    <t>Sở Tài nguyên Môi trường</t>
  </si>
  <si>
    <t>Sở Giáo dục Đào tạo</t>
  </si>
  <si>
    <t xml:space="preserve">Thanh tra Nhà nước </t>
  </si>
  <si>
    <t>Chi cục Quản lý thị trường</t>
  </si>
  <si>
    <t>Vườn quốc gia Ba Bể</t>
  </si>
  <si>
    <t>Trường Cao đẳng Cộng đồng</t>
  </si>
  <si>
    <t xml:space="preserve">Ban Dân tộc </t>
  </si>
  <si>
    <t xml:space="preserve">Ban QLDA các khu công nghiệp  </t>
  </si>
  <si>
    <t>Văn phòng Ban an toàn GT</t>
  </si>
  <si>
    <t>Ban quản lý dự án  JICA</t>
  </si>
  <si>
    <t>Quỹ phát triển đất</t>
  </si>
  <si>
    <t>Qũy bảo vệ môi trường</t>
  </si>
  <si>
    <t>Quỹ phát triển đất, rừng và bảo vệ môi trường</t>
  </si>
  <si>
    <t>Trường cao đẳng nghề DTNT</t>
  </si>
  <si>
    <t>Văn phòng điều phối</t>
  </si>
  <si>
    <t>Ban quản dự án công trình giao thông</t>
  </si>
  <si>
    <t>Ban Quản lý dạ án đầu tư xây dựng tỉnh</t>
  </si>
  <si>
    <t>Khối Đảng</t>
  </si>
  <si>
    <t>Văn phòng Tỉnh uỷ</t>
  </si>
  <si>
    <t>Trường chính trị</t>
  </si>
  <si>
    <t xml:space="preserve">Các tổ chức CT-XH </t>
  </si>
  <si>
    <t>Tỉnh đoàn</t>
  </si>
  <si>
    <t xml:space="preserve">Hội Phụ nữ </t>
  </si>
  <si>
    <t xml:space="preserve">Uỷ ban Mặt trận Tổ quốc </t>
  </si>
  <si>
    <t xml:space="preserve">Hội Nông dân </t>
  </si>
  <si>
    <t xml:space="preserve">Hội Cựu chiến binh </t>
  </si>
  <si>
    <t>Hỗ trợ các tổ chức XH, tổ chức XH-nghề nghiệp</t>
  </si>
  <si>
    <t>Hội chữ thập đỏ</t>
  </si>
  <si>
    <t>Hội Đông y</t>
  </si>
  <si>
    <t>Hội Văn học Nghệ thuật</t>
  </si>
  <si>
    <t>Hội Nhà báo</t>
  </si>
  <si>
    <t>Hội Luật gia</t>
  </si>
  <si>
    <t xml:space="preserve">Hội Khuyến học </t>
  </si>
  <si>
    <t xml:space="preserve">Hội Cựu TNXP </t>
  </si>
  <si>
    <t>Hội Bảo trợ người TT &amp; TEMC</t>
  </si>
  <si>
    <t>Hội nạn nhân chất độc Da cam/Dioxin</t>
  </si>
  <si>
    <t>Hội Người cao tuổi tỉnh</t>
  </si>
  <si>
    <t>Hội làm vườn</t>
  </si>
  <si>
    <t>Hội Liên hiệp Thanh niên Việt Nam</t>
  </si>
  <si>
    <t>Liên hiệp hội khoa học</t>
  </si>
  <si>
    <t>Chi An ninh - Quốc phòng</t>
  </si>
  <si>
    <t>Công an tỉnh</t>
  </si>
  <si>
    <t xml:space="preserve">Bộ Chỉ huy quân sự tỉnh </t>
  </si>
  <si>
    <t>QUYẾT TOÁN CHI THƯỜNG XUYÊN CỦA NGÂN SÁCH CẤP TỈNH CHO TỪNG CƠ QUAN, ĐƠN VỊ THEO TỪNG LĨNH VỰC NĂM 2017</t>
  </si>
  <si>
    <t>Biểu mẫu số 56-NĐ31</t>
  </si>
  <si>
    <t>Nguồn năm trước chuyển sang (nếu có)</t>
  </si>
  <si>
    <t>7=1-6</t>
  </si>
  <si>
    <t>Biểu mẫu số 57-NĐ31</t>
  </si>
  <si>
    <t>TỔNG HỢP QUYẾT TOÁN CHI THƯỜNG XUYÊN NGÂN SÁCH CẤP TỈNH 
 CỦA TỪNG CƠ QUAN, TỔ CHỨC THEO NGUỒN VỐN NĂM 2017</t>
  </si>
  <si>
    <t>Số chưa cấp phát</t>
  </si>
  <si>
    <t>* Ghi chú: Số quyết toán trên bao gồm số quyết toán ghi thu ghi chi</t>
  </si>
  <si>
    <t>Biểu mẫu số 58 - NĐ 31</t>
  </si>
  <si>
    <t>QUYẾT TOÁN CHI NGÂN SÁCH ĐỊA PHƯƠNG TỪNG HUYỆN NĂM 2017</t>
  </si>
  <si>
    <t>Chi CT MTQG</t>
  </si>
  <si>
    <t>Chi khoa học và CN</t>
  </si>
  <si>
    <t>Biểu mẫu số 60 - NĐ 31</t>
  </si>
  <si>
    <t>Số bổ sung có mục tiêu từ ngân sách cấp trên</t>
  </si>
  <si>
    <t>Thu từ ngân sách cấp dưới nộp lên</t>
  </si>
  <si>
    <t>Thu viện trợ, thu huy động đóng góp</t>
  </si>
  <si>
    <t>nháp số kết dư, đã khớp</t>
  </si>
  <si>
    <t>- Thuế giá trị gia tăng</t>
  </si>
  <si>
    <t>- Thuế thu nhập doanh nghiệp</t>
  </si>
  <si>
    <t>- Thuế tiêu thụ đặc biệt</t>
  </si>
  <si>
    <t>- Thuế tài nguyên</t>
  </si>
  <si>
    <t xml:space="preserve"> - Thu khác</t>
  </si>
  <si>
    <t>Thu từ khu vực doanh nghiệp có vốn đầu tư nước ngoài</t>
  </si>
  <si>
    <t>- Tiền thuê mặt đất, mặt nước</t>
  </si>
  <si>
    <t>Thu từ khu vực kinh tế ngoài quốc doanh</t>
  </si>
  <si>
    <t>Phí và lệ phí trung ương thu</t>
  </si>
  <si>
    <t>Phí và lệ phí địa phương thu</t>
  </si>
  <si>
    <t>Thu cố định tại xã</t>
  </si>
  <si>
    <t>Thu viện trợ, huy động đóng góp</t>
  </si>
  <si>
    <t xml:space="preserve">NGÂN SÁCH CẤP TỈNH </t>
  </si>
  <si>
    <t>Biểu mẫu số 49-NĐ31</t>
  </si>
  <si>
    <t>Chi thuộc nhiệm vụ của ngân sách cấp tỉnh</t>
  </si>
  <si>
    <t xml:space="preserve">Chi trả nợ gốc từ nguồn bội thu, tăng thu, tiết kiệm, kết dư ngân sách cấp tỉnh </t>
  </si>
  <si>
    <t>QUYẾT TOÁN CÂN ĐỐI NGUỒN THU, CHI 
NGÂN SÁCH CẤP TỈNH VÀ NGÂN SÁCH HUYỆN NĂM 2017</t>
  </si>
  <si>
    <t>Chi thuộc nhiệm vụ của ngân sách cấp huyện</t>
  </si>
  <si>
    <t>QUYẾT TOÁN CHI NGÂN SÁCH ĐỊA PHƯƠNG, CHI NGÂN SÁCH CẤP TỈNH 
VÀ CHI NGÂN SÁCH HUYỆN THEO CƠ CẤU CHI NĂM 2017</t>
  </si>
  <si>
    <t xml:space="preserve">Ngân sách cấp tỉnh </t>
  </si>
  <si>
    <t xml:space="preserve">Dự toán </t>
  </si>
  <si>
    <t>Chương trình MTQG giảm nghèo bền vững</t>
  </si>
  <si>
    <t>Vốn đầu tư</t>
  </si>
  <si>
    <t>Vốn sự nghiệp</t>
  </si>
  <si>
    <t>Chương trình phát triển kinh tế xã hội các vùng</t>
  </si>
  <si>
    <t>Vốn trong nước (Nguồn TW bổ sung có mục tiêu)</t>
  </si>
  <si>
    <t>Chương trình mục tiêu quốc phòng, an ninh trên địa bàn trọng điểm</t>
  </si>
  <si>
    <t>Chương trình mục tiêu phát triển hạ tầng du lịch</t>
  </si>
  <si>
    <t>Chương trình phát triển lâm nghiệp bền vững</t>
  </si>
  <si>
    <t>Chương trình Hỗ trợ giáo dục vùng núi, vùng dân tộc thiểu số, vùng khó khăn</t>
  </si>
  <si>
    <t>Chương trình Hỗ trợ đối ứng ODA</t>
  </si>
  <si>
    <t>Chương trình mục tiêu công nghệ thông tin</t>
  </si>
  <si>
    <t>Vốn nước ngoài</t>
  </si>
  <si>
    <t>Nguồn trái phiếu chính phủ</t>
  </si>
  <si>
    <t>1.4</t>
  </si>
  <si>
    <t>1.5</t>
  </si>
  <si>
    <t>1.6</t>
  </si>
  <si>
    <t>Nguồn dự phòng ngân sách Trung ương năm 2016</t>
  </si>
  <si>
    <t>1.7</t>
  </si>
  <si>
    <t>Nguồn CTMTQG văn hóa đã chuyển sang năm 2017</t>
  </si>
  <si>
    <t>Chương trình mở rộng quy mô vệ sinh và nước sạch nông thôn dựa trên kết quả</t>
  </si>
  <si>
    <t>2.2</t>
  </si>
  <si>
    <t>Đề án đào tạo, bồi dưỡng cán bộ hội liên hiệp phụ nữ các cấp</t>
  </si>
  <si>
    <t>Chính sách trợ giúp pháp lý theo QĐ số 32/2016/QĐ-TTg</t>
  </si>
  <si>
    <t>Kinh phí thực hiện DA hoàn thiện, hiện đại hóa hồ sơ, bản đồ, địa giới hành chính và xây dựng cơ sở dữ liệu về địa giới hành chính năm 2016</t>
  </si>
  <si>
    <t>KP hỗ trợ tiền điện hộ nghèo, hộ chính sách xã hội năm 2017</t>
  </si>
  <si>
    <t>Kinh phí triển khai công tác tuyên truyền và đấu tranh xóa bỏ "Tổ chức Dương Văn Mình"</t>
  </si>
  <si>
    <t>KP tổ chức, sử dụng LĐ là người DT thiểu số theo QĐ 42 của năm 2016</t>
  </si>
  <si>
    <t>Hỗ trợ kinh phí năm 2016 và năm 2017 thực hiện Quyết định số 2242/QĐ-TTg</t>
  </si>
  <si>
    <t>Hỗ trợ kinh phí Hội VHNT, Hội nhà báo</t>
  </si>
  <si>
    <t>KP mua thẻ BHYT cho các đối tượng chính sách năm 2016, 2017</t>
  </si>
  <si>
    <t>CT MT PT lâm nghiệp bền vững năm 2017</t>
  </si>
  <si>
    <t>CTMT tái cơ cấu NN, PC giảm nhẹ thiên tai, ổn định đời sống dân cư năm 2017</t>
  </si>
  <si>
    <t>Hỗ trợ phụ nữ nghèo là người dân tộc thiểu số sinh con đúng chính sách</t>
  </si>
  <si>
    <t>Hỗ trợ mua thiết bị chiếu phim và ô tô chuyên dùng chiếu phim lưu động năm 2017</t>
  </si>
  <si>
    <t>Chương trình mục tiêu y tế - dân số năm 2017</t>
  </si>
  <si>
    <t>KP trợ cấp một lần theo QĐ 24/2016/QĐ-TTg</t>
  </si>
  <si>
    <t>Chương trình mục tiêu giáo dục nghề nghiệp - Việc làm và ATLĐ năm 2017</t>
  </si>
  <si>
    <t>KP thực hiện chính sách nội trú theo QĐ 53</t>
  </si>
  <si>
    <t>Chương trình mục tiêu phát triển văn hóa</t>
  </si>
  <si>
    <t>Chương trình mục tiêu quốc gia về văn hóa</t>
  </si>
  <si>
    <t>Chương trình mục tiêu quốc gia về giáo dục và đào tạo</t>
  </si>
  <si>
    <t>KP quản lý, bảo trì đường bộ năm 2017</t>
  </si>
  <si>
    <t>Hỗ trợ miễn giảm học phí và hỗ trợ CP học tập</t>
  </si>
  <si>
    <t>CT MT phát triển hệ thống xã hội</t>
  </si>
  <si>
    <t>Kinh phí mua sắm thiết bị dạy nghề cho các nghề trọng điểm</t>
  </si>
  <si>
    <t>CTMT Giáo dục vùng núi, vùng dân tộc thiểu số, vùng khó khăn</t>
  </si>
  <si>
    <t>Kinh phí khắc phục ô nhiễm môi trường do tồn lưu hóa chất bảo vệ thực vật tại Bản Vén, xã Đôn Phong</t>
  </si>
  <si>
    <t>Kinh phí quản lý, sử dụng đất trồng lúa theo Nghị định số 35/2015/NĐ-CP</t>
  </si>
  <si>
    <t>Chính sách đầu tư phát triển rừng Đặc dụng theo Quyết định số 24/2012/QĐ-TTg</t>
  </si>
  <si>
    <t>Chính sách hỗ trợ học sinh theo Nghị định số 116/2016/NĐ-CP</t>
  </si>
  <si>
    <t>Kinh phí thực hiện Quyết định 102/2009/QĐ-TTg</t>
  </si>
  <si>
    <t>Kinh phí hỗ trợ trẻ ăn trưa 3-5 tuổi</t>
  </si>
  <si>
    <t>Kinh phí cấp bù thủy lợi phí</t>
  </si>
  <si>
    <t>Kinh phí khắc phụ hạn hán vụ đông xuân 2015-2016</t>
  </si>
  <si>
    <t>KP hỗ trợ học sinh khuyết tật theo TTLT số 42/2013/TTLT/BGDĐT-BLĐTBXH-BTC</t>
  </si>
  <si>
    <t>Chính sách hỗ trợ quản lý học sinh theo NQ 54/2016/NQ-HĐND</t>
  </si>
  <si>
    <t>Chính sách cho học sinh nội trú theo TT 109/2009/TTLT/BTC-BGDĐT</t>
  </si>
  <si>
    <t>Hỗ trợ chi phí học tập đối với sinh viên là người dân tộc thiểu số tại các cơ sở giáo dục đại học theo QĐ số 66/2013/QĐ-TTg</t>
  </si>
  <si>
    <t>Hỗ trợ chính sách ngành y tế do EU viện trợ</t>
  </si>
  <si>
    <t>Chi đầu tư từ nguồn vốn ODA ngân sách tỉnh vay lại</t>
  </si>
  <si>
    <t>1.8</t>
  </si>
  <si>
    <t>Nguồn vốn vay tín dụng ưu đãi</t>
  </si>
  <si>
    <t>1.9</t>
  </si>
  <si>
    <t>Nguồn ngân sách tỉnh Thái nguyên hỗ trợ</t>
  </si>
  <si>
    <t>1.10</t>
  </si>
  <si>
    <t>Nguồn ngân sách tỉnh hoàn ứng dự án Bản Piêng</t>
  </si>
  <si>
    <t xml:space="preserve">Kp khắc phục thệt hại do thiên tai năm 2017 </t>
  </si>
  <si>
    <t xml:space="preserve">Vốn khắc phục thệt hại do thiên tai năm 2017 </t>
  </si>
  <si>
    <t>CHƯƠNG TRÌNH 135, DỰ ÁN TRỒNG MỚI 5 TRIỆU HA RỪNG, MỘT SỐ MỤC TIÊU NHIỆM VỤ KHÁC NĂM 2016</t>
  </si>
  <si>
    <t>Quyết toán năm 2017</t>
  </si>
  <si>
    <t>Mã</t>
  </si>
  <si>
    <t>Kinh phí khắc phục thiệt hại do mưa bão, sạt lở đất</t>
  </si>
  <si>
    <t>Vốn thường xuyên</t>
  </si>
  <si>
    <t>Chương trình SEQAP</t>
  </si>
  <si>
    <t>CTMT phát triển lâm nghiệp bền vững</t>
  </si>
  <si>
    <t>Hỗ trợ trẻ ăn trưa 3,4,5 tuổi</t>
  </si>
  <si>
    <t>Hỗ trợ chi phí học tập, miễn giảm học phí  theo Nghị định 86</t>
  </si>
  <si>
    <t>Hỗ trợ học sinh bán trú và trường PTDT bán trú theo NĐ 116/2016/NĐ-CP</t>
  </si>
  <si>
    <t>Nguồn tỉnh</t>
  </si>
  <si>
    <t>Nguồn huyện</t>
  </si>
  <si>
    <t>Kinh phí thực hiện chính sách bảo trợ xã hội theo Nghị định 136</t>
  </si>
  <si>
    <t>Kinh phí thực hiện chính sách đối với người có uy tín trong đồng bào dân tộc thiểu số</t>
  </si>
  <si>
    <t>Kinh phí thực hiện nhiệm vụ đo đạc cấp giấy chứng nhận quyền sử dụng đất và cơ sở dữ liệu đất đai</t>
  </si>
  <si>
    <t xml:space="preserve">Hỗ trợ hộ nghèo tiền điện </t>
  </si>
  <si>
    <t>Kinh phí Bảo vệ và phát triển đất trồng lúa theo NĐ 35/2015/NĐ-CP</t>
  </si>
  <si>
    <t>Cấp bù thủy lợi phí</t>
  </si>
  <si>
    <t>Hỗ trợ học sinh khuyết tật theo Thông tư 42/2014/TT-BTC</t>
  </si>
  <si>
    <t>KP chi trả trợ cấp một lần theo QĐ 24/2016/QĐ-TTg</t>
  </si>
  <si>
    <t>Kinh phí xóa bỏ tổ chức Dương Văn Mình</t>
  </si>
  <si>
    <t>Kinh phí thực hiện tinh giản biên chế theo Nghị định 108/2014/NĐ-CP</t>
  </si>
  <si>
    <t>KP hỗ trợ phụ nữ nghèo sinh con đúng chính sách</t>
  </si>
  <si>
    <t>Kinh phí hỗ trợ học tập đối với sinh viên thuộc hộ nghèo theo QĐ66</t>
  </si>
  <si>
    <t xml:space="preserve">Hỗ trợ trực tiếp cho người nghèo theo QĐ 102/QĐ-TTg </t>
  </si>
  <si>
    <t>KP nghỉ hưu trước tuổi theo NĐ 26</t>
  </si>
  <si>
    <t>KP phòng trừ bệnh lùn sọc đen</t>
  </si>
  <si>
    <t>Kinh phí thực hiện Chương trình quốc gia về ma túy</t>
  </si>
  <si>
    <t>KP chương trình DA phát triển hệ thống bảo vệ trẻ em</t>
  </si>
  <si>
    <t>Kinh phí bảo trợ xã hội theo NĐ 136</t>
  </si>
  <si>
    <t>Kinh phí thực hiện chính sách tinh giản biên chế theo NĐ 108/2014/NĐ-CP năm 2017</t>
  </si>
  <si>
    <t>Dự án định canh định cư thôn Bản Piêng, xã Vân Tùng, huyện Ngân Sơn.</t>
  </si>
  <si>
    <t>1001/QĐ-UBND ngày 13/5/2009</t>
  </si>
  <si>
    <t>Chi Chương trình MTQG</t>
  </si>
  <si>
    <t>Các đơn vị, tổ chức khác</t>
  </si>
  <si>
    <t>Liên minh các HTX</t>
  </si>
  <si>
    <t>Văn phòng điều phối XD NTM&amp;GN</t>
  </si>
  <si>
    <t>Các huyện, thành phố</t>
  </si>
  <si>
    <t>CÁC CƠ QUAN, TỔ CHỨC</t>
  </si>
  <si>
    <t>1.11</t>
  </si>
  <si>
    <t>1.12</t>
  </si>
  <si>
    <t>1.13</t>
  </si>
  <si>
    <t>1.14</t>
  </si>
  <si>
    <t>1.15</t>
  </si>
  <si>
    <t>1.16</t>
  </si>
  <si>
    <t>1.17</t>
  </si>
  <si>
    <t>1.18</t>
  </si>
  <si>
    <t>1.19</t>
  </si>
  <si>
    <t>1.20</t>
  </si>
  <si>
    <t>1.21</t>
  </si>
  <si>
    <t>1.22</t>
  </si>
  <si>
    <t>1.23</t>
  </si>
  <si>
    <t>1.24</t>
  </si>
  <si>
    <t>1.25</t>
  </si>
  <si>
    <t>1.26</t>
  </si>
  <si>
    <t>1.27</t>
  </si>
  <si>
    <t>1.28</t>
  </si>
  <si>
    <t>1.29</t>
  </si>
  <si>
    <t>1.30</t>
  </si>
  <si>
    <t>1.31</t>
  </si>
  <si>
    <t>3.1</t>
  </si>
  <si>
    <t>3.2</t>
  </si>
  <si>
    <t>3.3</t>
  </si>
  <si>
    <t>3.4</t>
  </si>
  <si>
    <t>3.5</t>
  </si>
  <si>
    <t>4.1</t>
  </si>
  <si>
    <t>4.2</t>
  </si>
  <si>
    <t>4.3</t>
  </si>
  <si>
    <t>4.4</t>
  </si>
  <si>
    <t>4.5</t>
  </si>
  <si>
    <t>4.6</t>
  </si>
  <si>
    <t>4.7</t>
  </si>
  <si>
    <t>4.8</t>
  </si>
  <si>
    <t>4.9</t>
  </si>
  <si>
    <t>4.10</t>
  </si>
  <si>
    <t>4.11</t>
  </si>
  <si>
    <t>4.12</t>
  </si>
  <si>
    <t>4.13</t>
  </si>
  <si>
    <t>4.14</t>
  </si>
  <si>
    <t>5.1</t>
  </si>
  <si>
    <t>5.2</t>
  </si>
  <si>
    <t>6.1</t>
  </si>
  <si>
    <t>6.2</t>
  </si>
  <si>
    <t>Ban trị sự hội phật giáo</t>
  </si>
  <si>
    <t>HTX Cao Phong</t>
  </si>
  <si>
    <t>HTX Đồng Tâm</t>
  </si>
  <si>
    <t>Chi cục thi hành án Na Rì</t>
  </si>
  <si>
    <t>UBND tỉnh Thái Nguyên</t>
  </si>
  <si>
    <t>Công ty TNHH MTV quản lý, khai thác công trình thủy lợi Bắc Kạn</t>
  </si>
  <si>
    <t>Chi nhánh Ngân hàng chính sách xã hội tỉnh Bắc Kạn</t>
  </si>
  <si>
    <t>Bảo hiểm xã hội tỉnh Bắc Kạn</t>
  </si>
  <si>
    <t>Công ty điện lực Bắc Kạn</t>
  </si>
  <si>
    <t>Liên đoàn lao động tỉnh Bắc Kạn</t>
  </si>
  <si>
    <t>Bưu điện tỉnh Bắc Kạn</t>
  </si>
  <si>
    <t>Cục Thi hành án dân sự tỉnh</t>
  </si>
  <si>
    <t>Kho Bạc nhà nước tỉnh</t>
  </si>
  <si>
    <t>HTX Thắng Lợi</t>
  </si>
  <si>
    <t>Công ty TNHH Trường Thành Bắc Kạn</t>
  </si>
  <si>
    <t>6.3</t>
  </si>
  <si>
    <t>6.4</t>
  </si>
  <si>
    <t>6.5</t>
  </si>
  <si>
    <t>6.6</t>
  </si>
  <si>
    <t>6.7</t>
  </si>
  <si>
    <t>6.8</t>
  </si>
  <si>
    <t>6.9</t>
  </si>
  <si>
    <t>6.10</t>
  </si>
  <si>
    <t>6.11</t>
  </si>
  <si>
    <t>6.12</t>
  </si>
  <si>
    <t>6.13</t>
  </si>
  <si>
    <t>6.14</t>
  </si>
  <si>
    <t>6.15</t>
  </si>
  <si>
    <t>6.16</t>
  </si>
  <si>
    <t>6.17</t>
  </si>
  <si>
    <t>6.18</t>
  </si>
  <si>
    <t>6.19</t>
  </si>
  <si>
    <t>7.1</t>
  </si>
  <si>
    <t>7.3</t>
  </si>
  <si>
    <t>7.4</t>
  </si>
  <si>
    <t>7.5</t>
  </si>
  <si>
    <t>7.6</t>
  </si>
  <si>
    <t>7.7</t>
  </si>
  <si>
    <t>7.8</t>
  </si>
  <si>
    <r>
      <t xml:space="preserve">Chi đầu tư phát triển </t>
    </r>
    <r>
      <rPr>
        <i/>
        <sz val="9"/>
        <rFont val="Times New Roman"/>
        <family val="1"/>
      </rPr>
      <t>(Không kể chương trình MTQG)</t>
    </r>
  </si>
  <si>
    <r>
      <t xml:space="preserve">Chi thường xuyên </t>
    </r>
    <r>
      <rPr>
        <i/>
        <sz val="9"/>
        <rFont val="Times New Roman"/>
        <family val="1"/>
      </rPr>
      <t>(Không kể chương trình MTQG)</t>
    </r>
  </si>
  <si>
    <t>Chi trả nợ lãi do chính quyền địa phương vay</t>
  </si>
  <si>
    <t xml:space="preserve">Chi trả nợ lãi do chính quyền địa phương vay </t>
  </si>
  <si>
    <t xml:space="preserve">CHI BỔ SUNG CÓ MỤC TIÊU CHO NGÂN SÁCH CẤP DƯỚI </t>
  </si>
  <si>
    <t>CHI BỔ SUNG QUỸ DỰ TRỮ TÀI CHÍNH</t>
  </si>
  <si>
    <t>CHI TRẢ NỢ LÃI CÁC KHOẢN DO CHÍNH QUYỀN ĐỊA PHƯƠNG VAY</t>
  </si>
  <si>
    <t>CHI NGÂN SÁCH CẤP TỈNH THEO LĨNH VỰC</t>
  </si>
  <si>
    <t>Chi hoàn trả các khoản thu năm trước (KBNN chi)</t>
  </si>
  <si>
    <t>Biểu mẫu số 51-NĐ31</t>
  </si>
  <si>
    <t xml:space="preserve">Tên đơn vị </t>
  </si>
  <si>
    <t>Mẫu biểu số 61 - TT 342</t>
  </si>
  <si>
    <t>QUYẾT TOÁN THU NSNN, VAY NSĐP NĂM 2017</t>
  </si>
  <si>
    <t>(Dùng cho Ủy ban nhân dân cấp dưới báo cáo cơ quan tài chính cấp trên trực tiếp)</t>
  </si>
  <si>
    <t>Đơn vị: triệu đồng</t>
  </si>
  <si>
    <t>Phân chia theo từng cấp ngân sách</t>
  </si>
  <si>
    <t>So sánh QT/DT (%)</t>
  </si>
  <si>
    <t>Cấp trên giao</t>
  </si>
  <si>
    <t>HĐND quyết định</t>
  </si>
  <si>
    <t>Thu NS TW</t>
  </si>
  <si>
    <t>Thu NS địa phương</t>
  </si>
  <si>
    <t>Thu NS cấp tỉnh</t>
  </si>
  <si>
    <t>Thu NS cấp huyện</t>
  </si>
  <si>
    <t>Thu NS xã</t>
  </si>
  <si>
    <t>3=4+5+6+7</t>
  </si>
  <si>
    <t>9=3/1</t>
  </si>
  <si>
    <t>10=3/2</t>
  </si>
  <si>
    <t>TỔNG SỐ (A+B+C+D+E)</t>
  </si>
  <si>
    <t>THU NGÂN SÁCH NHÀ NƯỚC</t>
  </si>
  <si>
    <t>Thu từ kinh tế quốc doanh (Thu từ khu vực DNNN do TW quản lý và DNNN do địa phương quản lý</t>
  </si>
  <si>
    <t>Phí, lệ phí</t>
  </si>
  <si>
    <t>Bao gồm: - Phí, lệ phí do cơ quan nhà nước trung ương thu</t>
  </si>
  <si>
    <t>- Phí, lệ phí do cơ quan nhà nước địa phương thu</t>
  </si>
  <si>
    <t>Trong đó: phí bảo vệ môi trường đối với khai thác khoáng sản</t>
  </si>
  <si>
    <t>Tiền sử dụng đất</t>
  </si>
  <si>
    <t>Thu tiền thuê đất, mặt nước</t>
  </si>
  <si>
    <t>Thu từ bán tài sản nhà nước</t>
  </si>
  <si>
    <t>Thu từ tài sản được xác lập quyền sở hữu của nhà nước</t>
  </si>
  <si>
    <t>Thu tiền cho thuê và bán nhà ở thuộc sở hữu nhà nước</t>
  </si>
  <si>
    <t>Thu từ quỹ đất công ích và thu hoa lợi công sản khác</t>
  </si>
  <si>
    <t xml:space="preserve">Thu từ hoạt động xổ số kiến thiết </t>
  </si>
  <si>
    <t>Thu về dầu thô</t>
  </si>
  <si>
    <t>Thu Hải quan</t>
  </si>
  <si>
    <t>Thuế giá trị gia tăng hàng nhập khẩu</t>
  </si>
  <si>
    <t>Thu viện trợ</t>
  </si>
  <si>
    <t>Các khoản huy động, đóng góp</t>
  </si>
  <si>
    <t>Các khoản huy động đóng góp xây dựng cơ sở hạ tầng</t>
  </si>
  <si>
    <t>Các khoản huy động đóng góp khác</t>
  </si>
  <si>
    <t>Thu hồi vốn của Nhà nước và thu từ quỹ dự trữ tài chính</t>
  </si>
  <si>
    <t>VAY CỦA NGÂN SÁCH ĐỊA PHƯƠNG</t>
  </si>
  <si>
    <t>Vay bù đắp bội chi NSĐP</t>
  </si>
  <si>
    <t>Vay để trả nợ gốc vay</t>
  </si>
  <si>
    <t>THU CHUYỂN GIAO NGÂN SÁCH</t>
  </si>
  <si>
    <t>1.</t>
  </si>
  <si>
    <t xml:space="preserve">Bổ sung cân đối </t>
  </si>
  <si>
    <t>2.</t>
  </si>
  <si>
    <t xml:space="preserve">Bổ sung có mục tiêu bằng nguồn vốn trong nước </t>
  </si>
  <si>
    <t>Bổ sung có mục tiêu bằng nguồn vốn ngoài nước</t>
  </si>
  <si>
    <t>THU CHUYỂN NGUỒN</t>
  </si>
  <si>
    <t>THU KẾT DƯ NGÂN SÁCH</t>
  </si>
  <si>
    <t xml:space="preserve">Ngày       tháng        năm 2018 </t>
  </si>
  <si>
    <t xml:space="preserve">Ngày            tháng        năm 2018 </t>
  </si>
  <si>
    <t xml:space="preserve">Bắc Kạn, ngày       tháng    năm 2018 </t>
  </si>
  <si>
    <t>GIÁM ĐỐC KBNN TỈNH BẮC KẠN</t>
  </si>
  <si>
    <t>GIÁM ĐỐC SỞ TÀI CHÍNH</t>
  </si>
  <si>
    <t>TM. UBND TỈNH BẮC KẠN</t>
  </si>
  <si>
    <t>Kết dư NSĐP</t>
  </si>
  <si>
    <t>Thu từ vay để trả nợ gốc</t>
  </si>
  <si>
    <t>Đơn vị tính: Triệu đồng</t>
  </si>
  <si>
    <t>Số tiền</t>
  </si>
  <si>
    <t>Tổng cộng</t>
  </si>
  <si>
    <t>Nguồn địa phương cân đối</t>
  </si>
  <si>
    <t>+</t>
  </si>
  <si>
    <t>Kinh phí thường xuyên</t>
  </si>
  <si>
    <t>Nguồn ngân sách Trung ương bổ sung có mục tiêu</t>
  </si>
  <si>
    <t xml:space="preserve">Nguồn ngân sách địa phương cân đối </t>
  </si>
  <si>
    <t>Kinh phí sự nghiệp kinh tế</t>
  </si>
  <si>
    <t>Kinh phí thường xuyên khác</t>
  </si>
  <si>
    <t>THUYẾT MINH KẾT DƯ NGÂN SÁCH CẤP TỈNH NĂM 2017</t>
  </si>
  <si>
    <t>Nguồn Trung ương hỗ trợ có mục tiêu</t>
  </si>
  <si>
    <t>Nguồn vốn viện trợ của Chính phủ Ailen</t>
  </si>
  <si>
    <t>Nguồn vốn Chương trình mục tiêu Quốc gia</t>
  </si>
  <si>
    <t>Chương trình mục tiêu quốc gia xây dựng nông thôn mới</t>
  </si>
  <si>
    <t>Chương trình mục tiêu quốc gia giảm nghèo bền vững</t>
  </si>
  <si>
    <t>Chương trình hỗ trợ đất ở, đất sản xuất, nước sinh hoạt cho hộ đồng bào dân tộc thiểu số và hộ nghèo ở xã, thôn, bản đặc biệt khó khăn theo QĐ 755/QĐ-TTg</t>
  </si>
  <si>
    <t xml:space="preserve">CHI BỔ SUNG CHO NGÂN SÁCH CẤP DƯỚI </t>
  </si>
  <si>
    <t>Thu 
NSĐP</t>
  </si>
  <si>
    <t>Biểu mẫu số 53a-NĐ31</t>
  </si>
  <si>
    <t>TỔNG CHI NSĐP (A+B+C)</t>
  </si>
  <si>
    <t>CHI NGÂN SÁCH ĐỊA PHƯƠNG</t>
  </si>
  <si>
    <t>Chi hoạt động của các cơ quan QLNN, Đảng, Đoàn thể</t>
  </si>
  <si>
    <t>Chi khác</t>
  </si>
  <si>
    <t>CHI CÁC CHƯƠNG TRÌNH MỤC TIÊU QUỐC GIA</t>
  </si>
  <si>
    <t>Bắc Kạn, ngày           tháng         năm 2018</t>
  </si>
  <si>
    <t>Biểu mẫu số 64 - NĐ 31</t>
  </si>
  <si>
    <t>Kế hoạch 
năm 2017</t>
  </si>
  <si>
    <t>Thực hiện năm 2017</t>
  </si>
  <si>
    <t>Sự nghiệp kinh tế</t>
  </si>
  <si>
    <t>Sự nghiệp môi trường</t>
  </si>
  <si>
    <t>Sự nghiệp khác</t>
  </si>
  <si>
    <t>Bắc Kạn, ngày        tháng         năm 2018</t>
  </si>
  <si>
    <t>Ghi chú</t>
  </si>
  <si>
    <t>Nguồn Trung ương bổ sung có mục tiêu</t>
  </si>
  <si>
    <t>Nguồn vốn Trái phiếu Chính phủ</t>
  </si>
  <si>
    <t>Đã nộp trả NSTW</t>
  </si>
  <si>
    <t>Chương trình 135 (Vốn đầu tư)</t>
  </si>
  <si>
    <t>Chương trình 30a (Vốn đầu tư)</t>
  </si>
  <si>
    <t xml:space="preserve">Kết dư ngân sách năm 2016 </t>
  </si>
  <si>
    <t>Chương trình mục tiêu Quốc gia</t>
  </si>
  <si>
    <t>Kinh phí CTMTQG giảm nghèo bền vững</t>
  </si>
  <si>
    <t>Kinh phí CTMTQG xây dựng nông thôn mới</t>
  </si>
  <si>
    <t>Kinh phí CTMTQG về văn hóa</t>
  </si>
  <si>
    <t>Kinh phí CTMTQG việc làm và dạy nghề</t>
  </si>
  <si>
    <t>Kinh phí CTMTQG phòng chống tội phạm, ma túy</t>
  </si>
  <si>
    <t>CTMTQG giáo dục và đào tạo dự án hỗ trợ giáo dục vùng dân tộc thiểu số vùng đặc biệt khó khăn</t>
  </si>
  <si>
    <t xml:space="preserve">Kinh phí thực hiện chi trả học bổng và hỗ trợ mua sắm phương tiện, đồ dùng học tập cho người khuyết tật theo TT số 42 </t>
  </si>
  <si>
    <t>KP thực hiện chính sách theo NĐ 116</t>
  </si>
  <si>
    <t>Kinh phí hỗ trợ chi phí học tập cho sinh viên theo QĐ số 66/QĐ-TTg</t>
  </si>
  <si>
    <t>Kinh phí cấp bù miễn thu thủy lợi phí</t>
  </si>
  <si>
    <t>Kinh phí mua trang phục theo Pháp lệnh Công an xã</t>
  </si>
  <si>
    <t>Kinh phí thực hiện định canh định cư cho đồng bào dân tộc thiểu số</t>
  </si>
  <si>
    <t>Kinh phí thực hiện Chương trình SEQAP (Vốn sự nghiệp)</t>
  </si>
  <si>
    <t>Kinh phí xóa bỏ tổ chức bất hợp pháp Dương Văn Mình</t>
  </si>
  <si>
    <t>Kinh phí bảo vệ và phát triển đất trồng lúa theo NĐ 42</t>
  </si>
  <si>
    <t>Kinh phí khoán bảo vệ rừng khoanh nuôi tái sinh tự nhiên</t>
  </si>
  <si>
    <t>Kinh phí Chương trình hỗ trợ đất ở, đất sản xuất, nước sinh hoạt cho hộ đồng bào dân tộc thiểu số và hộ nghèo ở xã, thôn, bản đặc biệt khó khăn theo QĐ 755/QĐ-TTg</t>
  </si>
  <si>
    <t>Kinh phí Chương trình 135</t>
  </si>
  <si>
    <t>Kinh phí trợ giúp pháp lý theo Quyết định số 32/2016/QĐ-TTg</t>
  </si>
  <si>
    <t>Kinh phí xây dựng kè Nà Pậu, xã Lương Bằng huyện Chợ Đồn tỉnh Bắc Kạn</t>
  </si>
  <si>
    <t>Kinh phí Chương trình muc tiêu an toàn vệ sinh (DA phát triển thị trường LĐ và tăng cường ATVS LĐ)</t>
  </si>
  <si>
    <t>Kinh phí Chương trình mục tiêu  bố trí và sắp xếp ổn định dân cư</t>
  </si>
  <si>
    <t>Kinh phí khắc phục ô nhiễm môi trường do tồn lưu hóa chất bảo vệ thực vật tại Bản Vén, xã Đôn Phong, huyện Bạch Thông</t>
  </si>
  <si>
    <t>Kinh phí Chương trình mục tiêu giáo dục vùng núi, vùng dân tộc thiểu số, vùng khó khăn</t>
  </si>
  <si>
    <t>Kinh phí sửa chữa hư hỏng nền, mặt đường ĐT 253, tỉnh Bắc Kạn</t>
  </si>
  <si>
    <t>Dư tạm ứng</t>
  </si>
  <si>
    <t>Kinh phí thanh toán hợp đồng bảo dưỡng máy in giấy phép lái xe</t>
  </si>
  <si>
    <t>Kinh phí sửa chữa trụ sở làm việc, sửa chữa trường học, ký túc xá</t>
  </si>
  <si>
    <t>Kinh phí thực hiện Nghị định số 35/2015/NĐ-CP về quản lý và sử dụng đất trồng lúa</t>
  </si>
  <si>
    <t>Kinh phí thực hiện Đề án mỗi xã phường một sản phẩm OCOP-BK</t>
  </si>
  <si>
    <t>Kinh phí các lớp đào tạo trung cấp lý luận chính trị - hành chính khóa 2017-2018 và lớp CCLLCT khóa 2016-2018 và khóa 2017-2019</t>
  </si>
  <si>
    <t>Dư dự toán</t>
  </si>
  <si>
    <t>Kinh phí sự nghiệp kinh tế để sửa chữa các tuyến đường</t>
  </si>
  <si>
    <t>Kinh phí điều chỉnh quy hoạch tổng thể phát triển giao thông, kinh phí hoạt động trạm kiểm tra trọng tải xe lưu động</t>
  </si>
  <si>
    <t>Kinh phí quy hoạch</t>
  </si>
  <si>
    <t>Kinh phí thực hiện nhiệm vụ ứng dụng công nghệ thông tin trong việc công bố, công khai quy hoạch xây dựng đô thị trên địa bàn tỉnh Bắc Kạn</t>
  </si>
  <si>
    <t>Kinh phí thực hiện các nhiệm vụ khoa học khác</t>
  </si>
  <si>
    <t>Kinh phí thực hiện các đề tài, dự án</t>
  </si>
  <si>
    <t>Kinh phí thực hiện Đề án tăng cường xử lý vi phạm về quản lý đất đai và thực hiện các thủ tục hành chính về đất đai</t>
  </si>
  <si>
    <t>Kinh phí sự nghiệp giáo dục và đào tạo</t>
  </si>
  <si>
    <t>Kinh phí đào tạo tập huấn</t>
  </si>
  <si>
    <t>Kinh phí thực hiện chính sách tham quan học tập kinh nghiệm, chính sách khuyết tật, hỗ trợ gạo</t>
  </si>
  <si>
    <t>Kinh phí thực hiện Nghị quyết số 54 của tỉnh</t>
  </si>
  <si>
    <t>Kinh phí cử tuyển</t>
  </si>
  <si>
    <t>Kinh phí thực hiện chính sách của Trường nội trú</t>
  </si>
  <si>
    <t>Kinh phí lớp trung cấp trồng trọt</t>
  </si>
  <si>
    <t>Kinh phí hỗ trợ khắc phục hậu quả hạn hán vụ Đông - Xuân</t>
  </si>
  <si>
    <t xml:space="preserve">THUYẾT MINH CHI CHUYỂN NGUỒN KINH PHÍ CẤP TỈNH NĂM 2017 </t>
  </si>
  <si>
    <t xml:space="preserve"> </t>
  </si>
  <si>
    <t>*</t>
  </si>
  <si>
    <t>NGUỒN KINH PHÍ CHƯA PHÂN BỔ CHUYỂN SANG NĂM 2018 TIẾP TỤC SỬ DỤNG</t>
  </si>
  <si>
    <t>Nguồn thực hiện chính sách tiền lương, phụ cấp, trợ cấp và các khoản tính theo tiền lương cơ sở, bảo trợ xã hội</t>
  </si>
  <si>
    <t>Các khoản dự toán được cấp có thẩm quyền bổ sung sau ngày 30 tháng 9 năm thực hiện dự toán, không bao gồm các khoản bổ sung do các đơn vị dự toán cấp trên điều chỉnh dự toán đã giao của các đơn vị dự toán trực thuộc</t>
  </si>
  <si>
    <t>Chương trình mục tiêu Phát triển lâm nghiệp bền vững năm 2017</t>
  </si>
  <si>
    <t>KP hỗ trợ phụ nữ nghèo là người dân tộc thiểu số sinh con đúng chính sách phần thiếu 2016:212 triệu đồng, 80% năm 2017: 1470 triệu đồng</t>
  </si>
  <si>
    <t>Hỗ trợ KP triển khai công tác tuyên truyền và đấu tranh xóa bỏ tổ chức Dương Văn Mình năm 2017</t>
  </si>
  <si>
    <t>KP đo đạc, lập bản đồ địa chính năm 2017</t>
  </si>
  <si>
    <t>CTMT đảm bảo an toàn GT, PCCC, TPMT năm 2017</t>
  </si>
  <si>
    <t>Kinh phí thực hiện chính sách hỗ trợ học sinh và trường phổ thông ở xã, thôn đặc biệt khó khăn</t>
  </si>
  <si>
    <t>NGUỒN KINH PHÍ ĐÃ PHÂN BỔ CHO ĐƠN VỊ</t>
  </si>
  <si>
    <t>Chi đầu tư phát triển thực hiện chuyển sang năm sau theo quy định của Luật đầu tư công. Trường hợp đặc biệt, Thủ tướng Chính phủ quyết định về việc cho phép chuyển nguồn sang năm sau nữa, nhưng không quá thời hạn giải ngân của dự án nằm trong kế hoạch đầu tư công trung hạn</t>
  </si>
  <si>
    <t>Nguồn Trái phiếu chính phủ địa phương quản lý</t>
  </si>
  <si>
    <t>Bệnh viện huyện Na Rì</t>
  </si>
  <si>
    <t>Cải tạo, nâng cấp đường Hảo Nghĩa - Liêm Thuỷ, huyện Na Rì.</t>
  </si>
  <si>
    <t>Dự án di dân tái định cư xã Khang Ninh huyện Ba Bể, thuộc dự án xây dựng công trình thuỷ điện Tuyên Quang</t>
  </si>
  <si>
    <t>Bệnh viện đa khoa Bắc Kạn</t>
  </si>
  <si>
    <t>Cấp nước và vệ sinh thị xã Bắc Kạn, tỉnh Bắc Kạn</t>
  </si>
  <si>
    <t>Kiên cố hóa trường mầm non xã Công Bằng, huyện Pác Nặm, tỉnh Bắc Kạn</t>
  </si>
  <si>
    <t>Kiên cố hóa trường mầm non xã Giáo Hiệu, huyện Pác Nặm, tỉnh Bắc Kạn</t>
  </si>
  <si>
    <t>Kiên cố hóa trường mầm non xã Cao Tân, huyện Pác Nặm, tỉnh Bắc Kạn</t>
  </si>
  <si>
    <t>Kiên cố hóa trường mầm non xã Nghiên Loan, huyện Pác Nặm, tỉnh Bắc Kạn</t>
  </si>
  <si>
    <t>Kiên cố hóa trường mầm non xã An Thắng, huyện Pác Nặm, tỉnh Bắc Kạn</t>
  </si>
  <si>
    <t>Kiên cố hóa trường mầm non xã Cổ Linh, huyện Pác Nặm, tỉnh Bắc Kạn</t>
  </si>
  <si>
    <t>Nguồn vốn ngân sách địa phương cân đối</t>
  </si>
  <si>
    <t>Dự án Dạy nghề tại tỉnh Bắc Kạn - giai đoạn II (VIE/034)</t>
  </si>
  <si>
    <t>Quản lý rừng bền vững và đa dạng sinh học nhằm giảm phát thải CO2 (gọi tắt là KfW8)</t>
  </si>
  <si>
    <t>Tăng cường tiềm lực Chi cục Tiêu chuẩn Đo lường Chất lượng</t>
  </si>
  <si>
    <t>Nguồn vốn xổ số kiến thiết</t>
  </si>
  <si>
    <t>Trường Mầm non Bằng Vân (hạng mục: 03 phòng học), xã Bằng Vân, huyện Ngân Sơn, tỉnh Bắc Kạn</t>
  </si>
  <si>
    <t>Nguồn vốn khác: ngân sách tỉnh Thái Nguyên hỗ trợ</t>
  </si>
  <si>
    <t>Xây dựng trường THCS Vân Tùng, huyện Ngân Sơn, tỉnh Bắc Kạn</t>
  </si>
  <si>
    <t>Nguồn TW hỗ trợ có mục tiêu</t>
  </si>
  <si>
    <t>Dự án bảo vệ và PTR Vườn Quốc gia Ba Bể</t>
  </si>
  <si>
    <t>Dự án bảo vệ và PTR huyện Bạch Thông</t>
  </si>
  <si>
    <t>Dự án bảo vệ và PTR huyện Chợ Đồn</t>
  </si>
  <si>
    <t>Trường phổ thông Dân tộc nội trú huyện Pác Nặm</t>
  </si>
  <si>
    <t>Trường THCS xã Thượng Giáo huyện Ba Bể</t>
  </si>
  <si>
    <t>Dự án đầu tư nuôi trồng thuỷ sản hồ Bản Vài, Bản Nản xã Khang Ninh, huyện Ba Bể</t>
  </si>
  <si>
    <t>Đầu tư xây dựng Hệ thống cấp, thoát nước và vệ sinh thị trấn Chợ Rã, huyện Ba Bể, tỉnh Bắc Kạn (Phần thoát nước và vệ sinh)</t>
  </si>
  <si>
    <t>Rà soát đầu tư và xây dựng Vườn quốc gia Ba Bể giai đoạn 2005-2010</t>
  </si>
  <si>
    <t>Tái định canh, định cư (Đồn Đèn - Khuổi Luông) vùng đệm Vườn Quốc gia Ba Bể</t>
  </si>
  <si>
    <t>Đường Bắc sông Năng, huyện Ba Bể</t>
  </si>
  <si>
    <t>Đường vào điểm du lịch Thác Bạc, xã Hoàng Trĩ, huyện Ba Bể</t>
  </si>
  <si>
    <t>Điểm du lịch Hua Mạ</t>
  </si>
  <si>
    <t>Đầu tư bảo tồn, tôn tạo, phục hồi các di tích ATK các huyện : Chợ Đồn, Bạch Thông, Ngân Sơn - tỉnh Bắc Kạn</t>
  </si>
  <si>
    <t>Dự án cải tạo nâng cấp QL3B đoạn Xuất Hóa - cửa khẩu Pò Mã đoạn Km0 - Km66+600 địa phận tỉnh Bắc Kạn</t>
  </si>
  <si>
    <t>Đường đi bộ tuần tra BV rừng, kết hợp DL sinh thái (Gồm 4 tuyến : Kéo Siu - An Mã, Dốc Ắc È - Thẳm Khít; đường ... động Puông, Bến thuyền + Đường ...thác Đầu Đẳng)</t>
  </si>
  <si>
    <t>Trạm Kiểm lâm Vườn Quốc gia Ba Bể (gồm 04 trạm : Bản Quá, Nà Bản, Hin Lặp, Đồng Phúc)</t>
  </si>
  <si>
    <t>Hồ sinh thái kết hợp với bể bơi tại khu trung tâm hành chính Vườn quốc gia Ba Bể.</t>
  </si>
  <si>
    <t>Trường Mầm non Liên Cơ huyện Chợ Đồn.</t>
  </si>
  <si>
    <t>Đường từ Cáp Trạng xã Khang Ninh đến Vườn Quốc gia Ba Bể.</t>
  </si>
  <si>
    <t>Cải tạo, nâng cấp đường tỉnh ĐT258B tỉnh Bắc Kạn</t>
  </si>
  <si>
    <t>Cải tạo, nâng cấp đường từ Bờ hồ đi Quảng Khê</t>
  </si>
  <si>
    <t>Trụ sở UBND xã Cao Trĩ, huyện Ba Bể</t>
  </si>
  <si>
    <t>Phát triển kinh tế xã hội ổn định đồng bào Mông tại xã Bình Trung huyện Chợ Đồn tỉnh Bắc Kạn</t>
  </si>
  <si>
    <t>Dự án xây dựng tuyến kè xã Nam Cường, huyện Chợ Đồn.</t>
  </si>
  <si>
    <t>ĐT xây dựng hệ thống hạ tầng KT khu CN Thanh bình GĐ II</t>
  </si>
  <si>
    <t>Chương trình đô thị miền núi phía Bắc - Thị xã Bắc Kạn, giai đoạn I (2015-2016)</t>
  </si>
  <si>
    <t>Cải tạo, sửa chữa ĐT258 đoạn từ điểm đầu Khu du lịch Ba Bể tại Km42+00 (bến xuồng Buốc Lốm) đến Trung tâm vườn Quốc gia Ba Bể tại Km48+200</t>
  </si>
  <si>
    <t>Dự án bố trí ổn định dân cư khẩn cấp thôn Nà Tu, xã Cẩm Giàng, huyện Bạch Thông, tỉnh Bắc Kạn</t>
  </si>
  <si>
    <t>Đầu tư hạ tầng các khu dân cư đồng bào Mông, tỉnh Bắc Kạn</t>
  </si>
  <si>
    <t>Xây dựng cơ sở hạ tầng các xã CT229 huyện Na Rì, Bạch Thông tỉnh Bắc Kạn</t>
  </si>
  <si>
    <t>Hoàn thiện hệ thống giao thông, thủy lợi thuộc các xã CT229 huyện Chợ Đồn, tỉnh Bắc Kạn</t>
  </si>
  <si>
    <t>Chương trình đô thị miền núi phía Bắc - thị xã Bắc Kạn giai đoạn II (2017-2020), tỉnh Bắc Kạn</t>
  </si>
  <si>
    <t>Nguồn dự phòng ngân sách Trung ương</t>
  </si>
  <si>
    <t>Di dời khẩn cấp 16 hộ dân tại vùng sạt lở thôn Phiêng Liềng 2, xã Ngọc Phái, huyện Chợ Đồn</t>
  </si>
  <si>
    <t>Dự án Xây dựng tuyến kè Nam Cường, huyện Chợ Đồn</t>
  </si>
  <si>
    <t>Tạm ứng từ năm 2003 trở về trước chưa quyết toán</t>
  </si>
  <si>
    <t>Tạm ứng CT 135 huyện Bạch Thông chưa quyết toán</t>
  </si>
  <si>
    <t>Sở Công thương</t>
  </si>
  <si>
    <t>Sở Lao động Thương binh và Xã hội</t>
  </si>
  <si>
    <t>Ủy ban Mặt trận Tổ quốc</t>
  </si>
  <si>
    <t>Kinh phí được giao tự chủ của các đơn vị sự nghiệp công lập và các cơ quan nhà nước; các khoản viện trợ không hoàn lại đã xác định cụ thể nhiệm vụ chi</t>
  </si>
  <si>
    <t>Kinh phí tự chủ</t>
  </si>
  <si>
    <t>Sở Nông nghiệp và PTNT</t>
  </si>
  <si>
    <t>Trường cao đẳng cộng đồng</t>
  </si>
  <si>
    <t>Văn phòng Hội đồng nhân dân</t>
  </si>
  <si>
    <t>Văn phòng Ủy ban nhân dân</t>
  </si>
  <si>
    <t>Các khoản viện trợ không hoàn lại</t>
  </si>
  <si>
    <t>Kinh phí khắc phục thiệt hại do mưa lũ</t>
  </si>
  <si>
    <t>Ban QLDA đầu tư xây dựng tỉnh</t>
  </si>
  <si>
    <t>Bộ Chỉ huy quân sự tỉnh</t>
  </si>
  <si>
    <t>Công ty TNHH MTV quản lý khai thác công trình  thủy lợi BK</t>
  </si>
  <si>
    <t>Kinh phí xây dựng đơn giá công trình, bảng giá ca máy và thiết bị thi công xây dựng, đơn giá dịch vụ công ích đô thị</t>
  </si>
  <si>
    <t>Kinh phí thực hiện dự án 513</t>
  </si>
  <si>
    <t>Kinh phí lập hồ sơ thành lập xã ATK</t>
  </si>
  <si>
    <t>Kinh phí tổng kết 10 năm thực hiện Pháp lệnh số 34/2007/PL-UBTVQH11 và nhiệm vụ khác</t>
  </si>
  <si>
    <t>KP chi trả cho các hoạt động liên quan đến Đoàn thanh tra Bộ Nội vụ trong thời gian làm việc tại BK</t>
  </si>
  <si>
    <t>Kinh phí thực hiện Đề án tinh gọn bộ máy những người hoạt động không chuyên trách cấp xã, thôn, tổ</t>
  </si>
  <si>
    <t>Kinh phí cấp bù miễn, giảm học phí và hỗ trợ chi phí học tập</t>
  </si>
  <si>
    <t>8.1</t>
  </si>
  <si>
    <t>8.2</t>
  </si>
  <si>
    <t>Trường cao đẳng nghề dân tộc nội trú Bắc Kạn</t>
  </si>
  <si>
    <t>Kinh phí xây dựng văn bản quy phạm pháp luật</t>
  </si>
  <si>
    <t>9.1</t>
  </si>
  <si>
    <t>Sở Giao thông vận tải</t>
  </si>
  <si>
    <t>9.2</t>
  </si>
  <si>
    <t>Kinh phí chi trả thẩm tra quyết toán</t>
  </si>
  <si>
    <t>10.1</t>
  </si>
  <si>
    <t>Chính sách nội trú theo Quyết định số 53/2015/QĐ-TTg</t>
  </si>
  <si>
    <t>11.1</t>
  </si>
  <si>
    <t>11.2</t>
  </si>
  <si>
    <t>Kinh phí triển khai ứng dụng chữ ký số chuyên dùng trong hoạt động của các cơ quan nhà nước, UBMTTQ và các đoàn thể tỉnh Bắc Kạn giai đoạn 2017- 2020</t>
  </si>
  <si>
    <t>12.1</t>
  </si>
  <si>
    <t>Kinh phí tham gia hội nghị "Quảng bá, xúc tiến, liên kết phát triển sản phẩm du lịch đặc trưng vùng Tây Bắc năm 2017"</t>
  </si>
  <si>
    <t>13.1</t>
  </si>
  <si>
    <t>Kinh phí đưa nạn nhân đi xông hơi giải độc</t>
  </si>
  <si>
    <t>14.1</t>
  </si>
  <si>
    <t>Hội nạn nhân chất độc da cam đioxin</t>
  </si>
  <si>
    <t>KP đối ứng chương trình giáo dục vùng núi vùng khó khăn, xây dựng sửa chữa</t>
  </si>
  <si>
    <t>15.1</t>
  </si>
  <si>
    <t>Kinh phí thực hiện Chương trình mục tiêu</t>
  </si>
  <si>
    <t>16.1</t>
  </si>
  <si>
    <t>16.2</t>
  </si>
  <si>
    <t>16.3</t>
  </si>
  <si>
    <t>16.4</t>
  </si>
  <si>
    <t>16.5</t>
  </si>
  <si>
    <t>16.6</t>
  </si>
  <si>
    <t>Kinh phí nghiên cứu khoa học bố trí cho các đề tài, dự án nghiên cứu khoa học được cấp có thẩm quyền quyết định đang trong thời gian thực hiện</t>
  </si>
  <si>
    <t>CÁC KHOẢN TĂNG THU, TIẾT KIỆM CHI NĂM TRƯỚC ĐƯỢC PHÉP CHUYỂN SANG NĂM NAY THEO QUY ĐỊNH</t>
  </si>
  <si>
    <t>Các khoản tăng thu, tiết kiệm chi thuộc nguồn cân đối ngân sách cấp tỉnh</t>
  </si>
  <si>
    <t>Nguồn tăng thu</t>
  </si>
  <si>
    <t>Nguồn tăng thu ngân sách cấp tỉnh năm 2015</t>
  </si>
  <si>
    <t>Nguồn tăng thu tiền sử dụng đất năm 2016 trở về trước và năm 2017</t>
  </si>
  <si>
    <t xml:space="preserve">Nguồn vốn tài trợ của Công ty TNHH MTV Kim loại màu Bắc Kạn - TMC </t>
  </si>
  <si>
    <t>Nguồn tiết kiệm chi cân đối ngân sách cấp tỉnh</t>
  </si>
  <si>
    <t>Tỉnh điều hành chưa phân bổ</t>
  </si>
  <si>
    <t>Chi sự nghiệp kinh tế</t>
  </si>
  <si>
    <t>Chi sự nghiệp giáo dục - đào tạo và dạy nghề</t>
  </si>
  <si>
    <t>Chi sự nghiệp y tế</t>
  </si>
  <si>
    <t>Chi sự nghiệp khoa học công nghệ</t>
  </si>
  <si>
    <t>Chi quản lý hành chính</t>
  </si>
  <si>
    <t>Nguồn xổ số kiến thiết</t>
  </si>
  <si>
    <t>Nguồn thu hồi từ các đơn vị</t>
  </si>
  <si>
    <t>2.3</t>
  </si>
  <si>
    <t>Nguồn kết dư ngân sách năm 2015, 2016</t>
  </si>
  <si>
    <t>2.4</t>
  </si>
  <si>
    <t>Nguồn bán trụ Sở Sở Tài nguyên - Môi trường đang cho Thành phố Bắc Kạn vay (chưa thu hồi )</t>
  </si>
  <si>
    <t>Nguồn Trung ương bổ sung có mục tiêu vốn sự nghiệp dư tại ngân sách cấp tỉnh</t>
  </si>
  <si>
    <t>Kinh phí  hỗ trợ trẻ ăn trưa cho trẻ em 3,4 và 5 tuổi</t>
  </si>
  <si>
    <t>Kinh phí thực hiện các nhiệm vụ, dự án quy hoạch</t>
  </si>
  <si>
    <t>H. Bạch Thông</t>
  </si>
  <si>
    <t>H. Chợ Mới</t>
  </si>
  <si>
    <t>H. Chợ Đồn</t>
  </si>
  <si>
    <t>H. Na Rì</t>
  </si>
  <si>
    <t>H. Ngân Sơn</t>
  </si>
  <si>
    <t>H. Ba Bể</t>
  </si>
  <si>
    <t>H. Pác Nặm</t>
  </si>
  <si>
    <t>Năm trước liền kề</t>
  </si>
  <si>
    <t>Năm báo cáo</t>
  </si>
  <si>
    <t>Cấp huyện</t>
  </si>
  <si>
    <t>Nguồn bồi thường cho TW Đoàn công trình xây dựng trụ sở UBND xã Cẩm Giàng</t>
  </si>
  <si>
    <t>Nguồn thu tiền sử dụng đất</t>
  </si>
  <si>
    <t>Nguồn cân đối ngân sách</t>
  </si>
  <si>
    <t>Chương trình MTQG Giảm nghèo bền vững</t>
  </si>
  <si>
    <t>Chương trình MTQG Nông thôn mới</t>
  </si>
  <si>
    <t>Chương trình 135 không thuộc CTMTQG giảm nghèo</t>
  </si>
  <si>
    <t>Chương trình 30a không thuộc CTMTQG giảm nghèo (Tập đoàn Bảo Việt hỗ trợ)</t>
  </si>
  <si>
    <t>Kinh phí xây dựng, sửa chữa, khắc phục các công trình bị ảnh hưởng do thiên tai, bão lũ (cơn bão số 10,…)</t>
  </si>
  <si>
    <t>Nguồn dự phòng ngân sách</t>
  </si>
  <si>
    <t>Nguồn kết dư ngân sách</t>
  </si>
  <si>
    <t>Chi mua sắm trang thiết bị đã đầy đủ hồ sơ, hợp đồng mua sắm trang thiết bị ký bước ngày 31 tháng 12 năm thực hiện dự toán</t>
  </si>
  <si>
    <t>Hỗ trợ cho HTX Thiên An mua sắm máy móc</t>
  </si>
  <si>
    <t>……………..</t>
  </si>
  <si>
    <t>Kinh phí thực hiện cải cách tiền lương</t>
  </si>
  <si>
    <t>Kinh phí thực hiện chính sách bảo trợ xã hội theo Nghị định 136/2014/NĐ-CP</t>
  </si>
  <si>
    <t>Chương trình 135 không thuộc CTMTQG giảm nghèo (Ailen)</t>
  </si>
  <si>
    <t>Kinh phí được giao tự chủ của các đơn vị sự nghiệp công lập và các cơ quan nhà nước</t>
  </si>
  <si>
    <t>Chương trình 30a không thuộc CTMTQG giảm nghèo (Tập đoàn Than hỗ trợ)</t>
  </si>
  <si>
    <t>Chương trình mục tiêu phát triển lâm nghiệp bền vững</t>
  </si>
  <si>
    <t>Kinh phí thực hiện chính sách hỗ trợ học sinh và trường phổ thông theo Nghị định 116/2016/NĐ-CP</t>
  </si>
  <si>
    <t>Kinh phí thực hiện chính sách theo Nghị quyết 54/2016/NQ-HĐND</t>
  </si>
  <si>
    <t>Kinh phí thực hiện chính sách học bổng và hỗ trợ phương tiện, đồ dùng học tập cho học sinh khuyết tật theo Thông tư liên tịch số 42</t>
  </si>
  <si>
    <t>Kinh phí thực hiện chính sách hỗ trợ trẻ ăn trưa 3, 4, 5 tuổi</t>
  </si>
  <si>
    <t xml:space="preserve">Kinh phí hỗ trợ hộ nghèo tiền điện </t>
  </si>
  <si>
    <t xml:space="preserve">Hỗ trợ phụ nữ thuộc hộ nghèo là người dân tộc thiểu số sinh con đúng chính sách dân số </t>
  </si>
  <si>
    <t>Kinh phí thực hiện phòng trừ bênh lùn sọc đen</t>
  </si>
  <si>
    <t>Kinh phí miễn giảm học phí và hỗ trợ CP học tập NĐ 86/2015/NĐ-CP</t>
  </si>
  <si>
    <t xml:space="preserve">Kinh phí chi trả trợ cấp một lần theo QĐ 24/QĐ-TTg </t>
  </si>
  <si>
    <t>Kinh phí thực hiện một số nhiệm vụ khác cấp sau ngày 30/9</t>
  </si>
  <si>
    <t>Kinh phí thực hiện dự án rau bò khai (cấp kp năm 2016, dự án thực hiện trong 3 năm)</t>
  </si>
  <si>
    <t>Các khoản tăng thu, tiết kiệm chi được sử dụng theo quy định tại khoản 2 Điều 59 của Luật ngân sách nhà nước được cấp có thẩm quyền quyết định cho phép sử dụng vào năm sau</t>
  </si>
  <si>
    <t>Nguồn tăng thu ngân sách</t>
  </si>
  <si>
    <t>Kinh phí thực hiện đề án thành lập thị trấn Vân Tùng</t>
  </si>
  <si>
    <t>Chương trình 30a không thuộc CTMTQG giảm nghèo (Bảo Viêt)</t>
  </si>
  <si>
    <t xml:space="preserve">Chương trình MTQG Giảm nghèo bền vững </t>
  </si>
  <si>
    <t>Kinh phí khác</t>
  </si>
  <si>
    <t>Cấp xã</t>
  </si>
  <si>
    <t>Nguồn sửa chữa thường xuyên</t>
  </si>
  <si>
    <t>Kinh phí bảo vệ và phát triển đất trồng lúa theo Nghị định số 42/2012/NĐ-CP</t>
  </si>
  <si>
    <t xml:space="preserve">Nguồn sự nghiệp kinh tế của huyện bổ sung </t>
  </si>
  <si>
    <t>Khắc phục thiệt hại do cơn bão số 10 và mưa lũ</t>
  </si>
  <si>
    <t>Kinh phí xây dựng cuốn lịch sử Đảng</t>
  </si>
  <si>
    <t>Kinh phí bảo dưỡng thường xuyên các tuyến đường huyện, xã thuộc dự án LRAMP</t>
  </si>
  <si>
    <t>Ngân sách huyện bố trí xây dựng đường giao thông nông thôn</t>
  </si>
  <si>
    <t>Kinh phí thực hiện đề án mô hình PTSX hàng hóa năm 2017</t>
  </si>
  <si>
    <t>Tăng thu cấp xã</t>
  </si>
  <si>
    <t>Tăng thu tiền sử dụng đất</t>
  </si>
  <si>
    <t>Phí sử dụng đường bộ</t>
  </si>
  <si>
    <t>Chi trả nợ gốc vay của ngân sách địa phương</t>
  </si>
  <si>
    <r>
      <t xml:space="preserve">Bổ sung trong năm </t>
    </r>
    <r>
      <rPr>
        <sz val="12"/>
        <rFont val="Times New Roman"/>
        <family val="1"/>
      </rPr>
      <t>(nếu có)</t>
    </r>
  </si>
  <si>
    <r>
      <t xml:space="preserve">Giảm trừ trong năm </t>
    </r>
    <r>
      <rPr>
        <sz val="12"/>
        <rFont val="Times New Roman"/>
        <family val="1"/>
      </rPr>
      <t>(nếu có)</t>
    </r>
  </si>
  <si>
    <t xml:space="preserve">Nội dung </t>
  </si>
  <si>
    <t>THUYẾT MINH CHI CHUYỂN NGUỒN CÁC HUYỆN, THÀNH PHỐ NĂM 2017 SANG NĂM 2018</t>
  </si>
  <si>
    <t>Đã nộp trả NSTW, số tiền: 4.028,392trđ</t>
  </si>
  <si>
    <t>Phụ biểu số 03</t>
  </si>
  <si>
    <t>Phụ biểu số 04</t>
  </si>
  <si>
    <t>BÁO CÁO CHI CHUYỂN NGUỒN SANG NĂM SAU NĂM 2017</t>
  </si>
  <si>
    <t>Năm trước (năm liền kề)</t>
  </si>
  <si>
    <t>Năm báo cáo so với năm liền kề</t>
  </si>
  <si>
    <t>Giải trình</t>
  </si>
  <si>
    <t>Số tuyệt đối</t>
  </si>
  <si>
    <t>Số tương đối</t>
  </si>
  <si>
    <t>4=3/1</t>
  </si>
  <si>
    <t>Phụ biểu số 02</t>
  </si>
  <si>
    <t>Mẫu biểu số 60 - TT 342</t>
  </si>
  <si>
    <t>CÂN ĐỐI QUYẾT TOÁN NGÂN SÁCH ĐỊA PHƯƠNG NĂM 2017</t>
  </si>
  <si>
    <t>Phần thu</t>
  </si>
  <si>
    <t>Phần chi</t>
  </si>
  <si>
    <t>Chi NS cấp tỉnh</t>
  </si>
  <si>
    <t>Chi NS cấp huyện</t>
  </si>
  <si>
    <t>Chi NS xã</t>
  </si>
  <si>
    <t>Tổng số thu</t>
  </si>
  <si>
    <t>Tổng số chi</t>
  </si>
  <si>
    <t>A. Tổng số thu cân đối ngân sách</t>
  </si>
  <si>
    <t>1. Các khoản thu NSĐP hưởng 100%</t>
  </si>
  <si>
    <t>2. Các khoản thu phân chia theo tỷ lệ %</t>
  </si>
  <si>
    <t>3. Thu từ quỹ dự trữ tài chính</t>
  </si>
  <si>
    <t>4. Thu kết dư năm trước</t>
  </si>
  <si>
    <t>5. Thu chuyển nguồn từ năm trước sang</t>
  </si>
  <si>
    <t>6. Thu viện trợ, huy động đóng góp</t>
  </si>
  <si>
    <t>7. Thu bổ sung từ ngân sách cấp trên</t>
  </si>
  <si>
    <t>Tr.đó:    - Bổ sung cân đối ngân sách</t>
  </si>
  <si>
    <t xml:space="preserve">              - Bổ sung có mục tiêu</t>
  </si>
  <si>
    <t>Tổng thu</t>
  </si>
  <si>
    <t>8. Thu từ ngân sách cấp dưới nộp lên</t>
  </si>
  <si>
    <t>Tổng chi</t>
  </si>
  <si>
    <t>- Kết dư ngân sách năm quyết toán = (thu - chi)</t>
  </si>
  <si>
    <t>Kết dư</t>
  </si>
  <si>
    <t>B. Chi trả nợ gốc (chi tiết từng nguồn trả nợ gốc)</t>
  </si>
  <si>
    <t>1. Vay để trả nợ gốc</t>
  </si>
  <si>
    <t>1. Từ nguồn vay để trả nợ gốc</t>
  </si>
  <si>
    <t>Thu NS tỉnh</t>
  </si>
  <si>
    <t>2. Bội thu ngân sách địa phương</t>
  </si>
  <si>
    <t>Thu NS huyện</t>
  </si>
  <si>
    <t>Ngày          tháng         năm 2018</t>
  </si>
  <si>
    <t>Bắc Kạn, ngày        tháng        năm 2018</t>
  </si>
  <si>
    <t>Cộng:</t>
  </si>
  <si>
    <t>GIÁM ĐỐC KBNN BẮC KẠN</t>
  </si>
  <si>
    <t>Chi NS tỉnh</t>
  </si>
  <si>
    <t>Chi NS huyện</t>
  </si>
  <si>
    <t>NS tỉnh</t>
  </si>
  <si>
    <t>NS huyện</t>
  </si>
  <si>
    <t>NS xã</t>
  </si>
  <si>
    <t>A. Tổng số chi cân đối ngân sách</t>
  </si>
  <si>
    <t>1. Chi đầu tư phát triển</t>
  </si>
  <si>
    <t>2. Chi trả nợ lãi, phí tiền vay</t>
  </si>
  <si>
    <t>3. Chi thường xuyên</t>
  </si>
  <si>
    <t>4. Chi bổ sung quỹ dự trữ tài chính</t>
  </si>
  <si>
    <t>5. Chi bổ sung cho ngân sách cấp dưới</t>
  </si>
  <si>
    <t>6. Chi nộp ngân sách cấp trên</t>
  </si>
  <si>
    <t>7. Chi chuyển nguồn sang năm sau</t>
  </si>
  <si>
    <t>Dự toán HĐND giao</t>
  </si>
  <si>
    <t>Bắc Kạn, ngày         tháng        năm 2018</t>
  </si>
  <si>
    <t>Bắc Kạn, ngày         tháng       năm 2018</t>
  </si>
  <si>
    <t>Bắc Kạn, ngày         tháng         năm 2018</t>
  </si>
  <si>
    <t>Nguồn vốn đã hết thời hạn thanh toán</t>
  </si>
  <si>
    <t>Nguồn vốn hết nhiệm vụ chi</t>
  </si>
  <si>
    <t>Kinh phí đã hết thời hạn thanh toán</t>
  </si>
  <si>
    <t>Kinh phí đã hết nhiệm vụ chi và hết thời hạn thanh toán</t>
  </si>
  <si>
    <t>Kinh phí còn dư sau khi quyết toán chính thức</t>
  </si>
  <si>
    <t>Kinh phí hết nhiệm vụ chi</t>
  </si>
  <si>
    <t>Kinh phí còn dư do không kịp triển khai nhiệm vụ trong năm</t>
  </si>
  <si>
    <t>Chủ đầu tư đã có khối lượng thực hiện, tuy nhiên chưa kịp thanh toán trong năm 2017</t>
  </si>
  <si>
    <t>Các đơn vị đã có khối lượng thực hiện, tuy nhiên trong năm 2017 chưa kịp thanh quyết toán với Kho bạc Nhà nước</t>
  </si>
  <si>
    <t>Đã có khối lượng thực hiện, tuy nhiên trong năm 2017 chưa kịp thanh quyết toán với Kho bạc Nhà nước</t>
  </si>
  <si>
    <t>Kinh phí còn dư do đơn vị không kịp triển khai nhiệm vụ trong năm</t>
  </si>
  <si>
    <t>Trường Chính trị đang triển khai thực hiện các lớp đào tạo liên năm, kinh phí vẫn đang thực hiện dở dang, trong năm chưa kịp thanh quyết toán với KBNN</t>
  </si>
  <si>
    <t>Công ty đã có khối lượng thực hiện, tuy nhiên trong năm 2017 chưa kịp thanh quyết toán với Kho bạc Nhà nước</t>
  </si>
  <si>
    <t>Phụ biểu số 01</t>
  </si>
  <si>
    <t>Đường từ cầu Tranh đến trường PTTH Na Rì</t>
  </si>
  <si>
    <t>B. Vay của ngân sách cấp tỉnh (chi tiết theo mục đích vay và nguồn vay)</t>
  </si>
  <si>
    <t>Bắc Kạn, ngày       tháng       năm 2018</t>
  </si>
  <si>
    <t>Bắc Kạn, ngày          tháng          năm 2018</t>
  </si>
  <si>
    <t>Bắc Kạn, ngày            tháng           năm 2018</t>
  </si>
  <si>
    <t>TỔNG CỘNG</t>
  </si>
  <si>
    <t>Đơn vị tính: Đồng</t>
  </si>
  <si>
    <t>Biểu số 62 - NĐ 31</t>
  </si>
  <si>
    <t>Mẫu biểu số 62 - TT 342</t>
  </si>
  <si>
    <t>QUYẾT TOÁN CHI NGÂN SÁCH ĐỊA PHƯƠNG NĂM 2017</t>
  </si>
  <si>
    <t>(Dùng cho Ủy ban nhân dân cấp dưới báo cáo cơ quan tài chính cấp trên trên trực tiếp)</t>
  </si>
  <si>
    <t xml:space="preserve">Quyết toán </t>
  </si>
  <si>
    <t>Tổng số Chi NSĐP</t>
  </si>
  <si>
    <t>3=4+5+6</t>
  </si>
  <si>
    <t>7=3/1</t>
  </si>
  <si>
    <t>8=3/2</t>
  </si>
  <si>
    <t>CHI CÂN ĐỐI NGÂN SÁCH</t>
  </si>
  <si>
    <t>Chi đầu tư phát triển cho chương trình, dự án theo lĩnh vực</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</si>
  <si>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</si>
  <si>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</si>
  <si>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</si>
  <si>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</si>
  <si>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</si>
  <si>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</si>
  <si>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</si>
  <si>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hoạt động của các cơ quan quản lý nhà nước, đảng, đoàn thể</t>
  </si>
  <si>
    <t>Chi Bảo đảm xã hội</t>
  </si>
  <si>
    <t>Chi ngành, lĩnh vực khác</t>
  </si>
  <si>
    <t>Chi đầu tư và hỗ trợ vốn cho các doanh nghiệp hoạt động công ích</t>
  </si>
  <si>
    <t>Chi trả nợ lãi vay theo quy định</t>
  </si>
  <si>
    <t>Chi chuyển nguồn</t>
  </si>
  <si>
    <t>CHI BỔ SUNG CHO NGÂN SÁCH CẤP DƯỚI</t>
  </si>
  <si>
    <t>Bổ sung cân đối</t>
  </si>
  <si>
    <t>Tr. đó: - Bằng nguồn vốn trong nước</t>
  </si>
  <si>
    <t xml:space="preserve">           - Bằng nguồn vốn ngoài nước</t>
  </si>
  <si>
    <t>CHI NỘP NGÂN SÁCH CẤP TRÊN</t>
  </si>
  <si>
    <t>TỔNG SỐ (A+B+C)</t>
  </si>
  <si>
    <t xml:space="preserve">Ngày        tháng       năm 2018 </t>
  </si>
  <si>
    <t xml:space="preserve">Ngày        tháng        năm 2018 </t>
  </si>
  <si>
    <t xml:space="preserve">Bắc Kạn, ngày       tháng       năm 2018  </t>
  </si>
  <si>
    <t>Vốn đầu tư cho các dự án</t>
  </si>
  <si>
    <t>Kinh phí thực hiện cải cách tiền lương năm 2017</t>
  </si>
  <si>
    <t>Dự phòng nguồn vay lại vốn ODA</t>
  </si>
  <si>
    <t>TỔNG CỘNG:</t>
  </si>
  <si>
    <t>Chi dự phòng ngân sách</t>
  </si>
  <si>
    <t>Chi bổ sung có mục tiêu cho ngân sách cấp dưới</t>
  </si>
  <si>
    <t>Ngày           tháng         năm 2018</t>
  </si>
  <si>
    <t>Biểu</t>
  </si>
  <si>
    <t>Trang</t>
  </si>
  <si>
    <t>Quyết toán ngân sách địa phương năm 2017</t>
  </si>
  <si>
    <t>Quyết toán cân đối ngân sách địa phương năm 2017</t>
  </si>
  <si>
    <t>Quyết toán cân đối nguồn thu, chi ngân sách cấp tỉnh (huyện) năm 2017</t>
  </si>
  <si>
    <t>Quyết toán nguồn thu ngân sách nhà nước trên địa bàn theo lĩnh vực năm 2017</t>
  </si>
  <si>
    <t>Quyết toán chi ngân sách địa phương theo lĩnh vực năm 2017</t>
  </si>
  <si>
    <t>Quyết toán chi ngân sách cấp tỉnh theo lĩnh vực năm. 2017</t>
  </si>
  <si>
    <t>Quyết toán chi ngân sách địa phương, chi ngân sách cấp tỉnh (huyện) theo cơ cấu chi năm 2017</t>
  </si>
  <si>
    <t>Quyết toán chi đầu tư phát triển của ngân sách cấp tỉnh cho từng cơ quan, tổ chức theo lĩnh vực năm 2017</t>
  </si>
  <si>
    <t>Quyết toán chi ngân sách cấp tỉnh (huyện, xã) cho từng cơ quan, tổ chức theo lĩnh vực năm 2017</t>
  </si>
  <si>
    <t>Quyết toán chi thường xuyên của ngân sách cấp tỉnh cho từng cơ quan, tổ chức theo lĩnh vực năm 2017</t>
  </si>
  <si>
    <t>Tổng hợp quyết toán chi thường xuyên ngân sách cấp tỉnh của từng cơ quan, tổ chức theo nguồn vốn năm 2017</t>
  </si>
  <si>
    <t>Quyết toán chi ngân sách địa phương từng huyện năm 2017</t>
  </si>
  <si>
    <t>Quyết toán chi bổ sung từ ngân sách cấp tỉnh cho ngân sách từng huyện năm 2017</t>
  </si>
  <si>
    <t>Quyết toán thu ngân sách huyện năm 2017</t>
  </si>
  <si>
    <t>Quyết toán chi chương trình mục tiêu quốc gia năm 2017</t>
  </si>
  <si>
    <t>Quyết toán vốn đầu tư các chương trình, dự án sử dụng vốn ngân sách nhà nước năm 2017</t>
  </si>
  <si>
    <t>Tổng hợp thu dịch vụ của đơn vị sự nghiệp công năm 2017</t>
  </si>
  <si>
    <t>Biểu mẫu số 53a</t>
  </si>
  <si>
    <t>Thuyết minh kết dư ngân sách tỉnh</t>
  </si>
  <si>
    <t>Báo cáo chi chuyển nguồn sang năm sau</t>
  </si>
  <si>
    <t>Thuyết minh chi chuyển nguồn ngân sách cấp tỉnh năm 2017</t>
  </si>
  <si>
    <t>Thuyết minh chi chuyển nguồn các huyện, thành phố năm 2017</t>
  </si>
  <si>
    <t>HỆ THỐNG BIỂU MẪU QUYẾT TOÁN NGÂN SÁCH ĐỊA PHƯƠNG NĂM 2017</t>
  </si>
  <si>
    <t>QUYẾT TOÁN CÂN ĐỐI NGÂN SÁCH ĐỊA PHƯƠNG NĂM 2018</t>
  </si>
  <si>
    <t>KẾT DƯ NSĐP</t>
  </si>
  <si>
    <t>(Quyết toán đã được Hội đồng nhân dân tỉnh phê chuẩn)</t>
  </si>
  <si>
    <t>QUYẾT TOÁN NGUỒN THU NGÂN SÁCH NHÀ NƯỚC 
TRÊN ĐỊA BÀN THEO LĨNH VỰC NĂM 2018</t>
  </si>
  <si>
    <t xml:space="preserve">Thu từ khu vực DNNN do TW quản lý </t>
  </si>
  <si>
    <t>Thu từ khu vực DNNN do địa phương quản lý</t>
  </si>
  <si>
    <t>Thu hồi vốn, lợi nhuận, lợi nhuận sau thuế, chênh lệch thu chi của NHNN</t>
  </si>
  <si>
    <t xml:space="preserve"> - Thu hồi vốn của NN tại các tổ chức kinh tế</t>
  </si>
  <si>
    <t xml:space="preserve"> - Thu cổ tức</t>
  </si>
  <si>
    <t>QUYẾT TOÁN CHI NGÂN SÁCH ĐỊA PHƯƠNG, CHI NGÂN SÁCH CẤP TỈNH 
VÀ CHI NGÂN SÁCH HUYỆN THEO CƠ CẤU CHI NĂM 2018</t>
  </si>
  <si>
    <t>CHI CÁC CHƯƠNG TRÌNH MỤC TIÊU, MTQG</t>
  </si>
  <si>
    <t>Chương trình tái cơ cấu kinh tế nông nghiệp và phòng chống giảm nhẹ thiên tai, ổn định tái định cư</t>
  </si>
  <si>
    <t>Hỗ trợ người có công với cách mạng về nhà ở</t>
  </si>
  <si>
    <t>Chương trình hạ tầng du lịch</t>
  </si>
  <si>
    <t>Vốn tạm ứng Chương trình mục tiêu giảm nghèo năm 2017 chuyển sang</t>
  </si>
  <si>
    <t>Vốn tạm ứng Chương trình mục tiêu về văn hóa năm 2017 chuyển sang</t>
  </si>
  <si>
    <t>Chương trình mở rộng quy mô vệ sinh và nước sạch nông thôn dựa trên kết quả, thực hiện ghi thu - ghi chi theo tiến độ giải ngân và trong phạm vi dự toán được giao</t>
  </si>
  <si>
    <t>Dự án An ninh y tế khu vực tiểu vùng Mê Kông mở rộng, thực hiện ghi thu - ghi chi theo tiến độ giải ngân và trong phạm vi dự toán được giao</t>
  </si>
  <si>
    <t>Chương trình Hỗ trợ chính sách ngành y tế giai đoạn 2, thực hiện trong phạm vi dự toán được giao và theo cơ chế tài chính trong nước</t>
  </si>
  <si>
    <t xml:space="preserve">Mua thiết bị chiếu phim và xe ô tô chuyên dụng </t>
  </si>
  <si>
    <t xml:space="preserve">Hỗ trợ hội VHNT, Hội Nhà báo </t>
  </si>
  <si>
    <t>Hỗ trợ thực hiện một số đề tài khoa học công nghệ</t>
  </si>
  <si>
    <t>Chính sách trợ giúp pháp lý</t>
  </si>
  <si>
    <t>Chính sách hỗ trợ chi phí học tập và miễn giảm học phí</t>
  </si>
  <si>
    <t>Chính sách hỗ trợ học sinh và trường phổ thông ở vùng ĐBKK theo NĐ 116/2016/NĐ-CP</t>
  </si>
  <si>
    <t xml:space="preserve">Chính sách hỗ trợ ăn trưa cho trẻ 3-5 tuổi </t>
  </si>
  <si>
    <t>Chính sách học bổng học sinh dân tộc nội trú</t>
  </si>
  <si>
    <t>Chính sách hỗ trợ học bổng, chi phí học tập cho học sinh khuyết tật</t>
  </si>
  <si>
    <t>Chính sách nội trú đối với học sinh, sinh viên học cao đẳng, trung cấp</t>
  </si>
  <si>
    <t>Hỗ trợ kinh phí đào tạo cán bộ quân sự xã</t>
  </si>
  <si>
    <t>Hỗ trợ kinh phí mua thẻ BHYT cho các đối tượng</t>
  </si>
  <si>
    <t>Chính sách hỗ trợ đối tượng bảo trợ xã hội</t>
  </si>
  <si>
    <t>Chính sách hỗ trợ tiền điện cho hộ nghèo, hộ chính sách xã hội</t>
  </si>
  <si>
    <t>Chính sách đối với người có uy tín trong đồng bào dân tộc thiểu số</t>
  </si>
  <si>
    <t>Hỗ trợ tổ chức, đơn vị sử dụng lao động là người dân tộc thiểu số</t>
  </si>
  <si>
    <t>Chuyển đổi trồng lúa sang trồng ngô</t>
  </si>
  <si>
    <t>Hỗ trợ công ty lâm nghiệp tạm dừng khai thác rừng tự nhiên theo QĐ 2242/QĐ-TTg</t>
  </si>
  <si>
    <t>Dự án bản đồ địa giới hành chính và XD cơ sở dữ liệu địa giới hành chính</t>
  </si>
  <si>
    <t>Kinh phí đảm bảo trật tự an toàn giao thông</t>
  </si>
  <si>
    <t xml:space="preserve">CTMT giáo dục nghề nghiệp - việc làm và lao động </t>
  </si>
  <si>
    <t>CTMT phát triển hệ thống trợ giúp xã hội</t>
  </si>
  <si>
    <t>CTMT y tế dân số</t>
  </si>
  <si>
    <t>CTMT phát triển văn hóa</t>
  </si>
  <si>
    <t>CTMT đảm bảo trật tự an toàn giao thông, PCCC, phòng và chống tội phạm ma túy</t>
  </si>
  <si>
    <t>CTMT tái cơ cấu kinh tế nông nghiệp</t>
  </si>
  <si>
    <t xml:space="preserve">Hỗ trợ bù thu để đảm bảo mặt bằng chi TX ko thấp hơn DT năm 2017 </t>
  </si>
  <si>
    <t xml:space="preserve">Hỗ trợ chi khác </t>
  </si>
  <si>
    <t>Chính sách hỗ trợ và phát triển đất trồng lúa NĐ 35/2015/NĐ-CP</t>
  </si>
  <si>
    <t>Kinh phí tinh giản biên chế theo NĐ 108/2014/NĐ-CP</t>
  </si>
  <si>
    <t>Kinh phí thực hiện khắc phục thiên tai cơn bão do bão số 10 và mưa lũ, lũ quét sạt lở đất giữa tháng 8/2017 đến đầu tháng 10/2017; Kinh phí khắc phục thiệt hại do mưa bão số 2 và số 4 , sạt lở đất</t>
  </si>
  <si>
    <t>Dự án khắc phục sạt lở đất khu dân cư tổ 16 Phường Sông Cầu</t>
  </si>
  <si>
    <t>Sửa chữa tường rào bệnh viện đa khoa Bắc Kạn</t>
  </si>
  <si>
    <t>Chương trình mục tiêu tái cơ cấu kinh tế nông nghiệp và phòng chống giảm nhẹ thiên tai ổn định dân cư</t>
  </si>
  <si>
    <t>Kinh phí dự án phát triển hệ thống bảo vệ trẻ em</t>
  </si>
  <si>
    <t>Chính sách hỗ trợ chi phí học tập cho sinh viên dân tộc thiểu số thuộc hộ nghèo, cận nghèo theo QĐ 66/2013/QĐ-TTg</t>
  </si>
  <si>
    <t>Chính sách hỗ trợ học tập đối với trẻ mẫu giáo, học sinh, sinh viên dân tộc thiểu số rất ít người theo NĐ 57/2017/NĐ-CP</t>
  </si>
  <si>
    <t>Chính sách miễn thu thủy lợi phí</t>
  </si>
  <si>
    <t>Chính sách hỗ trợ đo đạc và cấp giấy chứng nhận quyền sử dụng đất</t>
  </si>
  <si>
    <t xml:space="preserve">Kinh phí hỗ trợ giống cây trồng, vật nuôi, khôi phục sản xuất vùng bị thiệt hại do thiên tai, dịch bệnh </t>
  </si>
  <si>
    <t>Kinh phí tuyên truyền xóa bỏ tổ chức Dương Văn Mình</t>
  </si>
  <si>
    <t>Kinh phí khắc phục hạn hán vụ đông xuân</t>
  </si>
  <si>
    <t>QUYẾT TOÁN CHI NGÂN SÁCH CẤP TỈNH THEO LĨNH VỰC NĂM 2018</t>
  </si>
  <si>
    <t>Chi thực hiện cải cách tiền lương</t>
  </si>
  <si>
    <t>QUYẾT TOÁN CHI NGÂN SÁCH CẤP TỈNH CHO TỪNG CƠ QUAN, TỔ CHỨC THEO LĨNH VỰC NĂM 2018</t>
  </si>
  <si>
    <t>VP Đoàn ĐBQH và HĐND tỉnh</t>
  </si>
  <si>
    <t>Văn phòng UBND tỉnh</t>
  </si>
  <si>
    <t>Văn phòng Điều phối xây dựng NTM&amp;GN tỉnh</t>
  </si>
  <si>
    <t>Quỹ bảo trì đường bộ</t>
  </si>
  <si>
    <t>Các tổ chức XH, tổ chức XH-Nghề nghiệp</t>
  </si>
  <si>
    <t>Viện Kiểm sát nhân dân tỉnh</t>
  </si>
  <si>
    <t>Viễn thông Bắc Kạn</t>
  </si>
  <si>
    <t>Tòa án nhân dân tỉnh</t>
  </si>
  <si>
    <t>Đoàn luật sư Bắc Kạn</t>
  </si>
  <si>
    <t>Công ty CP Đăng kiểm Bắc Kạn</t>
  </si>
  <si>
    <t>Hiệp hội doanh nghiệp tỉnh Bắc Kạn</t>
  </si>
  <si>
    <t>6.20</t>
  </si>
  <si>
    <t>HTX Nông nghiệp Tân Thành</t>
  </si>
  <si>
    <t>6.21</t>
  </si>
  <si>
    <t>Hợp tác xã NN &amp; TM Hợp thành Thanh Vận</t>
  </si>
  <si>
    <t>6.22</t>
  </si>
  <si>
    <t>Hợp tác xã Chè Mỹ Phương</t>
  </si>
  <si>
    <t>6.23</t>
  </si>
  <si>
    <t>Hợp tác xã TM&amp;DV Nông Nghiệp Dương Phong</t>
  </si>
  <si>
    <t>6.24</t>
  </si>
  <si>
    <t>Ngân hàng Nông nghiệp và PTNT</t>
  </si>
  <si>
    <t>6.25</t>
  </si>
  <si>
    <t>6.26</t>
  </si>
  <si>
    <t>Dư tạm ứng từ năm 2003 trở về trước</t>
  </si>
  <si>
    <t>Nguồn vay lại vốn ODA chưa phân bổ</t>
  </si>
  <si>
    <t>Phần vốn SEQAP phân cấp về cho huyện nhập dự toán và quyết toán</t>
  </si>
  <si>
    <t>Nguồn thu tiền sử dụng đất cấp tỉnh điều hành</t>
  </si>
  <si>
    <t>Thực hiện chính sách khuyến khích doanh nghiệp đầu tư vào lĩnh vực nông lâm nghiệp theo Nghị quyết số 11/2015/NQ-HĐND ngày 3/4/2015</t>
  </si>
  <si>
    <t>QUYẾT TOÁN CHI BỔ SUNG TỪ NGÂN SÁCH CẤP TỈNH CHO NGÂN SÁCH TỪNG HUYỆN NĂM 2018</t>
  </si>
  <si>
    <t>Tên đơn vị (1)</t>
  </si>
  <si>
    <t>cân đối</t>
  </si>
  <si>
    <t>CT,NV</t>
  </si>
  <si>
    <t>CCTL</t>
  </si>
  <si>
    <t>nằm trong 100.362 đ (hỗ trợ xã NTM)</t>
  </si>
  <si>
    <t>QUYẾT TOÁN CHI CHƯƠNG TRÌNH MỤC TIÊU QUỐC GIA NĂM 2018</t>
  </si>
  <si>
    <t>Cộng</t>
  </si>
  <si>
    <t xml:space="preserve">Sở Lao động - Thương binh và Xã hội </t>
  </si>
  <si>
    <t>Văn phòng điều phối XDNTM&amp;GN</t>
  </si>
  <si>
    <t>Công An tỉnh</t>
  </si>
  <si>
    <t>Hội Nông dân</t>
  </si>
  <si>
    <t>Hội Liên hiệp phụ nữ</t>
  </si>
  <si>
    <t>Biểu số 62/CK-NSNN</t>
  </si>
  <si>
    <t>Biểu số 63/CK-NSNN</t>
  </si>
  <si>
    <t>Biểu số 64/CK-NSNN</t>
  </si>
  <si>
    <t>Biểu số 65/CK-NSNN</t>
  </si>
  <si>
    <t>Biểu số 66/CK-NSNN</t>
  </si>
  <si>
    <t>Biểu số 67/CK-NSNN</t>
  </si>
  <si>
    <t>Biểu số 68/CK-NSNN</t>
  </si>
  <si>
    <t>(Kèm theo Quyết định số            /QĐ-UBND ngày         tháng 01 năm 2020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</si>
</sst>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41" formatCode="_(* #,##0_);_(* \(#,##0\);_(* &quot;-&quot;_);_(@_)"/>
    <numFmt numFmtId="43" formatCode="_(* #,##0.00_);_(* \(#,##0.00\);_(* &quot;-&quot;??_);_(@_)"/>
    <numFmt numFmtId="164" formatCode="_-* #,##0\ _₫_-;\-* #,##0\ _₫_-;_-* &quot;-&quot;\ _₫_-;_-@_-"/>
    <numFmt numFmtId="165" formatCode="_-* #,##0.00\ _₫_-;\-* #,##0.00\ _₫_-;_-* &quot;-&quot;??\ _₫_-;_-@_-"/>
    <numFmt numFmtId="166" formatCode="_(* #,##0_);_(* \(#,##0\);_(* &quot;-&quot;??_);_(@_)"/>
    <numFmt numFmtId="167" formatCode="_(* #,##0.0_);_(* \(#,##0.0\);_(* &quot;-&quot;??_);_(@_)"/>
    <numFmt numFmtId="168" formatCode="&quot;\&quot;#,##0.00;[Red]&quot;\&quot;&quot;\&quot;&quot;\&quot;&quot;\&quot;&quot;\&quot;&quot;\&quot;\-#,##0.00"/>
    <numFmt numFmtId="169" formatCode="&quot;\&quot;#,##0;[Red]&quot;\&quot;&quot;\&quot;\-#,##0"/>
    <numFmt numFmtId="170" formatCode="\$#,##0\ ;\(\$#,##0\)"/>
    <numFmt numFmtId="171" formatCode="_(* #,##0.000_);_(* \(#,##0.000\);_(* &quot;-&quot;??_);_(@_)"/>
    <numFmt numFmtId="172" formatCode="#,##0.000"/>
    <numFmt numFmtId="173" formatCode="_-* #,##0.000_-;\-* #,##0.000_-;_-* &quot;-&quot;???_-;_-@_-"/>
    <numFmt numFmtId="174" formatCode="#,##0;[Red]#,##0"/>
    <numFmt numFmtId="175" formatCode="#,##0;[Red]\-#,##0;&quot;&quot;;_-@"/>
    <numFmt numFmtId="176" formatCode="_(* #,##0.000_);_(* \(#,##0.000\);_(* &quot;-&quot;???_);_(@_)"/>
    <numFmt numFmtId="177" formatCode="#,##0.0"/>
    <numFmt numFmtId="178" formatCode="0.0"/>
    <numFmt numFmtId="179" formatCode="_(* #,##0.00000000_);_(* \(#,##0.00000000\);_(* &quot;-&quot;??_);_(@_)"/>
    <numFmt numFmtId="180" formatCode="#,##0.000000"/>
    <numFmt numFmtId="181" formatCode="0.0%"/>
  </numFmts>
  <fonts count="154">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rgb="FF000000"/>
      <name val="Times New Roman"/>
      <family val="1"/>
    </font>
    <font>
      <i/>
      <sz val="12"/>
      <color rgb="FF000000"/>
      <name val="Times New Roman"/>
      <family val="1"/>
    </font>
    <font>
      <sz val="12"/>
      <color rgb="FF000000"/>
      <name val="Times New Roman"/>
      <family val="1"/>
    </font>
    <font>
      <b/>
      <i/>
      <sz val="12"/>
      <color rgb="FF000000"/>
      <name val="Times New Roman"/>
      <family val="1"/>
    </font>
    <font>
      <sz val="10"/>
      <color rgb="FF000000"/>
      <name val="Times New Roman"/>
      <family val="1"/>
    </font>
    <font>
      <sz val="10"/>
      <color theme="1"/>
      <name val="Calibri"/>
      <family val="2"/>
      <charset val="163"/>
      <scheme val="minor"/>
    </font>
    <font>
      <b/>
      <sz val="12"/>
      <name val="Times New Roman"/>
      <family val="1"/>
    </font>
    <font>
      <i/>
      <sz val="12"/>
      <name val="Times New Roman"/>
      <family val="1"/>
    </font>
    <font>
      <sz val="12"/>
      <name val="Times New Roman"/>
      <family val="1"/>
    </font>
    <font>
      <b/>
      <i/>
      <sz val="12"/>
      <name val="Times New Roman"/>
      <family val="1"/>
    </font>
    <font>
      <u/>
      <sz val="11"/>
      <color theme="10"/>
      <name val="Calibri"/>
      <family val="2"/>
      <charset val="163"/>
      <scheme val="minor"/>
    </font>
    <font>
      <sz val="12"/>
      <color theme="1"/>
      <name val="Times New Roman"/>
      <family val="1"/>
    </font>
    <font>
      <b/>
      <sz val="12"/>
      <color theme="1"/>
      <name val="Times New Roman"/>
      <family val="1"/>
    </font>
    <font>
      <sz val="12"/>
      <name val=".VnTime"/>
      <family val="2"/>
    </font>
    <font>
      <sz val="10"/>
      <name val=".VnTime"/>
      <family val="2"/>
    </font>
    <font>
      <b/>
      <sz val="10"/>
      <name val=".VnTime"/>
      <family val="2"/>
    </font>
    <font>
      <sz val="10"/>
      <name val="Arial"/>
      <family val="2"/>
    </font>
    <font>
      <sz val="14"/>
      <name val="??"/>
      <family val="3"/>
      <charset val="129"/>
    </font>
    <font>
      <sz val="10"/>
      <name val="???"/>
      <family val="3"/>
      <charset val="129"/>
    </font>
    <font>
      <sz val="14"/>
      <name val=".VnTime"/>
      <family val="2"/>
    </font>
    <font>
      <sz val="14"/>
      <name val="Times New Roman"/>
      <family val="1"/>
    </font>
    <font>
      <b/>
      <sz val="12"/>
      <name val="Arial"/>
      <family val="2"/>
    </font>
    <font>
      <b/>
      <sz val="18"/>
      <name val="Arial"/>
      <family val="2"/>
    </font>
    <font>
      <sz val="11"/>
      <color theme="1"/>
      <name val="Calibri"/>
      <family val="2"/>
      <charset val="163"/>
      <scheme val="minor"/>
    </font>
    <font>
      <sz val="8"/>
      <name val=".VnTime"/>
      <family val="2"/>
    </font>
    <font>
      <sz val="8"/>
      <name val="Times New Roman"/>
      <family val="1"/>
    </font>
    <font>
      <i/>
      <sz val="10"/>
      <name val=".VnTime"/>
      <family val="2"/>
    </font>
    <font>
      <sz val="9"/>
      <color indexed="81"/>
      <name val="Tahoma"/>
      <family val="2"/>
    </font>
    <font>
      <b/>
      <sz val="9"/>
      <color indexed="81"/>
      <name val="Tahoma"/>
      <family val="2"/>
    </font>
    <font>
      <b/>
      <sz val="8"/>
      <name val="Times New Roman"/>
      <family val="1"/>
    </font>
    <font>
      <b/>
      <i/>
      <sz val="10"/>
      <name val=".VnTime"/>
      <family val="2"/>
    </font>
    <font>
      <i/>
      <sz val="10"/>
      <color rgb="FF000000"/>
      <name val="Times New Roman"/>
      <family val="1"/>
    </font>
    <font>
      <b/>
      <sz val="10"/>
      <color rgb="FF000000"/>
      <name val="Times New Roman"/>
      <family val="1"/>
    </font>
    <font>
      <sz val="12"/>
      <name val=".VnArial Narrow"/>
      <family val="2"/>
    </font>
    <font>
      <sz val="10"/>
      <name val=".VnArial Narrow"/>
      <family val="2"/>
    </font>
    <font>
      <b/>
      <sz val="10"/>
      <name val=".VnArial Narrow"/>
      <family val="2"/>
    </font>
    <font>
      <sz val="10"/>
      <name val="Times New Roman"/>
      <family val="1"/>
    </font>
    <font>
      <sz val="14"/>
      <color indexed="8"/>
      <name val="Times New Roman"/>
      <family val="2"/>
    </font>
    <font>
      <sz val="10"/>
      <color indexed="8"/>
      <name val="Times New Roman"/>
      <family val="1"/>
    </font>
    <font>
      <b/>
      <sz val="10"/>
      <name val="Times New Roman"/>
      <family val="1"/>
    </font>
    <font>
      <b/>
      <sz val="10"/>
      <color indexed="8"/>
      <name val="Times New Roman"/>
      <family val="2"/>
    </font>
    <font>
      <sz val="9"/>
      <name val="Times New Roman"/>
      <family val="1"/>
    </font>
    <font>
      <b/>
      <sz val="9"/>
      <color indexed="8"/>
      <name val="Times New Roman"/>
      <family val="1"/>
    </font>
    <font>
      <b/>
      <sz val="9"/>
      <name val="Times New Roman"/>
      <family val="1"/>
    </font>
    <font>
      <sz val="9"/>
      <color indexed="8"/>
      <name val="Times New Roman"/>
      <family val="1"/>
    </font>
    <font>
      <b/>
      <u/>
      <sz val="10"/>
      <name val="Times New Roman"/>
      <family val="1"/>
    </font>
    <font>
      <b/>
      <sz val="7"/>
      <name val=".VnAvantH"/>
      <family val="2"/>
    </font>
    <font>
      <b/>
      <sz val="7"/>
      <name val="Times New Roman"/>
      <family val="1"/>
    </font>
    <font>
      <b/>
      <sz val="7"/>
      <name val=".VnTime"/>
      <family val="2"/>
    </font>
    <font>
      <sz val="7"/>
      <name val="Times New Roman"/>
      <family val="1"/>
    </font>
    <font>
      <i/>
      <sz val="10"/>
      <name val="Times New Roman"/>
      <family val="1"/>
    </font>
    <font>
      <i/>
      <sz val="8"/>
      <name val="Times New Roman"/>
      <family val="1"/>
    </font>
    <font>
      <sz val="11"/>
      <color indexed="8"/>
      <name val="Calibri"/>
      <family val="2"/>
    </font>
    <font>
      <sz val="12"/>
      <color indexed="8"/>
      <name val="Times New Roman"/>
      <family val="1"/>
    </font>
    <font>
      <sz val="9"/>
      <color rgb="FFFF0000"/>
      <name val="Times New Roman"/>
      <family val="1"/>
    </font>
    <font>
      <sz val="10"/>
      <name val="Arial"/>
      <family val="2"/>
      <charset val="163"/>
    </font>
    <font>
      <sz val="12"/>
      <name val=".VnTime"/>
      <family val="2"/>
    </font>
    <font>
      <b/>
      <sz val="9"/>
      <color rgb="FF000000"/>
      <name val="Times New Roman"/>
      <family val="1"/>
    </font>
    <font>
      <sz val="9"/>
      <color theme="1"/>
      <name val="Times New Roman"/>
      <family val="1"/>
    </font>
    <font>
      <sz val="9"/>
      <color rgb="FF000000"/>
      <name val="Times New Roman"/>
      <family val="1"/>
    </font>
    <font>
      <i/>
      <sz val="9"/>
      <color rgb="FF000000"/>
      <name val="Times New Roman"/>
      <family val="1"/>
    </font>
    <font>
      <b/>
      <sz val="9"/>
      <color rgb="FFFF0000"/>
      <name val="Times New Roman"/>
      <family val="1"/>
    </font>
    <font>
      <sz val="10"/>
      <color rgb="FFFF0000"/>
      <name val="Times New Roman"/>
      <family val="1"/>
    </font>
    <font>
      <b/>
      <sz val="11"/>
      <name val="Times New Roman"/>
      <family val="1"/>
    </font>
    <font>
      <b/>
      <sz val="9"/>
      <color theme="1"/>
      <name val="Times New Roman"/>
      <family val="1"/>
    </font>
    <font>
      <b/>
      <sz val="10"/>
      <color theme="1"/>
      <name val="Times New Roman"/>
      <family val="1"/>
    </font>
    <font>
      <b/>
      <i/>
      <sz val="9"/>
      <color theme="1"/>
      <name val="Times New Roman"/>
      <family val="1"/>
    </font>
    <font>
      <i/>
      <sz val="9"/>
      <color theme="1"/>
      <name val="Times New Roman"/>
      <family val="1"/>
    </font>
    <font>
      <i/>
      <sz val="10"/>
      <color theme="1"/>
      <name val="Times New Roman"/>
      <family val="1"/>
    </font>
    <font>
      <sz val="10"/>
      <color theme="1"/>
      <name val="Times New Roman"/>
      <family val="1"/>
    </font>
    <font>
      <b/>
      <sz val="12"/>
      <name val=".VnTime"/>
      <family val="2"/>
    </font>
    <font>
      <b/>
      <i/>
      <sz val="9"/>
      <color rgb="FF000000"/>
      <name val="Times New Roman"/>
      <family val="1"/>
    </font>
    <font>
      <b/>
      <sz val="11"/>
      <color rgb="FF000000"/>
      <name val="Times New Roman"/>
      <family val="1"/>
    </font>
    <font>
      <b/>
      <i/>
      <sz val="10"/>
      <color theme="1"/>
      <name val="Times New Roman"/>
      <family val="1"/>
    </font>
    <font>
      <b/>
      <i/>
      <sz val="10"/>
      <color rgb="FF000000"/>
      <name val="Times New Roman"/>
      <family val="1"/>
    </font>
    <font>
      <b/>
      <i/>
      <sz val="11"/>
      <color theme="1"/>
      <name val="Times New Roman"/>
      <family val="1"/>
    </font>
    <font>
      <b/>
      <i/>
      <sz val="11"/>
      <name val="Times New Roman"/>
      <family val="1"/>
    </font>
    <font>
      <b/>
      <sz val="11"/>
      <color theme="1"/>
      <name val="Times New Roman"/>
      <family val="1"/>
    </font>
    <font>
      <sz val="11"/>
      <name val="Times New Roman"/>
      <family val="1"/>
    </font>
    <font>
      <sz val="11"/>
      <color rgb="FF000000"/>
      <name val="Times New Roman"/>
      <family val="1"/>
    </font>
    <font>
      <sz val="11"/>
      <color theme="1"/>
      <name val="Times New Roman"/>
      <family val="1"/>
    </font>
    <font>
      <b/>
      <i/>
      <sz val="11"/>
      <color rgb="FF000000"/>
      <name val="Times New Roman"/>
      <family val="1"/>
    </font>
    <font>
      <sz val="11"/>
      <name val="Times New Roman"/>
      <family val="2"/>
    </font>
    <font>
      <sz val="10"/>
      <color theme="1"/>
      <name val="times new roman"/>
      <family val="2"/>
      <charset val="163"/>
    </font>
    <font>
      <b/>
      <u/>
      <sz val="10"/>
      <color theme="1"/>
      <name val="Times New Roman"/>
      <family val="1"/>
    </font>
    <font>
      <sz val="12"/>
      <name val="Arial"/>
      <family val="2"/>
    </font>
    <font>
      <b/>
      <sz val="8"/>
      <color indexed="81"/>
      <name val="Times New Roman"/>
      <family val="1"/>
    </font>
    <font>
      <sz val="8"/>
      <color indexed="81"/>
      <name val="Times New Roman"/>
      <family val="1"/>
    </font>
    <font>
      <b/>
      <sz val="8"/>
      <color indexed="81"/>
      <name val="Tahoma"/>
      <family val="2"/>
    </font>
    <font>
      <sz val="8"/>
      <color indexed="81"/>
      <name val="Tahoma"/>
      <family val="2"/>
    </font>
    <font>
      <sz val="9"/>
      <name val=".VnTime"/>
      <family val="2"/>
    </font>
    <font>
      <b/>
      <sz val="9"/>
      <name val=".VnTime"/>
      <family val="2"/>
    </font>
    <font>
      <sz val="11"/>
      <name val=".VnArial Narrow"/>
      <family val="2"/>
    </font>
    <font>
      <sz val="7"/>
      <name val=".VnTime"/>
      <family val="2"/>
    </font>
    <font>
      <sz val="11"/>
      <color theme="1"/>
      <name val="times new roman"/>
      <family val="2"/>
      <charset val="163"/>
    </font>
    <font>
      <b/>
      <sz val="11"/>
      <color theme="1"/>
      <name val="Calibri"/>
      <family val="2"/>
      <charset val="163"/>
      <scheme val="minor"/>
    </font>
    <font>
      <sz val="12"/>
      <color rgb="FFFF0000"/>
      <name val="Times New Roman"/>
      <family val="1"/>
    </font>
    <font>
      <b/>
      <i/>
      <sz val="10"/>
      <name val="Times New Roman"/>
      <family val="1"/>
    </font>
    <font>
      <b/>
      <i/>
      <sz val="9"/>
      <name val="Times New Roman"/>
      <family val="1"/>
    </font>
    <font>
      <i/>
      <sz val="9"/>
      <name val="Times New Roman"/>
      <family val="1"/>
    </font>
    <font>
      <b/>
      <u/>
      <sz val="10"/>
      <name val=".VnTimeH"/>
      <family val="2"/>
    </font>
    <font>
      <sz val="10"/>
      <name val="Times New Roman"/>
      <family val="1"/>
      <charset val="163"/>
    </font>
    <font>
      <sz val="10"/>
      <name val="times new roman"/>
      <family val="2"/>
      <charset val="163"/>
    </font>
    <font>
      <b/>
      <u/>
      <sz val="10"/>
      <name val=".VnTime"/>
      <family val="2"/>
    </font>
    <font>
      <b/>
      <sz val="14"/>
      <name val="Times New Roman"/>
      <family val="1"/>
    </font>
    <font>
      <sz val="14"/>
      <name val=".VnArial Narrow"/>
      <family val="2"/>
    </font>
    <font>
      <sz val="11"/>
      <name val="Calibri"/>
      <family val="2"/>
      <charset val="163"/>
      <scheme val="minor"/>
    </font>
    <font>
      <i/>
      <sz val="13"/>
      <name val="Times New Roman"/>
      <family val="1"/>
    </font>
    <font>
      <sz val="12"/>
      <color theme="1"/>
      <name val="Times New Roman"/>
      <family val="2"/>
    </font>
    <font>
      <sz val="10"/>
      <name val="Times New Roman"/>
      <family val="2"/>
    </font>
    <font>
      <b/>
      <sz val="10"/>
      <name val="Times New Roman"/>
      <family val="2"/>
    </font>
    <font>
      <sz val="13"/>
      <name val="Times New Roman"/>
      <family val="1"/>
    </font>
    <font>
      <i/>
      <sz val="14"/>
      <name val="Times New Roman"/>
      <family val="1"/>
    </font>
    <font>
      <b/>
      <sz val="13"/>
      <name val="Times New Roman"/>
      <family val="1"/>
    </font>
    <font>
      <sz val="6"/>
      <name val="Times New Roman"/>
      <family val="1"/>
    </font>
    <font>
      <b/>
      <sz val="6"/>
      <name val="Times New Roman"/>
      <family val="1"/>
    </font>
    <font>
      <sz val="6"/>
      <color rgb="FFFF0000"/>
      <name val="Times New Roman"/>
      <family val="1"/>
    </font>
    <font>
      <sz val="6"/>
      <name val=".VnTime"/>
      <family val="2"/>
    </font>
    <font>
      <b/>
      <sz val="11"/>
      <name val="Calibri"/>
      <family val="2"/>
      <charset val="163"/>
      <scheme val="minor"/>
    </font>
    <font>
      <sz val="9"/>
      <name val="Calibri"/>
      <family val="2"/>
      <charset val="163"/>
      <scheme val="minor"/>
    </font>
    <font>
      <sz val="10"/>
      <name val="Calibri"/>
      <family val="2"/>
      <charset val="163"/>
      <scheme val="minor"/>
    </font>
    <font>
      <b/>
      <sz val="10"/>
      <name val="times new roman"/>
      <family val="2"/>
      <charset val="163"/>
    </font>
    <font>
      <i/>
      <sz val="11"/>
      <color rgb="FF000000"/>
      <name val="Times New Roman"/>
      <family val="1"/>
    </font>
    <font>
      <sz val="11"/>
      <color rgb="FFFF0000"/>
      <name val="Times New Roman"/>
      <family val="1"/>
    </font>
    <font>
      <sz val="9"/>
      <color indexed="81"/>
      <name val="Tahoma"/>
    </font>
    <font>
      <b/>
      <sz val="9"/>
      <color indexed="81"/>
      <name val="Tahoma"/>
    </font>
    <font>
      <sz val="6"/>
      <color theme="1"/>
      <name val="Times New Roman"/>
      <family val="1"/>
    </font>
    <font>
      <sz val="6"/>
      <color indexed="8"/>
      <name val="Times New Roman"/>
      <family val="1"/>
    </font>
    <font>
      <sz val="6"/>
      <color rgb="FF000000"/>
      <name val="Times New Roman"/>
      <family val="1"/>
    </font>
    <font>
      <i/>
      <sz val="14"/>
      <color theme="1"/>
      <name val="Times New Roman"/>
      <family val="1"/>
    </font>
    <font>
      <b/>
      <sz val="6"/>
      <name val="Times New Roman"/>
      <family val="1"/>
      <charset val="163"/>
    </font>
    <font>
      <sz val="9"/>
      <color indexed="81"/>
      <name val="Tahoma"/>
      <charset val="1"/>
    </font>
    <font>
      <b/>
      <sz val="9"/>
      <color indexed="81"/>
      <name val="Tahoma"/>
      <charset val="1"/>
    </font>
    <font>
      <b/>
      <sz val="14"/>
      <color rgb="FF000000"/>
      <name val="Times New Roman"/>
      <family val="1"/>
    </font>
    <font>
      <b/>
      <sz val="12"/>
      <color rgb="FFFF0000"/>
      <name val="Times New Roman"/>
      <family val="1"/>
    </font>
    <font>
      <i/>
      <sz val="12"/>
      <color rgb="FFFF0000"/>
      <name val="Times New Roman"/>
      <family val="1"/>
    </font>
    <font>
      <sz val="11"/>
      <color rgb="FFFF0000"/>
      <name val="Calibri"/>
      <family val="2"/>
      <charset val="163"/>
      <scheme val="minor"/>
    </font>
    <font>
      <b/>
      <i/>
      <sz val="12"/>
      <name val=".VnTime"/>
      <family val="2"/>
    </font>
    <font>
      <sz val="8"/>
      <color theme="1"/>
      <name val="Times New Roman"/>
      <family val="1"/>
    </font>
    <font>
      <b/>
      <sz val="8"/>
      <color theme="1"/>
      <name val="Times New Roman"/>
      <family val="1"/>
    </font>
    <font>
      <b/>
      <i/>
      <sz val="9"/>
      <name val="Calibri"/>
      <family val="2"/>
      <charset val="163"/>
      <scheme val="minor"/>
    </font>
    <font>
      <sz val="10"/>
      <color rgb="FF0070C0"/>
      <name val="Times New Roman"/>
      <family val="1"/>
    </font>
    <font>
      <sz val="12"/>
      <color rgb="FF0070C0"/>
      <name val="Times New Roman"/>
      <family val="1"/>
    </font>
    <font>
      <sz val="8"/>
      <color rgb="FF0070C0"/>
      <name val="Times New Roman"/>
      <family val="1"/>
    </font>
    <font>
      <sz val="11"/>
      <color rgb="FF0000FF"/>
      <name val="Calibri"/>
      <family val="2"/>
      <charset val="163"/>
      <scheme val="minor"/>
    </font>
    <font>
      <sz val="8"/>
      <name val="Calibri"/>
      <family val="2"/>
      <charset val="163"/>
      <scheme val="minor"/>
    </font>
    <font>
      <sz val="12"/>
      <color rgb="FFFF0000"/>
      <name val=".VnTime"/>
      <family val="2"/>
    </font>
    <font>
      <sz val="9"/>
      <color theme="1"/>
      <name val="Calibri"/>
      <family val="2"/>
      <charset val="163"/>
      <scheme val="minor"/>
    </font>
  </fonts>
  <fills count="6">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bgColor rgb="FFFFFF00"/>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double">
        <color indexed="64"/>
      </top>
      <bottom/>
      <diagonal/>
    </border>
    <border>
      <left style="thin">
        <color indexed="64"/>
      </left>
      <right style="thin">
        <color indexed="64"/>
      </right>
      <top style="hair">
        <color indexed="64"/>
      </top>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thin">
        <color indexed="64"/>
      </bottom>
      <diagonal/>
    </border>
  </borders>
  <cellStyleXfs count="83">
    <xf numFmtId="0" fontId="0" fillId="0" borderId="0"/>
    <xf numFmtId="0" fontId="16" fillId="0" borderId="0" applyNumberFormat="0" applyFill="0" applyBorder="0" applyAlignment="0" applyProtection="0"/>
    <xf numFmtId="0" fontId="19" fillId="0" borderId="0"/>
    <xf numFmtId="43" fontId="19" fillId="0" borderId="0" applyFont="0" applyFill="0" applyBorder="0" applyAlignment="0" applyProtection="0"/>
    <xf numFmtId="168" fontId="22" fillId="0" borderId="0" applyFont="0" applyFill="0" applyBorder="0" applyAlignment="0" applyProtection="0"/>
    <xf numFmtId="0" fontId="23" fillId="0" borderId="0" applyFont="0" applyFill="0" applyBorder="0" applyAlignment="0" applyProtection="0"/>
    <xf numFmtId="169" fontId="22" fillId="0" borderId="0" applyFont="0" applyFill="0" applyBorder="0" applyAlignment="0" applyProtection="0"/>
    <xf numFmtId="40" fontId="23" fillId="0" borderId="0" applyFont="0" applyFill="0" applyBorder="0" applyAlignment="0" applyProtection="0"/>
    <xf numFmtId="38" fontId="23" fillId="0" borderId="0" applyFont="0" applyFill="0" applyBorder="0" applyAlignment="0" applyProtection="0"/>
    <xf numFmtId="10" fontId="22" fillId="0" borderId="0" applyFont="0" applyFill="0" applyBorder="0" applyAlignment="0" applyProtection="0"/>
    <xf numFmtId="0" fontId="24" fillId="0" borderId="0"/>
    <xf numFmtId="0" fontId="25" fillId="0" borderId="0"/>
    <xf numFmtId="41" fontId="14" fillId="0" borderId="0" applyFont="0" applyFill="0" applyBorder="0" applyAlignment="0" applyProtection="0"/>
    <xf numFmtId="41"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4" fillId="0" borderId="0" applyFont="0" applyFill="0" applyBorder="0" applyAlignment="0" applyProtection="0"/>
    <xf numFmtId="43" fontId="22" fillId="0" borderId="0" applyFont="0" applyFill="0" applyBorder="0" applyAlignment="0" applyProtection="0"/>
    <xf numFmtId="43" fontId="5" fillId="0" borderId="0" applyFont="0" applyFill="0" applyBorder="0" applyAlignment="0" applyProtection="0"/>
    <xf numFmtId="165" fontId="26" fillId="0" borderId="0" applyFont="0" applyFill="0" applyBorder="0" applyAlignment="0" applyProtection="0"/>
    <xf numFmtId="43" fontId="5" fillId="0" borderId="0" applyFont="0" applyFill="0" applyBorder="0" applyAlignment="0" applyProtection="0"/>
    <xf numFmtId="3" fontId="22" fillId="0" borderId="0" applyFont="0" applyFill="0" applyBorder="0" applyAlignment="0" applyProtection="0"/>
    <xf numFmtId="170" fontId="22" fillId="0" borderId="0" applyFont="0" applyFill="0" applyBorder="0" applyAlignment="0" applyProtection="0"/>
    <xf numFmtId="0" fontId="22" fillId="0" borderId="0" applyFont="0" applyFill="0" applyBorder="0" applyAlignment="0" applyProtection="0"/>
    <xf numFmtId="2" fontId="22" fillId="0" borderId="0" applyFont="0" applyFill="0" applyBorder="0" applyAlignment="0" applyProtection="0"/>
    <xf numFmtId="0" fontId="27" fillId="0" borderId="18" applyNumberFormat="0" applyAlignment="0" applyProtection="0">
      <alignment horizontal="left" vertical="center"/>
    </xf>
    <xf numFmtId="0" fontId="27" fillId="0" borderId="9">
      <alignment horizontal="left" vertical="center"/>
    </xf>
    <xf numFmtId="0" fontId="28" fillId="0" borderId="0" applyNumberFormat="0" applyFill="0" applyBorder="0" applyAlignment="0" applyProtection="0"/>
    <xf numFmtId="0" fontId="27" fillId="0" borderId="0" applyNumberFormat="0" applyFill="0" applyBorder="0" applyAlignment="0" applyProtection="0"/>
    <xf numFmtId="0" fontId="22" fillId="0" borderId="0"/>
    <xf numFmtId="0" fontId="22" fillId="0" borderId="0"/>
    <xf numFmtId="0" fontId="22" fillId="0" borderId="0"/>
    <xf numFmtId="0" fontId="5" fillId="0" borderId="0"/>
    <xf numFmtId="0" fontId="22" fillId="0" borderId="0"/>
    <xf numFmtId="0" fontId="22" fillId="0" borderId="0"/>
    <xf numFmtId="0" fontId="20" fillId="0" borderId="0" applyNumberFormat="0" applyFill="0" applyBorder="0" applyAlignment="0" applyProtection="0"/>
    <xf numFmtId="0" fontId="22" fillId="0" borderId="19" applyNumberFormat="0" applyFont="0" applyFill="0" applyAlignment="0" applyProtection="0"/>
    <xf numFmtId="43" fontId="29" fillId="0" borderId="0" applyFont="0" applyFill="0" applyBorder="0" applyAlignment="0" applyProtection="0"/>
    <xf numFmtId="0" fontId="39" fillId="0" borderId="0"/>
    <xf numFmtId="0" fontId="43" fillId="0" borderId="0"/>
    <xf numFmtId="0" fontId="22" fillId="0" borderId="0"/>
    <xf numFmtId="43" fontId="58" fillId="0" borderId="0" applyFont="0" applyFill="0" applyBorder="0" applyAlignment="0" applyProtection="0"/>
    <xf numFmtId="165" fontId="29" fillId="0" borderId="0" applyFont="0" applyFill="0" applyBorder="0" applyAlignment="0" applyProtection="0"/>
    <xf numFmtId="164" fontId="29" fillId="0" borderId="0" applyFont="0" applyFill="0" applyBorder="0" applyAlignment="0" applyProtection="0"/>
    <xf numFmtId="0" fontId="22" fillId="0" borderId="0"/>
    <xf numFmtId="0" fontId="59" fillId="0" borderId="0"/>
    <xf numFmtId="0" fontId="4" fillId="0" borderId="0"/>
    <xf numFmtId="0" fontId="22" fillId="0" borderId="0"/>
    <xf numFmtId="0" fontId="14" fillId="0" borderId="0"/>
    <xf numFmtId="41" fontId="58" fillId="0" borderId="0" applyFont="0" applyFill="0" applyBorder="0" applyAlignment="0" applyProtection="0"/>
    <xf numFmtId="0" fontId="61" fillId="0" borderId="0"/>
    <xf numFmtId="0" fontId="62" fillId="0" borderId="0"/>
    <xf numFmtId="41" fontId="62" fillId="0" borderId="0" applyFont="0" applyFill="0" applyBorder="0" applyAlignment="0" applyProtection="0"/>
    <xf numFmtId="43" fontId="62" fillId="0" borderId="0" applyFont="0" applyFill="0" applyBorder="0" applyAlignment="0" applyProtection="0"/>
    <xf numFmtId="0" fontId="14" fillId="0" borderId="0"/>
    <xf numFmtId="0" fontId="22" fillId="0" borderId="0"/>
    <xf numFmtId="9" fontId="19" fillId="0" borderId="0" applyFont="0" applyFill="0" applyBorder="0" applyAlignment="0" applyProtection="0"/>
    <xf numFmtId="0" fontId="98" fillId="0" borderId="0"/>
    <xf numFmtId="0" fontId="29" fillId="0" borderId="0"/>
    <xf numFmtId="43" fontId="100" fillId="0" borderId="0" applyFont="0" applyFill="0" applyBorder="0" applyAlignment="0" applyProtection="0"/>
    <xf numFmtId="9" fontId="100" fillId="0" borderId="0" applyFont="0" applyFill="0" applyBorder="0" applyAlignment="0" applyProtection="0"/>
    <xf numFmtId="0" fontId="100" fillId="0" borderId="0"/>
    <xf numFmtId="9" fontId="29" fillId="0" borderId="0" applyFont="0" applyFill="0" applyBorder="0" applyAlignment="0" applyProtection="0"/>
    <xf numFmtId="0" fontId="39" fillId="0" borderId="0"/>
    <xf numFmtId="43" fontId="19" fillId="0" borderId="0" applyFont="0" applyFill="0" applyBorder="0" applyAlignment="0" applyProtection="0"/>
    <xf numFmtId="0" fontId="19" fillId="0" borderId="0"/>
    <xf numFmtId="0" fontId="19" fillId="0" borderId="0"/>
    <xf numFmtId="0" fontId="22" fillId="0" borderId="0"/>
    <xf numFmtId="0" fontId="114" fillId="0" borderId="0"/>
    <xf numFmtId="0" fontId="19" fillId="0" borderId="0"/>
    <xf numFmtId="0" fontId="19" fillId="0" borderId="0"/>
    <xf numFmtId="0" fontId="3" fillId="0" borderId="0"/>
    <xf numFmtId="0" fontId="2" fillId="0" borderId="0"/>
    <xf numFmtId="43" fontId="29" fillId="0" borderId="0" applyFont="0" applyFill="0" applyBorder="0" applyAlignment="0" applyProtection="0"/>
    <xf numFmtId="0" fontId="22" fillId="0" borderId="0">
      <alignment wrapText="1"/>
    </xf>
    <xf numFmtId="0" fontId="22" fillId="0" borderId="0"/>
    <xf numFmtId="0" fontId="1" fillId="0" borderId="0"/>
    <xf numFmtId="0" fontId="19" fillId="0" borderId="0"/>
    <xf numFmtId="9" fontId="29" fillId="0" borderId="0" applyFont="0" applyFill="0" applyBorder="0" applyAlignment="0" applyProtection="0"/>
    <xf numFmtId="43" fontId="19" fillId="0" borderId="0" applyFont="0" applyFill="0" applyBorder="0" applyAlignment="0" applyProtection="0"/>
  </cellStyleXfs>
  <cellXfs count="1893">
    <xf numFmtId="0" fontId="0" fillId="0" borderId="0" xfId="0"/>
    <xf numFmtId="0" fontId="7" fillId="0" borderId="0" xfId="0" applyFont="1" applyAlignment="1">
      <alignment horizontal="right"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vertical="center" wrapText="1"/>
    </xf>
    <xf numFmtId="0" fontId="10" fillId="0" borderId="1" xfId="0" applyFont="1" applyBorder="1" applyAlignment="1">
      <alignment horizontal="center" vertical="center" wrapText="1"/>
    </xf>
    <xf numFmtId="0" fontId="11" fillId="0" borderId="0" xfId="0" applyFont="1"/>
    <xf numFmtId="0" fontId="6" fillId="2" borderId="1" xfId="0" applyFont="1" applyFill="1" applyBorder="1" applyAlignment="1">
      <alignment vertical="center" wrapText="1"/>
    </xf>
    <xf numFmtId="0" fontId="0" fillId="0" borderId="0" xfId="0" applyAlignment="1">
      <alignment vertical="center"/>
    </xf>
    <xf numFmtId="0" fontId="17" fillId="0" borderId="0" xfId="0" applyFont="1" applyAlignment="1">
      <alignment vertical="center"/>
    </xf>
    <xf numFmtId="166" fontId="30" fillId="0" borderId="0" xfId="3" applyNumberFormat="1" applyFont="1" applyFill="1"/>
    <xf numFmtId="0" fontId="40" fillId="0" borderId="0" xfId="41" applyFont="1" applyFill="1" applyAlignment="1">
      <alignment horizontal="center" vertical="center"/>
    </xf>
    <xf numFmtId="0" fontId="41" fillId="0" borderId="0" xfId="41" applyFont="1" applyFill="1" applyAlignment="1">
      <alignment horizontal="center" vertical="center"/>
    </xf>
    <xf numFmtId="0" fontId="40" fillId="0" borderId="0" xfId="41" applyFont="1" applyFill="1" applyAlignment="1">
      <alignment horizontal="left" vertical="center" wrapText="1"/>
    </xf>
    <xf numFmtId="0" fontId="40" fillId="0" borderId="17" xfId="41" applyFont="1" applyFill="1" applyBorder="1" applyAlignment="1">
      <alignment horizontal="center" vertical="center"/>
    </xf>
    <xf numFmtId="0" fontId="41" fillId="0" borderId="17" xfId="41" applyFont="1" applyFill="1" applyBorder="1" applyAlignment="1">
      <alignment horizontal="center" vertical="center"/>
    </xf>
    <xf numFmtId="0" fontId="42" fillId="0" borderId="17" xfId="41" applyFont="1" applyFill="1" applyBorder="1" applyAlignment="1">
      <alignment horizontal="center" vertical="center"/>
    </xf>
    <xf numFmtId="171" fontId="42" fillId="0" borderId="17" xfId="3" applyNumberFormat="1" applyFont="1" applyFill="1" applyBorder="1" applyAlignment="1">
      <alignment horizontal="center" vertical="center"/>
    </xf>
    <xf numFmtId="172" fontId="44" fillId="0" borderId="17" xfId="42" applyNumberFormat="1" applyFont="1" applyFill="1" applyBorder="1" applyAlignment="1">
      <alignment wrapText="1"/>
    </xf>
    <xf numFmtId="1" fontId="42" fillId="0" borderId="17" xfId="3" applyNumberFormat="1" applyFont="1" applyFill="1" applyBorder="1" applyAlignment="1">
      <alignment horizontal="center"/>
    </xf>
    <xf numFmtId="0" fontId="42" fillId="0" borderId="0" xfId="41" applyFont="1" applyFill="1" applyAlignment="1">
      <alignment horizontal="center" vertical="center"/>
    </xf>
    <xf numFmtId="0" fontId="42" fillId="0" borderId="4" xfId="41" applyFont="1" applyFill="1" applyBorder="1" applyAlignment="1">
      <alignment horizontal="center" vertical="center"/>
    </xf>
    <xf numFmtId="0" fontId="45" fillId="0" borderId="4" xfId="41" applyFont="1" applyFill="1" applyBorder="1" applyAlignment="1">
      <alignment horizontal="center" vertical="center"/>
    </xf>
    <xf numFmtId="171" fontId="45" fillId="0" borderId="4" xfId="41" applyNumberFormat="1" applyFont="1" applyFill="1" applyBorder="1" applyAlignment="1">
      <alignment horizontal="center" vertical="center"/>
    </xf>
    <xf numFmtId="172" fontId="46" fillId="0" borderId="4" xfId="42" applyNumberFormat="1" applyFont="1" applyFill="1" applyBorder="1" applyAlignment="1">
      <alignment wrapText="1"/>
    </xf>
    <xf numFmtId="1" fontId="45" fillId="0" borderId="4" xfId="3" applyNumberFormat="1" applyFont="1" applyFill="1" applyBorder="1" applyAlignment="1">
      <alignment horizontal="center"/>
    </xf>
    <xf numFmtId="171" fontId="45" fillId="0" borderId="0" xfId="3" applyNumberFormat="1" applyFont="1" applyFill="1" applyAlignment="1">
      <alignment horizontal="center" vertical="center"/>
    </xf>
    <xf numFmtId="171" fontId="45" fillId="0" borderId="20" xfId="3" applyNumberFormat="1" applyFont="1" applyFill="1" applyBorder="1" applyAlignment="1">
      <alignment horizontal="center" vertical="center"/>
    </xf>
    <xf numFmtId="171" fontId="42" fillId="0" borderId="20" xfId="3" applyNumberFormat="1" applyFont="1" applyFill="1" applyBorder="1" applyAlignment="1">
      <alignment horizontal="center" vertical="center"/>
    </xf>
    <xf numFmtId="171" fontId="42" fillId="0" borderId="4" xfId="3" applyNumberFormat="1" applyFont="1" applyFill="1" applyBorder="1" applyAlignment="1">
      <alignment horizontal="center" vertical="center"/>
    </xf>
    <xf numFmtId="171" fontId="42" fillId="0" borderId="20" xfId="3" applyNumberFormat="1" applyFont="1" applyFill="1" applyBorder="1" applyAlignment="1">
      <alignment horizontal="left" vertical="center" wrapText="1"/>
    </xf>
    <xf numFmtId="1" fontId="45" fillId="0" borderId="20" xfId="3" applyNumberFormat="1" applyFont="1" applyFill="1" applyBorder="1" applyAlignment="1">
      <alignment horizontal="center" vertical="center"/>
    </xf>
    <xf numFmtId="171" fontId="42" fillId="0" borderId="0" xfId="3" applyNumberFormat="1" applyFont="1" applyFill="1" applyAlignment="1">
      <alignment horizontal="center" vertical="center"/>
    </xf>
    <xf numFmtId="171" fontId="42" fillId="0" borderId="4" xfId="3" applyNumberFormat="1" applyFont="1" applyFill="1" applyBorder="1" applyAlignment="1">
      <alignment horizontal="left" vertical="center" wrapText="1"/>
    </xf>
    <xf numFmtId="1" fontId="42" fillId="0" borderId="4" xfId="3" applyNumberFormat="1" applyFont="1" applyFill="1" applyBorder="1" applyAlignment="1">
      <alignment horizontal="center" vertical="center"/>
    </xf>
    <xf numFmtId="171" fontId="45" fillId="0" borderId="4" xfId="3" applyNumberFormat="1" applyFont="1" applyFill="1" applyBorder="1" applyAlignment="1">
      <alignment horizontal="center" vertical="center"/>
    </xf>
    <xf numFmtId="171" fontId="45" fillId="0" borderId="4" xfId="3" applyNumberFormat="1" applyFont="1" applyFill="1" applyBorder="1" applyAlignment="1">
      <alignment horizontal="left" vertical="center" wrapText="1"/>
    </xf>
    <xf numFmtId="1" fontId="45" fillId="0" borderId="4" xfId="3" applyNumberFormat="1" applyFont="1" applyFill="1" applyBorder="1" applyAlignment="1">
      <alignment horizontal="center" vertical="center"/>
    </xf>
    <xf numFmtId="166" fontId="47" fillId="0" borderId="20" xfId="3" applyNumberFormat="1" applyFont="1" applyFill="1" applyBorder="1" applyAlignment="1">
      <alignment horizontal="center" vertical="center"/>
    </xf>
    <xf numFmtId="166" fontId="47" fillId="0" borderId="4" xfId="3" applyNumberFormat="1" applyFont="1" applyFill="1" applyBorder="1" applyAlignment="1">
      <alignment horizontal="center" vertical="center"/>
    </xf>
    <xf numFmtId="43" fontId="47" fillId="0" borderId="4" xfId="3" applyNumberFormat="1" applyFont="1" applyFill="1" applyBorder="1" applyAlignment="1">
      <alignment horizontal="center" vertical="center"/>
    </xf>
    <xf numFmtId="43" fontId="47" fillId="0" borderId="4" xfId="3" applyFont="1" applyFill="1" applyBorder="1" applyAlignment="1">
      <alignment horizontal="center" vertical="center"/>
    </xf>
    <xf numFmtId="171" fontId="47" fillId="0" borderId="20" xfId="3" applyNumberFormat="1" applyFont="1" applyFill="1" applyBorder="1" applyAlignment="1">
      <alignment horizontal="center" vertical="center"/>
    </xf>
    <xf numFmtId="171" fontId="47" fillId="0" borderId="4" xfId="3" applyNumberFormat="1" applyFont="1" applyFill="1" applyBorder="1" applyAlignment="1">
      <alignment horizontal="center" vertical="center"/>
    </xf>
    <xf numFmtId="43" fontId="47" fillId="0" borderId="20" xfId="3" applyNumberFormat="1" applyFont="1" applyFill="1" applyBorder="1" applyAlignment="1">
      <alignment horizontal="center" vertical="center"/>
    </xf>
    <xf numFmtId="43" fontId="47" fillId="0" borderId="20" xfId="3" applyFont="1" applyFill="1" applyBorder="1" applyAlignment="1">
      <alignment horizontal="center" vertical="center"/>
    </xf>
    <xf numFmtId="43" fontId="42" fillId="0" borderId="20" xfId="3" applyNumberFormat="1" applyFont="1" applyFill="1" applyBorder="1" applyAlignment="1">
      <alignment horizontal="center" vertical="center"/>
    </xf>
    <xf numFmtId="171" fontId="45" fillId="0" borderId="11" xfId="3" applyNumberFormat="1" applyFont="1" applyFill="1" applyBorder="1" applyAlignment="1">
      <alignment horizontal="left" vertical="center" wrapText="1"/>
    </xf>
    <xf numFmtId="1" fontId="45" fillId="0" borderId="11" xfId="3" applyNumberFormat="1" applyFont="1" applyFill="1" applyBorder="1" applyAlignment="1">
      <alignment horizontal="center" vertical="center"/>
    </xf>
    <xf numFmtId="171" fontId="44" fillId="0" borderId="4" xfId="3" applyNumberFormat="1" applyFont="1" applyFill="1" applyBorder="1" applyAlignment="1">
      <alignment horizontal="center" vertical="center"/>
    </xf>
    <xf numFmtId="171" fontId="48" fillId="0" borderId="4" xfId="3" applyNumberFormat="1" applyFont="1" applyFill="1" applyBorder="1" applyAlignment="1">
      <alignment horizontal="left" vertical="center" wrapText="1"/>
    </xf>
    <xf numFmtId="171" fontId="49" fillId="0" borderId="4" xfId="3" applyNumberFormat="1" applyFont="1" applyFill="1" applyBorder="1" applyAlignment="1">
      <alignment horizontal="left" vertical="center" wrapText="1"/>
    </xf>
    <xf numFmtId="171" fontId="47" fillId="0" borderId="4" xfId="3" applyNumberFormat="1" applyFont="1" applyFill="1" applyBorder="1" applyAlignment="1">
      <alignment horizontal="left" vertical="center" wrapText="1"/>
    </xf>
    <xf numFmtId="171" fontId="50" fillId="0" borderId="4" xfId="3" applyNumberFormat="1" applyFont="1" applyFill="1" applyBorder="1" applyAlignment="1">
      <alignment horizontal="left" vertical="center" wrapText="1"/>
    </xf>
    <xf numFmtId="171" fontId="51" fillId="0" borderId="0" xfId="3" applyNumberFormat="1" applyFont="1" applyFill="1" applyAlignment="1">
      <alignment horizontal="center" vertical="center"/>
    </xf>
    <xf numFmtId="171" fontId="51" fillId="0" borderId="16" xfId="3" applyNumberFormat="1" applyFont="1" applyFill="1" applyBorder="1" applyAlignment="1">
      <alignment horizontal="center" vertical="center"/>
    </xf>
    <xf numFmtId="171" fontId="51" fillId="0" borderId="16" xfId="3" applyNumberFormat="1" applyFont="1" applyFill="1" applyBorder="1" applyAlignment="1">
      <alignment horizontal="center" vertical="center" wrapText="1"/>
    </xf>
    <xf numFmtId="0" fontId="52" fillId="0" borderId="0" xfId="41" applyFont="1" applyFill="1" applyAlignment="1">
      <alignment horizontal="center" vertical="center"/>
    </xf>
    <xf numFmtId="0" fontId="53" fillId="0" borderId="1" xfId="41" applyFont="1" applyFill="1" applyBorder="1" applyAlignment="1">
      <alignment horizontal="center" vertical="center"/>
    </xf>
    <xf numFmtId="0" fontId="56" fillId="0" borderId="3" xfId="41" applyFont="1" applyFill="1" applyBorder="1" applyAlignment="1">
      <alignment vertical="center"/>
    </xf>
    <xf numFmtId="172" fontId="56" fillId="0" borderId="3" xfId="41" applyNumberFormat="1" applyFont="1" applyFill="1" applyBorder="1" applyAlignment="1">
      <alignment vertical="center"/>
    </xf>
    <xf numFmtId="171" fontId="56" fillId="0" borderId="3" xfId="41" applyNumberFormat="1" applyFont="1" applyFill="1" applyBorder="1" applyAlignment="1">
      <alignment vertical="center"/>
    </xf>
    <xf numFmtId="173" fontId="21" fillId="0" borderId="0" xfId="41" applyNumberFormat="1" applyFont="1" applyFill="1" applyAlignment="1">
      <alignment horizontal="center" vertical="center"/>
    </xf>
    <xf numFmtId="0" fontId="20" fillId="0" borderId="0" xfId="41" applyFont="1" applyFill="1" applyAlignment="1">
      <alignment horizontal="center" vertical="center"/>
    </xf>
    <xf numFmtId="0" fontId="21" fillId="0" borderId="0" xfId="41" applyFont="1" applyFill="1" applyAlignment="1">
      <alignment horizontal="center" vertical="center"/>
    </xf>
    <xf numFmtId="0" fontId="20" fillId="0" borderId="0" xfId="41" applyFont="1" applyFill="1" applyAlignment="1">
      <alignment horizontal="left" vertical="center" wrapText="1"/>
    </xf>
    <xf numFmtId="0" fontId="45" fillId="0" borderId="0" xfId="41" applyNumberFormat="1" applyFont="1" applyFill="1" applyAlignment="1">
      <alignment horizontal="center" vertical="center"/>
    </xf>
    <xf numFmtId="0" fontId="42" fillId="0" borderId="0" xfId="41" applyNumberFormat="1" applyFont="1" applyFill="1" applyAlignment="1">
      <alignment horizontal="center" vertical="center"/>
    </xf>
    <xf numFmtId="0" fontId="18" fillId="0" borderId="0" xfId="54" applyFont="1" applyAlignment="1">
      <alignment horizontal="center"/>
    </xf>
    <xf numFmtId="0" fontId="62" fillId="0" borderId="0" xfId="54"/>
    <xf numFmtId="3" fontId="62" fillId="4" borderId="0" xfId="54" applyNumberFormat="1" applyFill="1"/>
    <xf numFmtId="0" fontId="62" fillId="4" borderId="0" xfId="54" applyFill="1"/>
    <xf numFmtId="0" fontId="62" fillId="0" borderId="0" xfId="54" applyAlignment="1">
      <alignment horizontal="center"/>
    </xf>
    <xf numFmtId="0" fontId="64" fillId="0" borderId="0" xfId="54" applyFont="1"/>
    <xf numFmtId="3" fontId="63" fillId="4" borderId="1" xfId="54" applyNumberFormat="1" applyFont="1" applyFill="1" applyBorder="1" applyAlignment="1">
      <alignment horizontal="center" vertical="center" wrapText="1"/>
    </xf>
    <xf numFmtId="0" fontId="63" fillId="4" borderId="1" xfId="54" applyFont="1" applyFill="1" applyBorder="1" applyAlignment="1">
      <alignment horizontal="center" vertical="center" wrapText="1"/>
    </xf>
    <xf numFmtId="0" fontId="63" fillId="0" borderId="1" xfId="54" applyFont="1" applyBorder="1" applyAlignment="1">
      <alignment horizontal="center" vertical="center" wrapText="1"/>
    </xf>
    <xf numFmtId="0" fontId="63" fillId="0" borderId="4" xfId="54" applyFont="1" applyBorder="1" applyAlignment="1">
      <alignment horizontal="center" vertical="center" wrapText="1"/>
    </xf>
    <xf numFmtId="0" fontId="63" fillId="0" borderId="4" xfId="54" applyFont="1" applyBorder="1" applyAlignment="1">
      <alignment vertical="center" wrapText="1"/>
    </xf>
    <xf numFmtId="3" fontId="10" fillId="4" borderId="4" xfId="54" applyNumberFormat="1" applyFont="1" applyFill="1" applyBorder="1" applyAlignment="1">
      <alignment horizontal="center" vertical="center" wrapText="1"/>
    </xf>
    <xf numFmtId="0" fontId="10" fillId="4" borderId="4" xfId="54" applyFont="1" applyFill="1" applyBorder="1" applyAlignment="1">
      <alignment horizontal="center" vertical="center" wrapText="1"/>
    </xf>
    <xf numFmtId="0" fontId="10" fillId="0" borderId="4" xfId="54" applyFont="1" applyBorder="1" applyAlignment="1">
      <alignment horizontal="center" vertical="center" wrapText="1"/>
    </xf>
    <xf numFmtId="0" fontId="65" fillId="0" borderId="4" xfId="54" applyFont="1" applyBorder="1" applyAlignment="1">
      <alignment horizontal="center" vertical="center" wrapText="1"/>
    </xf>
    <xf numFmtId="0" fontId="65" fillId="0" borderId="4" xfId="54" applyFont="1" applyBorder="1" applyAlignment="1">
      <alignment vertical="center" wrapText="1"/>
    </xf>
    <xf numFmtId="0" fontId="66" fillId="0" borderId="4" xfId="54" applyFont="1" applyBorder="1" applyAlignment="1">
      <alignment vertical="center" wrapText="1"/>
    </xf>
    <xf numFmtId="0" fontId="60" fillId="0" borderId="0" xfId="54" applyFont="1"/>
    <xf numFmtId="0" fontId="63" fillId="4" borderId="4" xfId="54" applyFont="1" applyFill="1" applyBorder="1" applyAlignment="1">
      <alignment horizontal="center" vertical="center" wrapText="1"/>
    </xf>
    <xf numFmtId="3" fontId="38" fillId="4" borderId="4" xfId="54" applyNumberFormat="1" applyFont="1" applyFill="1" applyBorder="1" applyAlignment="1">
      <alignment horizontal="right" vertical="center" wrapText="1"/>
    </xf>
    <xf numFmtId="0" fontId="65" fillId="4" borderId="4" xfId="54" applyFont="1" applyFill="1" applyBorder="1" applyAlignment="1">
      <alignment horizontal="center" vertical="center" wrapText="1"/>
    </xf>
    <xf numFmtId="0" fontId="64" fillId="4" borderId="0" xfId="54" applyFont="1" applyFill="1"/>
    <xf numFmtId="0" fontId="10" fillId="4" borderId="4" xfId="54" applyFont="1" applyFill="1" applyBorder="1" applyAlignment="1">
      <alignment horizontal="right" vertical="center" wrapText="1"/>
    </xf>
    <xf numFmtId="0" fontId="38" fillId="4" borderId="4" xfId="54" applyFont="1" applyFill="1" applyBorder="1" applyAlignment="1">
      <alignment horizontal="right" vertical="center" wrapText="1"/>
    </xf>
    <xf numFmtId="0" fontId="70" fillId="4" borderId="0" xfId="54" applyFont="1" applyFill="1"/>
    <xf numFmtId="0" fontId="71" fillId="4" borderId="4" xfId="54" applyFont="1" applyFill="1" applyBorder="1" applyAlignment="1">
      <alignment horizontal="right" vertical="center"/>
    </xf>
    <xf numFmtId="0" fontId="7" fillId="4" borderId="4" xfId="54" applyFont="1" applyFill="1" applyBorder="1" applyAlignment="1">
      <alignment vertical="center" wrapText="1"/>
    </xf>
    <xf numFmtId="3" fontId="37" fillId="4" borderId="4" xfId="54" applyNumberFormat="1" applyFont="1" applyFill="1" applyBorder="1" applyAlignment="1">
      <alignment horizontal="right" vertical="center" wrapText="1"/>
    </xf>
    <xf numFmtId="3" fontId="10" fillId="4" borderId="4" xfId="54" applyNumberFormat="1" applyFont="1" applyFill="1" applyBorder="1" applyAlignment="1">
      <alignment horizontal="right" vertical="center" wrapText="1"/>
    </xf>
    <xf numFmtId="0" fontId="37" fillId="4" borderId="4" xfId="54" applyFont="1" applyFill="1" applyBorder="1" applyAlignment="1">
      <alignment horizontal="right" vertical="center" wrapText="1"/>
    </xf>
    <xf numFmtId="0" fontId="73" fillId="4" borderId="0" xfId="54" applyFont="1" applyFill="1"/>
    <xf numFmtId="3" fontId="71" fillId="4" borderId="4" xfId="54" applyNumberFormat="1" applyFont="1" applyFill="1" applyBorder="1" applyAlignment="1">
      <alignment horizontal="right" vertical="center"/>
    </xf>
    <xf numFmtId="0" fontId="73" fillId="4" borderId="4" xfId="54" applyFont="1" applyFill="1" applyBorder="1" applyAlignment="1">
      <alignment horizontal="center"/>
    </xf>
    <xf numFmtId="3" fontId="13" fillId="4" borderId="4" xfId="54" applyNumberFormat="1" applyFont="1" applyFill="1" applyBorder="1" applyAlignment="1">
      <alignment horizontal="left" vertical="center" wrapText="1"/>
    </xf>
    <xf numFmtId="0" fontId="74" fillId="4" borderId="4" xfId="54" applyFont="1" applyFill="1" applyBorder="1" applyAlignment="1">
      <alignment horizontal="right" vertical="center"/>
    </xf>
    <xf numFmtId="0" fontId="49" fillId="4" borderId="0" xfId="54" applyFont="1" applyFill="1"/>
    <xf numFmtId="0" fontId="47" fillId="4" borderId="4" xfId="54" applyFont="1" applyFill="1" applyBorder="1" applyAlignment="1">
      <alignment horizontal="center"/>
    </xf>
    <xf numFmtId="0" fontId="47" fillId="4" borderId="0" xfId="54" applyFont="1" applyFill="1"/>
    <xf numFmtId="3" fontId="10" fillId="4" borderId="4" xfId="55" applyNumberFormat="1" applyFont="1" applyFill="1" applyBorder="1" applyAlignment="1">
      <alignment horizontal="right" vertical="center" wrapText="1"/>
    </xf>
    <xf numFmtId="174" fontId="10" fillId="4" borderId="4" xfId="54" applyNumberFormat="1" applyFont="1" applyFill="1" applyBorder="1" applyAlignment="1">
      <alignment horizontal="right" vertical="center" wrapText="1"/>
    </xf>
    <xf numFmtId="166" fontId="10" fillId="4" borderId="4" xfId="54" applyNumberFormat="1" applyFont="1" applyFill="1" applyBorder="1" applyAlignment="1">
      <alignment horizontal="right" vertical="center" wrapText="1"/>
    </xf>
    <xf numFmtId="166" fontId="10" fillId="4" borderId="4" xfId="56" applyNumberFormat="1" applyFont="1" applyFill="1" applyBorder="1" applyAlignment="1">
      <alignment horizontal="right" vertical="center" wrapText="1"/>
    </xf>
    <xf numFmtId="3" fontId="10" fillId="4" borderId="17" xfId="54" applyNumberFormat="1" applyFont="1" applyFill="1" applyBorder="1" applyAlignment="1">
      <alignment horizontal="right" vertical="center" wrapText="1"/>
    </xf>
    <xf numFmtId="0" fontId="77" fillId="0" borderId="1" xfId="54" applyFont="1" applyBorder="1" applyAlignment="1">
      <alignment horizontal="center" vertical="center" wrapText="1"/>
    </xf>
    <xf numFmtId="3" fontId="77" fillId="4" borderId="1" xfId="54" applyNumberFormat="1" applyFont="1" applyFill="1" applyBorder="1" applyAlignment="1">
      <alignment horizontal="center" vertical="center" wrapText="1"/>
    </xf>
    <xf numFmtId="0" fontId="77" fillId="4" borderId="1" xfId="54" applyFont="1" applyFill="1" applyBorder="1" applyAlignment="1">
      <alignment horizontal="center" vertical="center" wrapText="1"/>
    </xf>
    <xf numFmtId="0" fontId="72" fillId="4" borderId="4" xfId="54" applyFont="1" applyFill="1" applyBorder="1" applyAlignment="1">
      <alignment horizontal="center" vertical="center"/>
    </xf>
    <xf numFmtId="0" fontId="79" fillId="4" borderId="4" xfId="54" applyFont="1" applyFill="1" applyBorder="1" applyAlignment="1">
      <alignment horizontal="right" vertical="center"/>
    </xf>
    <xf numFmtId="3" fontId="80" fillId="4" borderId="4" xfId="54" applyNumberFormat="1" applyFont="1" applyFill="1" applyBorder="1" applyAlignment="1">
      <alignment horizontal="right" vertical="center" wrapText="1"/>
    </xf>
    <xf numFmtId="0" fontId="80" fillId="4" borderId="4" xfId="54" applyFont="1" applyFill="1" applyBorder="1" applyAlignment="1">
      <alignment horizontal="right" vertical="center" wrapText="1"/>
    </xf>
    <xf numFmtId="0" fontId="67" fillId="0" borderId="20" xfId="54" applyFont="1" applyBorder="1" applyAlignment="1">
      <alignment horizontal="center" vertical="center" wrapText="1"/>
    </xf>
    <xf numFmtId="0" fontId="67" fillId="0" borderId="20" xfId="54" applyFont="1" applyBorder="1" applyAlignment="1">
      <alignment vertical="center" wrapText="1"/>
    </xf>
    <xf numFmtId="3" fontId="68" fillId="4" borderId="20" xfId="54" applyNumberFormat="1" applyFont="1" applyFill="1" applyBorder="1" applyAlignment="1">
      <alignment horizontal="center" vertical="center" wrapText="1"/>
    </xf>
    <xf numFmtId="0" fontId="68" fillId="4" borderId="20" xfId="54" applyFont="1" applyFill="1" applyBorder="1" applyAlignment="1">
      <alignment horizontal="center" vertical="center" wrapText="1"/>
    </xf>
    <xf numFmtId="0" fontId="68" fillId="0" borderId="20" xfId="54" applyFont="1" applyBorder="1" applyAlignment="1">
      <alignment horizontal="center" vertical="center" wrapText="1"/>
    </xf>
    <xf numFmtId="0" fontId="63" fillId="4" borderId="16" xfId="54" applyFont="1" applyFill="1" applyBorder="1" applyAlignment="1">
      <alignment horizontal="center" vertical="center" wrapText="1"/>
    </xf>
    <xf numFmtId="0" fontId="69" fillId="4" borderId="16" xfId="41" applyNumberFormat="1" applyFont="1" applyFill="1" applyBorder="1" applyAlignment="1">
      <alignment vertical="center"/>
    </xf>
    <xf numFmtId="3" fontId="38" fillId="4" borderId="16" xfId="54" applyNumberFormat="1" applyFont="1" applyFill="1" applyBorder="1" applyAlignment="1">
      <alignment horizontal="right" vertical="center" wrapText="1"/>
    </xf>
    <xf numFmtId="0" fontId="38" fillId="4" borderId="16" xfId="54" applyFont="1" applyFill="1" applyBorder="1" applyAlignment="1">
      <alignment horizontal="right" vertical="center" wrapText="1"/>
    </xf>
    <xf numFmtId="0" fontId="78" fillId="4" borderId="1" xfId="54" applyFont="1" applyFill="1" applyBorder="1" applyAlignment="1">
      <alignment horizontal="center" vertical="center" wrapText="1"/>
    </xf>
    <xf numFmtId="3" fontId="38" fillId="4" borderId="1" xfId="54" applyNumberFormat="1" applyFont="1" applyFill="1" applyBorder="1" applyAlignment="1">
      <alignment horizontal="right" vertical="center" wrapText="1"/>
    </xf>
    <xf numFmtId="3" fontId="38" fillId="3" borderId="1" xfId="54" applyNumberFormat="1" applyFont="1" applyFill="1" applyBorder="1" applyAlignment="1">
      <alignment horizontal="right" vertical="center" wrapText="1"/>
    </xf>
    <xf numFmtId="0" fontId="10" fillId="4" borderId="1" xfId="54" applyFont="1" applyFill="1" applyBorder="1" applyAlignment="1">
      <alignment horizontal="right" vertical="center" wrapText="1"/>
    </xf>
    <xf numFmtId="2" fontId="81" fillId="4" borderId="4" xfId="54" applyNumberFormat="1" applyFont="1" applyFill="1" applyBorder="1" applyAlignment="1">
      <alignment horizontal="left" vertical="center" wrapText="1"/>
    </xf>
    <xf numFmtId="3" fontId="69" fillId="4" borderId="4" xfId="54" applyNumberFormat="1" applyFont="1" applyFill="1" applyBorder="1" applyAlignment="1">
      <alignment horizontal="left" vertical="center" wrapText="1"/>
    </xf>
    <xf numFmtId="3" fontId="82" fillId="4" borderId="4" xfId="54" applyNumberFormat="1" applyFont="1" applyFill="1" applyBorder="1" applyAlignment="1">
      <alignment horizontal="left" vertical="center" wrapText="1"/>
    </xf>
    <xf numFmtId="0" fontId="83" fillId="4" borderId="4" xfId="54" applyFont="1" applyFill="1" applyBorder="1" applyAlignment="1">
      <alignment horizontal="center" vertical="center"/>
    </xf>
    <xf numFmtId="0" fontId="81" fillId="4" borderId="4" xfId="54" applyFont="1" applyFill="1" applyBorder="1" applyAlignment="1">
      <alignment horizontal="center" vertical="center"/>
    </xf>
    <xf numFmtId="0" fontId="82" fillId="4" borderId="4" xfId="54" applyFont="1" applyFill="1" applyBorder="1" applyAlignment="1">
      <alignment horizontal="right" vertical="center"/>
    </xf>
    <xf numFmtId="3" fontId="82" fillId="4" borderId="4" xfId="54" applyNumberFormat="1" applyFont="1" applyFill="1" applyBorder="1" applyAlignment="1">
      <alignment horizontal="right" vertical="center" wrapText="1"/>
    </xf>
    <xf numFmtId="3" fontId="82" fillId="4" borderId="4" xfId="54" applyNumberFormat="1" applyFont="1" applyFill="1" applyBorder="1" applyAlignment="1">
      <alignment horizontal="right" vertical="center"/>
    </xf>
    <xf numFmtId="0" fontId="82" fillId="4" borderId="4" xfId="54" applyFont="1" applyFill="1" applyBorder="1" applyAlignment="1">
      <alignment horizontal="right" vertical="center" wrapText="1"/>
    </xf>
    <xf numFmtId="0" fontId="82" fillId="4" borderId="4" xfId="54" applyFont="1" applyFill="1" applyBorder="1" applyAlignment="1">
      <alignment horizontal="center" vertical="center"/>
    </xf>
    <xf numFmtId="0" fontId="82" fillId="4" borderId="4" xfId="54" applyFont="1" applyFill="1" applyBorder="1" applyAlignment="1">
      <alignment vertical="center"/>
    </xf>
    <xf numFmtId="0" fontId="84" fillId="4" borderId="4" xfId="54" applyFont="1" applyFill="1" applyBorder="1" applyAlignment="1">
      <alignment horizontal="right" vertical="center"/>
    </xf>
    <xf numFmtId="3" fontId="84" fillId="4" borderId="4" xfId="54" applyNumberFormat="1" applyFont="1" applyFill="1" applyBorder="1" applyAlignment="1">
      <alignment horizontal="right" vertical="center" wrapText="1"/>
    </xf>
    <xf numFmtId="0" fontId="84" fillId="4" borderId="4" xfId="54" applyFont="1" applyFill="1" applyBorder="1" applyAlignment="1">
      <alignment horizontal="right" vertical="center" wrapText="1"/>
    </xf>
    <xf numFmtId="0" fontId="85" fillId="4" borderId="4" xfId="54" applyFont="1" applyFill="1" applyBorder="1" applyAlignment="1">
      <alignment vertical="center" wrapText="1"/>
    </xf>
    <xf numFmtId="0" fontId="86" fillId="4" borderId="4" xfId="54" applyFont="1" applyFill="1" applyBorder="1" applyAlignment="1">
      <alignment horizontal="right" vertical="center"/>
    </xf>
    <xf numFmtId="3" fontId="85" fillId="4" borderId="4" xfId="54" applyNumberFormat="1" applyFont="1" applyFill="1" applyBorder="1" applyAlignment="1">
      <alignment horizontal="right" vertical="center" wrapText="1"/>
    </xf>
    <xf numFmtId="0" fontId="85" fillId="4" borderId="4" xfId="54" applyFont="1" applyFill="1" applyBorder="1" applyAlignment="1">
      <alignment horizontal="right" vertical="center" wrapText="1"/>
    </xf>
    <xf numFmtId="0" fontId="84" fillId="4" borderId="4" xfId="54" applyFont="1" applyFill="1" applyBorder="1" applyAlignment="1">
      <alignment vertical="center"/>
    </xf>
    <xf numFmtId="0" fontId="87" fillId="4" borderId="4" xfId="54" applyFont="1" applyFill="1" applyBorder="1" applyAlignment="1">
      <alignment horizontal="center" vertical="center" wrapText="1"/>
    </xf>
    <xf numFmtId="0" fontId="87" fillId="4" borderId="4" xfId="54" applyFont="1" applyFill="1" applyBorder="1" applyAlignment="1">
      <alignment vertical="center" wrapText="1"/>
    </xf>
    <xf numFmtId="3" fontId="87" fillId="4" borderId="4" xfId="54" applyNumberFormat="1" applyFont="1" applyFill="1" applyBorder="1" applyAlignment="1">
      <alignment horizontal="right" vertical="center" wrapText="1"/>
    </xf>
    <xf numFmtId="0" fontId="87" fillId="4" borderId="4" xfId="54" applyFont="1" applyFill="1" applyBorder="1" applyAlignment="1">
      <alignment horizontal="right" vertical="center" wrapText="1"/>
    </xf>
    <xf numFmtId="166" fontId="62" fillId="4" borderId="0" xfId="40" applyNumberFormat="1" applyFont="1" applyFill="1"/>
    <xf numFmtId="166" fontId="63" fillId="4" borderId="1" xfId="40" applyNumberFormat="1" applyFont="1" applyFill="1" applyBorder="1" applyAlignment="1">
      <alignment horizontal="center" vertical="center" wrapText="1"/>
    </xf>
    <xf numFmtId="166" fontId="77" fillId="4" borderId="1" xfId="40" applyNumberFormat="1" applyFont="1" applyFill="1" applyBorder="1" applyAlignment="1">
      <alignment horizontal="center" vertical="center" wrapText="1"/>
    </xf>
    <xf numFmtId="166" fontId="10" fillId="4" borderId="4" xfId="40" applyNumberFormat="1" applyFont="1" applyFill="1" applyBorder="1" applyAlignment="1">
      <alignment horizontal="center" vertical="center" wrapText="1"/>
    </xf>
    <xf numFmtId="166" fontId="68" fillId="4" borderId="20" xfId="40" applyNumberFormat="1" applyFont="1" applyFill="1" applyBorder="1" applyAlignment="1">
      <alignment horizontal="center" vertical="center" wrapText="1"/>
    </xf>
    <xf numFmtId="166" fontId="38" fillId="3" borderId="1" xfId="40" applyNumberFormat="1" applyFont="1" applyFill="1" applyBorder="1" applyAlignment="1">
      <alignment horizontal="right" vertical="center" wrapText="1"/>
    </xf>
    <xf numFmtId="166" fontId="38" fillId="4" borderId="1" xfId="40" applyNumberFormat="1" applyFont="1" applyFill="1" applyBorder="1" applyAlignment="1">
      <alignment horizontal="right" vertical="center" wrapText="1"/>
    </xf>
    <xf numFmtId="166" fontId="38" fillId="4" borderId="16" xfId="40" applyNumberFormat="1" applyFont="1" applyFill="1" applyBorder="1" applyAlignment="1">
      <alignment horizontal="right" vertical="center" wrapText="1"/>
    </xf>
    <xf numFmtId="166" fontId="80" fillId="4" borderId="4" xfId="40" applyNumberFormat="1" applyFont="1" applyFill="1" applyBorder="1" applyAlignment="1">
      <alignment horizontal="right" vertical="center" wrapText="1"/>
    </xf>
    <xf numFmtId="166" fontId="37" fillId="4" borderId="4" xfId="40" applyNumberFormat="1" applyFont="1" applyFill="1" applyBorder="1" applyAlignment="1">
      <alignment horizontal="right" vertical="center" wrapText="1"/>
    </xf>
    <xf numFmtId="166" fontId="71" fillId="4" borderId="4" xfId="40" applyNumberFormat="1" applyFont="1" applyFill="1" applyBorder="1" applyAlignment="1">
      <alignment horizontal="right" vertical="center"/>
    </xf>
    <xf numFmtId="166" fontId="79" fillId="4" borderId="4" xfId="40" applyNumberFormat="1" applyFont="1" applyFill="1" applyBorder="1" applyAlignment="1">
      <alignment horizontal="right" vertical="center"/>
    </xf>
    <xf numFmtId="166" fontId="82" fillId="4" borderId="4" xfId="40" applyNumberFormat="1" applyFont="1" applyFill="1" applyBorder="1" applyAlignment="1">
      <alignment horizontal="right" vertical="center"/>
    </xf>
    <xf numFmtId="166" fontId="84" fillId="4" borderId="4" xfId="40" applyNumberFormat="1" applyFont="1" applyFill="1" applyBorder="1" applyAlignment="1">
      <alignment horizontal="right" vertical="center" wrapText="1"/>
    </xf>
    <xf numFmtId="166" fontId="85" fillId="4" borderId="4" xfId="40" applyNumberFormat="1" applyFont="1" applyFill="1" applyBorder="1" applyAlignment="1">
      <alignment horizontal="right" vertical="center" wrapText="1"/>
    </xf>
    <xf numFmtId="166" fontId="87" fillId="4" borderId="4" xfId="40" applyNumberFormat="1" applyFont="1" applyFill="1" applyBorder="1" applyAlignment="1">
      <alignment horizontal="right" vertical="center" wrapText="1"/>
    </xf>
    <xf numFmtId="166" fontId="10" fillId="4" borderId="4" xfId="40" applyNumberFormat="1" applyFont="1" applyFill="1" applyBorder="1" applyAlignment="1">
      <alignment horizontal="right" vertical="center" wrapText="1"/>
    </xf>
    <xf numFmtId="3" fontId="87" fillId="3" borderId="4" xfId="54" applyNumberFormat="1" applyFont="1" applyFill="1" applyBorder="1" applyAlignment="1">
      <alignment horizontal="right" vertical="center" wrapText="1"/>
    </xf>
    <xf numFmtId="166" fontId="87" fillId="3" borderId="4" xfId="40" applyNumberFormat="1" applyFont="1" applyFill="1" applyBorder="1" applyAlignment="1">
      <alignment horizontal="right" vertical="center" wrapText="1"/>
    </xf>
    <xf numFmtId="174" fontId="87" fillId="4" borderId="4" xfId="54" applyNumberFormat="1" applyFont="1" applyFill="1" applyBorder="1" applyAlignment="1">
      <alignment horizontal="right" vertical="center" wrapText="1"/>
    </xf>
    <xf numFmtId="0" fontId="88" fillId="4" borderId="4" xfId="54" applyFont="1" applyFill="1" applyBorder="1" applyAlignment="1">
      <alignment horizontal="left" vertical="center" wrapText="1"/>
    </xf>
    <xf numFmtId="166" fontId="87" fillId="4" borderId="4" xfId="54" applyNumberFormat="1" applyFont="1" applyFill="1" applyBorder="1" applyAlignment="1">
      <alignment horizontal="right" vertical="center" wrapText="1"/>
    </xf>
    <xf numFmtId="166" fontId="87" fillId="4" borderId="4" xfId="56" applyNumberFormat="1" applyFont="1" applyFill="1" applyBorder="1" applyAlignment="1">
      <alignment horizontal="right" vertical="center" wrapText="1"/>
    </xf>
    <xf numFmtId="0" fontId="82" fillId="4" borderId="4" xfId="54" applyFont="1" applyFill="1" applyBorder="1" applyAlignment="1">
      <alignment horizontal="left" vertical="center" wrapText="1"/>
    </xf>
    <xf numFmtId="0" fontId="84" fillId="4" borderId="4" xfId="54" applyFont="1" applyFill="1" applyBorder="1" applyAlignment="1">
      <alignment horizontal="left" vertical="center" wrapText="1"/>
    </xf>
    <xf numFmtId="0" fontId="63" fillId="4" borderId="17" xfId="54" applyFont="1" applyFill="1" applyBorder="1" applyAlignment="1">
      <alignment horizontal="center" vertical="center" wrapText="1"/>
    </xf>
    <xf numFmtId="0" fontId="84" fillId="4" borderId="17" xfId="54" applyFont="1" applyFill="1" applyBorder="1" applyAlignment="1">
      <alignment horizontal="left" vertical="center" wrapText="1"/>
    </xf>
    <xf numFmtId="166" fontId="10" fillId="4" borderId="17" xfId="54" applyNumberFormat="1" applyFont="1" applyFill="1" applyBorder="1" applyAlignment="1">
      <alignment horizontal="right" vertical="center" wrapText="1"/>
    </xf>
    <xf numFmtId="166" fontId="10" fillId="4" borderId="17" xfId="56" applyNumberFormat="1" applyFont="1" applyFill="1" applyBorder="1" applyAlignment="1">
      <alignment horizontal="right" vertical="center" wrapText="1"/>
    </xf>
    <xf numFmtId="0" fontId="10" fillId="4" borderId="17" xfId="54" applyFont="1" applyFill="1" applyBorder="1" applyAlignment="1">
      <alignment horizontal="right" vertical="center" wrapText="1"/>
    </xf>
    <xf numFmtId="166" fontId="10" fillId="4" borderId="17" xfId="40" applyNumberFormat="1" applyFont="1" applyFill="1" applyBorder="1" applyAlignment="1">
      <alignment horizontal="right" vertical="center" wrapText="1"/>
    </xf>
    <xf numFmtId="0" fontId="38" fillId="4" borderId="17" xfId="54" applyFont="1" applyFill="1" applyBorder="1" applyAlignment="1">
      <alignment horizontal="right" vertical="center" wrapText="1"/>
    </xf>
    <xf numFmtId="0" fontId="82" fillId="4" borderId="16" xfId="54" applyFont="1" applyFill="1" applyBorder="1" applyAlignment="1">
      <alignment horizontal="left" vertical="center" wrapText="1"/>
    </xf>
    <xf numFmtId="0" fontId="11" fillId="4" borderId="0" xfId="0" applyFont="1" applyFill="1"/>
    <xf numFmtId="0" fontId="89" fillId="4" borderId="0" xfId="0" applyFont="1" applyFill="1"/>
    <xf numFmtId="0" fontId="75" fillId="4" borderId="0" xfId="0" applyFont="1" applyFill="1"/>
    <xf numFmtId="0" fontId="90" fillId="4" borderId="0" xfId="0" applyFont="1" applyFill="1"/>
    <xf numFmtId="0" fontId="19" fillId="0" borderId="0" xfId="2" applyFont="1"/>
    <xf numFmtId="1" fontId="19" fillId="0" borderId="0" xfId="2" applyNumberFormat="1" applyFont="1" applyAlignment="1">
      <alignment horizontal="right"/>
    </xf>
    <xf numFmtId="0" fontId="27" fillId="0" borderId="0" xfId="2" applyFont="1"/>
    <xf numFmtId="0" fontId="19" fillId="4" borderId="0" xfId="2" applyFont="1" applyFill="1"/>
    <xf numFmtId="0" fontId="91" fillId="4" borderId="0" xfId="2" applyFont="1" applyFill="1"/>
    <xf numFmtId="0" fontId="19" fillId="4" borderId="3" xfId="2" applyFont="1" applyFill="1" applyBorder="1"/>
    <xf numFmtId="0" fontId="19" fillId="3" borderId="0" xfId="2" applyFont="1" applyFill="1"/>
    <xf numFmtId="0" fontId="27" fillId="4" borderId="0" xfId="2" applyFont="1" applyFill="1"/>
    <xf numFmtId="3" fontId="19" fillId="4" borderId="0" xfId="2" applyNumberFormat="1" applyFont="1" applyFill="1" applyAlignment="1">
      <alignment horizontal="right"/>
    </xf>
    <xf numFmtId="3" fontId="19" fillId="0" borderId="0" xfId="2" applyNumberFormat="1" applyFont="1" applyAlignment="1">
      <alignment horizontal="right"/>
    </xf>
    <xf numFmtId="0" fontId="19" fillId="0" borderId="0" xfId="2" applyFont="1" applyAlignment="1">
      <alignment vertical="center"/>
    </xf>
    <xf numFmtId="167" fontId="19" fillId="0" borderId="0" xfId="40" applyNumberFormat="1" applyFont="1"/>
    <xf numFmtId="0" fontId="14" fillId="0" borderId="4" xfId="2" applyFont="1" applyFill="1" applyBorder="1" applyAlignment="1">
      <alignment horizontal="justify" vertical="center" wrapText="1"/>
    </xf>
    <xf numFmtId="3" fontId="14" fillId="0" borderId="4" xfId="2" applyNumberFormat="1" applyFont="1" applyFill="1" applyBorder="1" applyAlignment="1">
      <alignment horizontal="right" vertical="center"/>
    </xf>
    <xf numFmtId="0" fontId="96" fillId="0" borderId="0" xfId="54" applyFont="1"/>
    <xf numFmtId="0" fontId="97" fillId="4" borderId="0" xfId="54" applyFont="1" applyFill="1"/>
    <xf numFmtId="0" fontId="97" fillId="0" borderId="0" xfId="54" applyFont="1"/>
    <xf numFmtId="0" fontId="96" fillId="4" borderId="0" xfId="54" applyFont="1" applyFill="1"/>
    <xf numFmtId="0" fontId="62" fillId="0" borderId="0" xfId="54" applyFill="1"/>
    <xf numFmtId="0" fontId="62" fillId="0" borderId="0" xfId="54" applyAlignment="1">
      <alignment horizontal="left"/>
    </xf>
    <xf numFmtId="166" fontId="62" fillId="0" borderId="0" xfId="54" applyNumberFormat="1"/>
    <xf numFmtId="166" fontId="99" fillId="0" borderId="0" xfId="54" applyNumberFormat="1" applyFont="1"/>
    <xf numFmtId="166" fontId="96" fillId="0" borderId="0" xfId="54" applyNumberFormat="1" applyFont="1"/>
    <xf numFmtId="166" fontId="0" fillId="0" borderId="0" xfId="3" applyNumberFormat="1" applyFont="1" applyFill="1"/>
    <xf numFmtId="1" fontId="62" fillId="0" borderId="0" xfId="54" applyNumberFormat="1" applyFill="1"/>
    <xf numFmtId="0" fontId="29" fillId="0" borderId="0" xfId="61"/>
    <xf numFmtId="0" fontId="29" fillId="0" borderId="0" xfId="61" applyFill="1"/>
    <xf numFmtId="0" fontId="29" fillId="0" borderId="0" xfId="61" applyFont="1"/>
    <xf numFmtId="0" fontId="101" fillId="3" borderId="0" xfId="61" applyFont="1" applyFill="1"/>
    <xf numFmtId="0" fontId="29" fillId="3" borderId="0" xfId="61" applyFont="1" applyFill="1"/>
    <xf numFmtId="0" fontId="29" fillId="0" borderId="0" xfId="61" applyAlignment="1">
      <alignment horizontal="left"/>
    </xf>
    <xf numFmtId="0" fontId="7" fillId="0" borderId="0"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166" fontId="101" fillId="0" borderId="0" xfId="61" applyNumberFormat="1" applyFont="1" applyFill="1"/>
    <xf numFmtId="0" fontId="101" fillId="0" borderId="0" xfId="61" applyFont="1" applyFill="1"/>
    <xf numFmtId="0" fontId="29" fillId="0" borderId="0" xfId="61" applyFont="1" applyFill="1"/>
    <xf numFmtId="0" fontId="6" fillId="0" borderId="0" xfId="61" applyFont="1" applyBorder="1" applyAlignment="1">
      <alignment horizontal="center" vertical="center" wrapText="1"/>
    </xf>
    <xf numFmtId="0" fontId="6" fillId="0" borderId="0" xfId="61" applyFont="1" applyBorder="1" applyAlignment="1">
      <alignment vertical="center" wrapText="1"/>
    </xf>
    <xf numFmtId="166" fontId="8" fillId="0" borderId="0" xfId="62" applyNumberFormat="1" applyFont="1" applyBorder="1" applyAlignment="1">
      <alignment horizontal="center" vertical="center" wrapText="1"/>
    </xf>
    <xf numFmtId="10" fontId="8" fillId="0" borderId="0" xfId="63" applyNumberFormat="1" applyFont="1" applyBorder="1" applyAlignment="1">
      <alignment horizontal="center" vertical="center" wrapText="1"/>
    </xf>
    <xf numFmtId="3" fontId="42" fillId="0" borderId="4" xfId="0" applyNumberFormat="1" applyFont="1" applyFill="1" applyBorder="1" applyAlignment="1">
      <alignment horizontal="justify" vertical="center"/>
    </xf>
    <xf numFmtId="0" fontId="103" fillId="0" borderId="4" xfId="0" applyFont="1" applyFill="1" applyBorder="1" applyAlignment="1">
      <alignment horizontal="justify" vertical="center" wrapText="1"/>
    </xf>
    <xf numFmtId="0" fontId="42" fillId="4" borderId="0" xfId="41" applyNumberFormat="1" applyFont="1" applyFill="1" applyAlignment="1">
      <alignment horizontal="center" vertical="center"/>
    </xf>
    <xf numFmtId="0" fontId="20" fillId="4" borderId="0" xfId="41" applyFont="1" applyFill="1" applyAlignment="1">
      <alignment horizontal="left" vertical="center" wrapText="1"/>
    </xf>
    <xf numFmtId="0" fontId="20" fillId="4" borderId="0" xfId="41" applyFont="1" applyFill="1" applyAlignment="1">
      <alignment horizontal="center" vertical="center"/>
    </xf>
    <xf numFmtId="0" fontId="21" fillId="4" borderId="0" xfId="41" applyFont="1" applyFill="1" applyAlignment="1">
      <alignment horizontal="center" vertical="center"/>
    </xf>
    <xf numFmtId="0" fontId="40" fillId="4" borderId="0" xfId="41" applyFont="1" applyFill="1" applyAlignment="1">
      <alignment horizontal="center" vertical="center"/>
    </xf>
    <xf numFmtId="0" fontId="40" fillId="4" borderId="0" xfId="41" applyFont="1" applyFill="1" applyAlignment="1">
      <alignment horizontal="center" vertical="center" wrapText="1"/>
    </xf>
    <xf numFmtId="0" fontId="45" fillId="4" borderId="0" xfId="41" applyNumberFormat="1" applyFont="1" applyFill="1" applyAlignment="1">
      <alignment horizontal="center" vertical="center"/>
    </xf>
    <xf numFmtId="173" fontId="21" fillId="4" borderId="0" xfId="41" applyNumberFormat="1" applyFont="1" applyFill="1" applyAlignment="1">
      <alignment horizontal="center" vertical="center"/>
    </xf>
    <xf numFmtId="0" fontId="21" fillId="4" borderId="0" xfId="41" applyNumberFormat="1" applyFont="1" applyFill="1" applyAlignment="1">
      <alignment horizontal="center" vertical="center"/>
    </xf>
    <xf numFmtId="0" fontId="56" fillId="4" borderId="3" xfId="41" applyFont="1" applyFill="1" applyBorder="1" applyAlignment="1">
      <alignment vertical="center"/>
    </xf>
    <xf numFmtId="172" fontId="56" fillId="4" borderId="3" xfId="41" applyNumberFormat="1" applyFont="1" applyFill="1" applyBorder="1" applyAlignment="1">
      <alignment vertical="center"/>
    </xf>
    <xf numFmtId="0" fontId="56" fillId="4" borderId="0" xfId="41" applyFont="1" applyFill="1" applyBorder="1" applyAlignment="1">
      <alignment vertical="center"/>
    </xf>
    <xf numFmtId="3" fontId="40" fillId="4" borderId="0" xfId="41" applyNumberFormat="1" applyFont="1" applyFill="1" applyAlignment="1">
      <alignment horizontal="center" vertical="center"/>
    </xf>
    <xf numFmtId="173" fontId="40" fillId="4" borderId="0" xfId="41" applyNumberFormat="1" applyFont="1" applyFill="1" applyAlignment="1">
      <alignment horizontal="center" vertical="center"/>
    </xf>
    <xf numFmtId="171" fontId="40" fillId="4" borderId="0" xfId="41" applyNumberFormat="1" applyFont="1" applyFill="1" applyAlignment="1">
      <alignment horizontal="center" vertical="center"/>
    </xf>
    <xf numFmtId="0" fontId="52" fillId="4" borderId="0" xfId="41" applyFont="1" applyFill="1" applyAlignment="1">
      <alignment horizontal="center" vertical="center"/>
    </xf>
    <xf numFmtId="0" fontId="54" fillId="4" borderId="12" xfId="41" applyFont="1" applyFill="1" applyBorder="1" applyAlignment="1">
      <alignment horizontal="center" vertical="center"/>
    </xf>
    <xf numFmtId="0" fontId="54" fillId="4" borderId="7" xfId="41" applyFont="1" applyFill="1" applyBorder="1" applyAlignment="1">
      <alignment horizontal="center" vertical="center"/>
    </xf>
    <xf numFmtId="0" fontId="53" fillId="3" borderId="1" xfId="41" applyFont="1" applyFill="1" applyBorder="1" applyAlignment="1">
      <alignment horizontal="center" vertical="center"/>
    </xf>
    <xf numFmtId="0" fontId="53" fillId="4" borderId="14" xfId="41" applyFont="1" applyFill="1" applyBorder="1" applyAlignment="1">
      <alignment horizontal="center" vertical="center"/>
    </xf>
    <xf numFmtId="0" fontId="53" fillId="4" borderId="14" xfId="41" applyFont="1" applyFill="1" applyBorder="1" applyAlignment="1">
      <alignment horizontal="center" vertical="center" wrapText="1"/>
    </xf>
    <xf numFmtId="0" fontId="52" fillId="4" borderId="14" xfId="41" applyFont="1" applyFill="1" applyBorder="1" applyAlignment="1">
      <alignment horizontal="center" vertical="center"/>
    </xf>
    <xf numFmtId="0" fontId="45" fillId="4" borderId="15" xfId="41" applyFont="1" applyFill="1" applyBorder="1" applyAlignment="1">
      <alignment horizontal="center" vertical="center"/>
    </xf>
    <xf numFmtId="0" fontId="45" fillId="4" borderId="15" xfId="41" applyFont="1" applyFill="1" applyBorder="1" applyAlignment="1">
      <alignment horizontal="center" vertical="center" wrapText="1"/>
    </xf>
    <xf numFmtId="176" fontId="45" fillId="4" borderId="15" xfId="41" applyNumberFormat="1" applyFont="1" applyFill="1" applyBorder="1" applyAlignment="1">
      <alignment horizontal="center" vertical="center"/>
    </xf>
    <xf numFmtId="171" fontId="45" fillId="4" borderId="15" xfId="41" applyNumberFormat="1" applyFont="1" applyFill="1" applyBorder="1" applyAlignment="1">
      <alignment horizontal="center" vertical="center"/>
    </xf>
    <xf numFmtId="171" fontId="45" fillId="4" borderId="11" xfId="41" applyNumberFormat="1" applyFont="1" applyFill="1" applyBorder="1" applyAlignment="1">
      <alignment horizontal="center" vertical="center"/>
    </xf>
    <xf numFmtId="0" fontId="45" fillId="4" borderId="0" xfId="41" applyFont="1" applyFill="1" applyAlignment="1">
      <alignment horizontal="center" vertical="center"/>
    </xf>
    <xf numFmtId="0" fontId="45" fillId="4" borderId="4" xfId="41" applyFont="1" applyFill="1" applyBorder="1" applyAlignment="1">
      <alignment horizontal="center" vertical="center"/>
    </xf>
    <xf numFmtId="0" fontId="45" fillId="4" borderId="4" xfId="41" applyFont="1" applyFill="1" applyBorder="1" applyAlignment="1">
      <alignment horizontal="center" vertical="center" wrapText="1"/>
    </xf>
    <xf numFmtId="171" fontId="45" fillId="4" borderId="4" xfId="41" applyNumberFormat="1" applyFont="1" applyFill="1" applyBorder="1" applyAlignment="1">
      <alignment horizontal="center" vertical="center"/>
    </xf>
    <xf numFmtId="0" fontId="42" fillId="4" borderId="4" xfId="41" applyFont="1" applyFill="1" applyBorder="1" applyAlignment="1">
      <alignment horizontal="center" vertical="center"/>
    </xf>
    <xf numFmtId="171" fontId="42" fillId="4" borderId="4" xfId="3" applyNumberFormat="1" applyFont="1" applyFill="1" applyBorder="1" applyAlignment="1">
      <alignment horizontal="left" vertical="center" wrapText="1"/>
    </xf>
    <xf numFmtId="171" fontId="42" fillId="4" borderId="4" xfId="3" applyNumberFormat="1" applyFont="1" applyFill="1" applyBorder="1" applyAlignment="1">
      <alignment horizontal="center" vertical="center" wrapText="1"/>
    </xf>
    <xf numFmtId="171" fontId="42" fillId="4" borderId="4" xfId="3" applyNumberFormat="1" applyFont="1" applyFill="1" applyBorder="1" applyAlignment="1">
      <alignment horizontal="center" vertical="center"/>
    </xf>
    <xf numFmtId="171" fontId="42" fillId="4" borderId="4" xfId="41" applyNumberFormat="1" applyFont="1" applyFill="1" applyBorder="1" applyAlignment="1">
      <alignment horizontal="center" vertical="center"/>
    </xf>
    <xf numFmtId="171" fontId="42" fillId="4" borderId="11" xfId="41" applyNumberFormat="1" applyFont="1" applyFill="1" applyBorder="1" applyAlignment="1">
      <alignment horizontal="center" vertical="center"/>
    </xf>
    <xf numFmtId="0" fontId="42" fillId="4" borderId="0" xfId="41" applyFont="1" applyFill="1" applyAlignment="1">
      <alignment horizontal="center" vertical="center"/>
    </xf>
    <xf numFmtId="1" fontId="42" fillId="4" borderId="4" xfId="3" applyNumberFormat="1" applyFont="1" applyFill="1" applyBorder="1" applyAlignment="1">
      <alignment horizontal="center" vertical="center"/>
    </xf>
    <xf numFmtId="171" fontId="42" fillId="4" borderId="4" xfId="3" applyNumberFormat="1" applyFont="1" applyFill="1" applyBorder="1" applyAlignment="1">
      <alignment vertical="center"/>
    </xf>
    <xf numFmtId="171" fontId="42" fillId="4" borderId="0" xfId="3" applyNumberFormat="1" applyFont="1" applyFill="1" applyAlignment="1">
      <alignment horizontal="center" vertical="center"/>
    </xf>
    <xf numFmtId="1" fontId="56" fillId="4" borderId="4" xfId="3" applyNumberFormat="1" applyFont="1" applyFill="1" applyBorder="1" applyAlignment="1">
      <alignment horizontal="center" vertical="center"/>
    </xf>
    <xf numFmtId="171" fontId="56" fillId="4" borderId="4" xfId="3" applyNumberFormat="1" applyFont="1" applyFill="1" applyBorder="1" applyAlignment="1">
      <alignment horizontal="left" vertical="center" wrapText="1"/>
    </xf>
    <xf numFmtId="176" fontId="103" fillId="4" borderId="15" xfId="41" applyNumberFormat="1" applyFont="1" applyFill="1" applyBorder="1" applyAlignment="1">
      <alignment horizontal="center" vertical="center"/>
    </xf>
    <xf numFmtId="171" fontId="56" fillId="4" borderId="4" xfId="3" applyNumberFormat="1" applyFont="1" applyFill="1" applyBorder="1" applyAlignment="1">
      <alignment horizontal="center" vertical="center" wrapText="1"/>
    </xf>
    <xf numFmtId="171" fontId="56" fillId="4" borderId="4" xfId="3" applyNumberFormat="1" applyFont="1" applyFill="1" applyBorder="1" applyAlignment="1">
      <alignment horizontal="center" vertical="center"/>
    </xf>
    <xf numFmtId="171" fontId="56" fillId="4" borderId="0" xfId="3" applyNumberFormat="1" applyFont="1" applyFill="1" applyAlignment="1">
      <alignment horizontal="center" vertical="center"/>
    </xf>
    <xf numFmtId="171" fontId="42" fillId="4" borderId="20" xfId="3" applyNumberFormat="1" applyFont="1" applyFill="1" applyBorder="1" applyAlignment="1">
      <alignment horizontal="center" vertical="center"/>
    </xf>
    <xf numFmtId="171" fontId="42" fillId="4" borderId="20" xfId="3" applyNumberFormat="1" applyFont="1" applyFill="1" applyBorder="1" applyAlignment="1">
      <alignment horizontal="center" vertical="center" wrapText="1"/>
    </xf>
    <xf numFmtId="171" fontId="31" fillId="4" borderId="4" xfId="3" applyNumberFormat="1" applyFont="1" applyFill="1" applyBorder="1" applyAlignment="1">
      <alignment horizontal="center" vertical="center"/>
    </xf>
    <xf numFmtId="1" fontId="42" fillId="4" borderId="17" xfId="3" applyNumberFormat="1" applyFont="1" applyFill="1" applyBorder="1" applyAlignment="1">
      <alignment horizontal="center" vertical="center"/>
    </xf>
    <xf numFmtId="171" fontId="42" fillId="4" borderId="17" xfId="3" applyNumberFormat="1" applyFont="1" applyFill="1" applyBorder="1" applyAlignment="1">
      <alignment horizontal="left" vertical="center" wrapText="1"/>
    </xf>
    <xf numFmtId="171" fontId="42" fillId="4" borderId="17" xfId="3" applyNumberFormat="1" applyFont="1" applyFill="1" applyBorder="1" applyAlignment="1">
      <alignment horizontal="center" vertical="center" wrapText="1"/>
    </xf>
    <xf numFmtId="171" fontId="42" fillId="4" borderId="17" xfId="3" applyNumberFormat="1" applyFont="1" applyFill="1" applyBorder="1" applyAlignment="1">
      <alignment horizontal="center" vertical="center"/>
    </xf>
    <xf numFmtId="0" fontId="42" fillId="4" borderId="0" xfId="41" applyFont="1" applyFill="1" applyAlignment="1">
      <alignment horizontal="left" vertical="center" wrapText="1"/>
    </xf>
    <xf numFmtId="0" fontId="42" fillId="4" borderId="0" xfId="41" applyFont="1" applyFill="1" applyAlignment="1">
      <alignment horizontal="center" vertical="center" wrapText="1"/>
    </xf>
    <xf numFmtId="0" fontId="40" fillId="4" borderId="0" xfId="41" applyFont="1" applyFill="1" applyAlignment="1">
      <alignment horizontal="left" vertical="center" wrapText="1"/>
    </xf>
    <xf numFmtId="0" fontId="41" fillId="4" borderId="0" xfId="41" applyFont="1" applyFill="1" applyAlignment="1">
      <alignment horizontal="center" vertical="center"/>
    </xf>
    <xf numFmtId="3" fontId="56" fillId="0" borderId="4" xfId="0" applyNumberFormat="1" applyFont="1" applyFill="1" applyBorder="1" applyAlignment="1">
      <alignment horizontal="justify" vertical="center" wrapText="1"/>
    </xf>
    <xf numFmtId="0" fontId="56" fillId="0" borderId="4" xfId="41" applyNumberFormat="1" applyFont="1" applyFill="1" applyBorder="1" applyAlignment="1">
      <alignment horizontal="justify" vertical="center" wrapText="1"/>
    </xf>
    <xf numFmtId="0" fontId="65" fillId="4" borderId="0" xfId="54" applyFont="1" applyFill="1" applyBorder="1" applyAlignment="1">
      <alignment horizontal="center" vertical="center" wrapText="1"/>
    </xf>
    <xf numFmtId="175" fontId="50" fillId="4" borderId="0" xfId="60" applyNumberFormat="1" applyFont="1" applyFill="1" applyBorder="1" applyAlignment="1">
      <alignment vertical="center"/>
    </xf>
    <xf numFmtId="166" fontId="65" fillId="4" borderId="0" xfId="3" applyNumberFormat="1" applyFont="1" applyFill="1" applyBorder="1" applyAlignment="1">
      <alignment horizontal="center" vertical="center" wrapText="1"/>
    </xf>
    <xf numFmtId="9" fontId="65" fillId="4" borderId="0" xfId="59" applyFont="1" applyFill="1" applyBorder="1" applyAlignment="1">
      <alignment horizontal="center" vertical="center" wrapText="1"/>
    </xf>
    <xf numFmtId="166" fontId="45" fillId="0" borderId="4" xfId="62" applyNumberFormat="1" applyFont="1" applyFill="1" applyBorder="1" applyAlignment="1">
      <alignment horizontal="center" vertical="center" wrapText="1"/>
    </xf>
    <xf numFmtId="166" fontId="14" fillId="0" borderId="4" xfId="62" applyNumberFormat="1" applyFont="1" applyFill="1" applyBorder="1" applyAlignment="1">
      <alignment horizontal="center" vertical="center" wrapText="1"/>
    </xf>
    <xf numFmtId="0" fontId="14" fillId="0" borderId="0" xfId="54" applyFont="1" applyFill="1"/>
    <xf numFmtId="166" fontId="103" fillId="0" borderId="1" xfId="40" applyNumberFormat="1" applyFont="1" applyFill="1" applyBorder="1" applyAlignment="1">
      <alignment horizontal="center" vertical="center" wrapText="1"/>
    </xf>
    <xf numFmtId="166" fontId="42" fillId="0" borderId="4" xfId="40" applyNumberFormat="1" applyFont="1" applyFill="1" applyBorder="1" applyAlignment="1">
      <alignment horizontal="center" vertical="center" wrapText="1"/>
    </xf>
    <xf numFmtId="167" fontId="42" fillId="0" borderId="16" xfId="40" applyNumberFormat="1" applyFont="1" applyFill="1" applyBorder="1" applyAlignment="1">
      <alignment horizontal="center" vertical="center"/>
    </xf>
    <xf numFmtId="167" fontId="42" fillId="0" borderId="4" xfId="40" applyNumberFormat="1" applyFont="1" applyFill="1" applyBorder="1" applyAlignment="1">
      <alignment horizontal="center" vertical="center"/>
    </xf>
    <xf numFmtId="167" fontId="42" fillId="0" borderId="20" xfId="40" applyNumberFormat="1" applyFont="1" applyFill="1" applyBorder="1" applyAlignment="1">
      <alignment horizontal="center" vertical="center"/>
    </xf>
    <xf numFmtId="167" fontId="103" fillId="0" borderId="1" xfId="40" applyNumberFormat="1" applyFont="1" applyFill="1" applyBorder="1" applyAlignment="1">
      <alignment horizontal="center" vertical="center"/>
    </xf>
    <xf numFmtId="167" fontId="103" fillId="0" borderId="4" xfId="40" applyNumberFormat="1" applyFont="1" applyFill="1" applyBorder="1" applyAlignment="1">
      <alignment horizontal="center" vertical="center"/>
    </xf>
    <xf numFmtId="167" fontId="42" fillId="0" borderId="17" xfId="40" applyNumberFormat="1" applyFont="1" applyFill="1" applyBorder="1" applyAlignment="1">
      <alignment horizontal="center" vertical="center"/>
    </xf>
    <xf numFmtId="167" fontId="42" fillId="0" borderId="14" xfId="40" applyNumberFormat="1" applyFont="1" applyFill="1" applyBorder="1" applyAlignment="1">
      <alignment horizontal="center" vertical="center"/>
    </xf>
    <xf numFmtId="167" fontId="42" fillId="0" borderId="1" xfId="40" applyNumberFormat="1" applyFont="1" applyFill="1" applyBorder="1" applyAlignment="1">
      <alignment horizontal="center" vertical="center"/>
    </xf>
    <xf numFmtId="0" fontId="6" fillId="0" borderId="1" xfId="0" applyFont="1" applyBorder="1" applyAlignment="1">
      <alignment horizontal="center" vertical="center" wrapText="1"/>
    </xf>
    <xf numFmtId="166" fontId="112" fillId="0" borderId="0" xfId="40" applyNumberFormat="1" applyFont="1" applyFill="1"/>
    <xf numFmtId="0" fontId="112" fillId="0" borderId="0" xfId="0" applyFont="1" applyFill="1"/>
    <xf numFmtId="0" fontId="112" fillId="0" borderId="0" xfId="0" applyFont="1" applyFill="1" applyAlignment="1">
      <alignment horizontal="justify"/>
    </xf>
    <xf numFmtId="0" fontId="13" fillId="0" borderId="0" xfId="0" applyFont="1" applyFill="1" applyAlignment="1">
      <alignment horizontal="right" vertical="center"/>
    </xf>
    <xf numFmtId="37" fontId="45" fillId="0" borderId="1" xfId="40" applyNumberFormat="1" applyFont="1" applyFill="1" applyBorder="1" applyAlignment="1">
      <alignment horizontal="center" vertical="center" wrapText="1"/>
    </xf>
    <xf numFmtId="166" fontId="45" fillId="0" borderId="5" xfId="40" applyNumberFormat="1" applyFont="1" applyFill="1" applyBorder="1" applyAlignment="1">
      <alignment horizontal="center" vertical="center" wrapText="1"/>
    </xf>
    <xf numFmtId="43" fontId="45" fillId="0" borderId="5" xfId="4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16" xfId="0" applyFont="1" applyFill="1" applyBorder="1" applyAlignment="1">
      <alignment horizontal="justify" vertical="center" wrapText="1"/>
    </xf>
    <xf numFmtId="166" fontId="45" fillId="0" borderId="16" xfId="40" applyNumberFormat="1" applyFont="1" applyFill="1" applyBorder="1" applyAlignment="1">
      <alignment horizontal="center" vertical="center" wrapText="1"/>
    </xf>
    <xf numFmtId="0" fontId="103" fillId="0" borderId="4" xfId="0" applyFont="1" applyFill="1" applyBorder="1" applyAlignment="1">
      <alignment horizontal="center" vertical="center" wrapText="1"/>
    </xf>
    <xf numFmtId="166" fontId="103" fillId="0" borderId="4" xfId="40" applyNumberFormat="1" applyFont="1" applyFill="1" applyBorder="1" applyAlignment="1">
      <alignment horizontal="center" vertical="center" wrapText="1"/>
    </xf>
    <xf numFmtId="166" fontId="45" fillId="0" borderId="4" xfId="40" applyNumberFormat="1" applyFont="1" applyFill="1" applyBorder="1" applyAlignment="1">
      <alignment horizontal="center" vertical="center" wrapText="1"/>
    </xf>
    <xf numFmtId="43" fontId="103" fillId="0" borderId="4" xfId="40" applyFont="1" applyFill="1" applyBorder="1" applyAlignment="1">
      <alignment horizontal="center" vertical="center" wrapText="1"/>
    </xf>
    <xf numFmtId="0" fontId="42" fillId="0" borderId="4" xfId="0" applyFont="1" applyFill="1" applyBorder="1" applyAlignment="1">
      <alignment horizontal="center" vertical="center" wrapText="1"/>
    </xf>
    <xf numFmtId="0" fontId="56" fillId="0" borderId="4" xfId="0" applyFont="1" applyFill="1" applyBorder="1" applyAlignment="1">
      <alignment horizontal="justify" vertical="center" wrapText="1"/>
    </xf>
    <xf numFmtId="9" fontId="42" fillId="0" borderId="4" xfId="65" applyFont="1" applyFill="1" applyBorder="1" applyAlignment="1">
      <alignment horizontal="center" vertical="center" wrapText="1"/>
    </xf>
    <xf numFmtId="166" fontId="56" fillId="0" borderId="4" xfId="40" applyNumberFormat="1" applyFont="1" applyFill="1" applyBorder="1" applyAlignment="1">
      <alignment horizontal="center" vertical="center" wrapText="1"/>
    </xf>
    <xf numFmtId="9" fontId="42" fillId="0" borderId="20" xfId="65" applyFont="1" applyFill="1" applyBorder="1" applyAlignment="1">
      <alignment horizontal="center" vertical="center" wrapText="1"/>
    </xf>
    <xf numFmtId="3" fontId="42" fillId="0" borderId="4" xfId="0" applyNumberFormat="1" applyFont="1" applyFill="1" applyBorder="1" applyAlignment="1">
      <alignment horizontal="justify" vertical="center" wrapText="1"/>
    </xf>
    <xf numFmtId="3" fontId="103" fillId="0" borderId="4" xfId="0" applyNumberFormat="1" applyFont="1" applyFill="1" applyBorder="1" applyAlignment="1">
      <alignment horizontal="justify" vertical="center"/>
    </xf>
    <xf numFmtId="9" fontId="103" fillId="0" borderId="4" xfId="65" applyFont="1" applyFill="1" applyBorder="1" applyAlignment="1">
      <alignment horizontal="center" vertical="center" wrapText="1"/>
    </xf>
    <xf numFmtId="3" fontId="103" fillId="0" borderId="4" xfId="0" applyNumberFormat="1" applyFont="1" applyFill="1" applyBorder="1" applyAlignment="1">
      <alignment horizontal="left" vertical="center" wrapText="1"/>
    </xf>
    <xf numFmtId="9" fontId="103" fillId="0" borderId="20" xfId="65" applyFont="1" applyFill="1" applyBorder="1" applyAlignment="1">
      <alignment horizontal="center" vertical="center" wrapText="1"/>
    </xf>
    <xf numFmtId="0" fontId="45" fillId="0" borderId="4" xfId="0" applyFont="1" applyFill="1" applyBorder="1" applyAlignment="1">
      <alignment horizontal="center" vertical="center" wrapText="1"/>
    </xf>
    <xf numFmtId="0" fontId="45" fillId="0" borderId="20" xfId="0" applyFont="1" applyFill="1" applyBorder="1" applyAlignment="1">
      <alignment horizontal="justify" vertical="center" wrapText="1"/>
    </xf>
    <xf numFmtId="43" fontId="45" fillId="0" borderId="11" xfId="40" applyFont="1" applyFill="1" applyBorder="1" applyAlignment="1">
      <alignment horizontal="center" vertical="center" wrapText="1"/>
    </xf>
    <xf numFmtId="43" fontId="42" fillId="0" borderId="11" xfId="40" applyFont="1" applyFill="1" applyBorder="1" applyAlignment="1">
      <alignment horizontal="center" vertical="center" wrapText="1"/>
    </xf>
    <xf numFmtId="166" fontId="42" fillId="0" borderId="4" xfId="40" applyNumberFormat="1" applyFont="1" applyFill="1" applyBorder="1" applyAlignment="1">
      <alignment horizontal="right" vertical="center" wrapText="1"/>
    </xf>
    <xf numFmtId="166" fontId="42" fillId="0" borderId="16" xfId="40" applyNumberFormat="1" applyFont="1" applyFill="1" applyBorder="1" applyAlignment="1">
      <alignment horizontal="center" vertical="center" wrapText="1"/>
    </xf>
    <xf numFmtId="43" fontId="45" fillId="0" borderId="4" xfId="40" applyFont="1" applyFill="1" applyBorder="1" applyAlignment="1">
      <alignment horizontal="center" vertical="center" wrapText="1"/>
    </xf>
    <xf numFmtId="0" fontId="45" fillId="0" borderId="4" xfId="0" applyFont="1" applyFill="1" applyBorder="1" applyAlignment="1">
      <alignment horizontal="justify" vertical="center" wrapText="1"/>
    </xf>
    <xf numFmtId="9" fontId="45" fillId="0" borderId="4" xfId="65" applyFont="1" applyFill="1" applyBorder="1" applyAlignment="1">
      <alignment horizontal="center" vertical="center" wrapText="1"/>
    </xf>
    <xf numFmtId="166" fontId="42" fillId="0" borderId="20" xfId="40" applyNumberFormat="1" applyFont="1" applyFill="1" applyBorder="1" applyAlignment="1">
      <alignment horizontal="center" vertical="center" wrapText="1"/>
    </xf>
    <xf numFmtId="9" fontId="45" fillId="0" borderId="20" xfId="65" applyFont="1" applyFill="1" applyBorder="1" applyAlignment="1">
      <alignment horizontal="center" vertical="center" wrapText="1"/>
    </xf>
    <xf numFmtId="0" fontId="45" fillId="0" borderId="1" xfId="0" applyFont="1" applyFill="1" applyBorder="1" applyAlignment="1">
      <alignment horizontal="justify" vertical="center" wrapText="1"/>
    </xf>
    <xf numFmtId="43" fontId="45" fillId="0" borderId="1" xfId="40" applyFont="1" applyFill="1" applyBorder="1" applyAlignment="1">
      <alignment horizontal="center" vertical="center" wrapText="1"/>
    </xf>
    <xf numFmtId="3" fontId="103" fillId="0" borderId="4" xfId="0" applyNumberFormat="1" applyFont="1" applyFill="1" applyBorder="1" applyAlignment="1">
      <alignment horizontal="justify" vertical="center" wrapText="1"/>
    </xf>
    <xf numFmtId="43" fontId="103" fillId="0" borderId="16" xfId="40" applyFont="1" applyFill="1" applyBorder="1" applyAlignment="1">
      <alignment horizontal="center" vertical="center" wrapText="1"/>
    </xf>
    <xf numFmtId="0" fontId="42" fillId="0" borderId="4" xfId="0" applyFont="1" applyFill="1" applyBorder="1" applyAlignment="1">
      <alignment horizontal="justify" vertical="center" wrapText="1"/>
    </xf>
    <xf numFmtId="0" fontId="56" fillId="0" borderId="4" xfId="0" applyFont="1" applyFill="1" applyBorder="1" applyAlignment="1">
      <alignment horizontal="center" vertical="center" wrapText="1"/>
    </xf>
    <xf numFmtId="9" fontId="56" fillId="0" borderId="4" xfId="65" applyFont="1" applyFill="1" applyBorder="1" applyAlignment="1">
      <alignment horizontal="center" vertical="center" wrapText="1"/>
    </xf>
    <xf numFmtId="43" fontId="56" fillId="0" borderId="4" xfId="40" applyFont="1" applyFill="1" applyBorder="1" applyAlignment="1">
      <alignment horizontal="center" vertical="center" wrapText="1"/>
    </xf>
    <xf numFmtId="9" fontId="45" fillId="0" borderId="1" xfId="65" applyFont="1" applyFill="1" applyBorder="1" applyAlignment="1">
      <alignment horizontal="center" vertical="center" wrapText="1"/>
    </xf>
    <xf numFmtId="166" fontId="6" fillId="0" borderId="1" xfId="40" applyNumberFormat="1" applyFont="1" applyBorder="1" applyAlignment="1">
      <alignment vertical="center" wrapText="1"/>
    </xf>
    <xf numFmtId="2" fontId="6" fillId="0" borderId="1" xfId="0" applyNumberFormat="1" applyFont="1" applyBorder="1" applyAlignment="1">
      <alignment vertical="center" wrapText="1"/>
    </xf>
    <xf numFmtId="166" fontId="8" fillId="0" borderId="1" xfId="40" applyNumberFormat="1" applyFont="1" applyBorder="1" applyAlignment="1">
      <alignment vertical="center" wrapText="1"/>
    </xf>
    <xf numFmtId="178" fontId="8" fillId="0" borderId="1" xfId="0" applyNumberFormat="1" applyFont="1" applyBorder="1" applyAlignment="1">
      <alignment vertical="center" wrapText="1"/>
    </xf>
    <xf numFmtId="3" fontId="12" fillId="0" borderId="1" xfId="2" applyNumberFormat="1" applyFont="1" applyFill="1" applyBorder="1" applyAlignment="1">
      <alignment horizontal="center" vertical="center"/>
    </xf>
    <xf numFmtId="172" fontId="12" fillId="0" borderId="1" xfId="2" applyNumberFormat="1" applyFont="1" applyFill="1" applyBorder="1" applyAlignment="1">
      <alignment horizontal="center" vertical="center"/>
    </xf>
    <xf numFmtId="3" fontId="12" fillId="0" borderId="16" xfId="2" applyNumberFormat="1" applyFont="1" applyFill="1" applyBorder="1" applyAlignment="1">
      <alignment horizontal="center"/>
    </xf>
    <xf numFmtId="3" fontId="12" fillId="0" borderId="16" xfId="2" applyNumberFormat="1" applyFont="1" applyFill="1" applyBorder="1" applyAlignment="1">
      <alignment horizontal="center" vertical="center"/>
    </xf>
    <xf numFmtId="172" fontId="12" fillId="0" borderId="16" xfId="2" applyNumberFormat="1" applyFont="1" applyFill="1" applyBorder="1" applyAlignment="1">
      <alignment horizontal="right"/>
    </xf>
    <xf numFmtId="177" fontId="12" fillId="0" borderId="0" xfId="2" applyNumberFormat="1" applyFont="1" applyFill="1" applyAlignment="1">
      <alignment horizontal="center"/>
    </xf>
    <xf numFmtId="177" fontId="12" fillId="0" borderId="5" xfId="2" applyNumberFormat="1" applyFont="1" applyFill="1" applyBorder="1" applyAlignment="1">
      <alignment horizontal="center" vertical="center"/>
    </xf>
    <xf numFmtId="3" fontId="12" fillId="0" borderId="4" xfId="2" applyNumberFormat="1" applyFont="1" applyFill="1" applyBorder="1" applyAlignment="1">
      <alignment horizontal="center" vertical="center"/>
    </xf>
    <xf numFmtId="3" fontId="12" fillId="0" borderId="4" xfId="2" applyNumberFormat="1" applyFont="1" applyFill="1" applyBorder="1" applyAlignment="1">
      <alignment vertical="center"/>
    </xf>
    <xf numFmtId="172" fontId="12" fillId="0" borderId="4" xfId="2" applyNumberFormat="1" applyFont="1" applyFill="1" applyBorder="1" applyAlignment="1">
      <alignment vertical="center"/>
    </xf>
    <xf numFmtId="3" fontId="12" fillId="0" borderId="0" xfId="2" applyNumberFormat="1" applyFont="1" applyFill="1" applyAlignment="1">
      <alignment vertical="center"/>
    </xf>
    <xf numFmtId="3" fontId="15" fillId="0" borderId="4" xfId="2" applyNumberFormat="1" applyFont="1" applyFill="1" applyBorder="1" applyAlignment="1">
      <alignment horizontal="center" vertical="center"/>
    </xf>
    <xf numFmtId="0" fontId="15" fillId="0" borderId="4" xfId="41" applyFont="1" applyFill="1" applyBorder="1" applyAlignment="1">
      <alignment vertical="center" wrapText="1"/>
    </xf>
    <xf numFmtId="172" fontId="15" fillId="0" borderId="4" xfId="2" applyNumberFormat="1" applyFont="1" applyFill="1" applyBorder="1" applyAlignment="1">
      <alignment horizontal="right" vertical="center"/>
    </xf>
    <xf numFmtId="3" fontId="14" fillId="0" borderId="0" xfId="2" applyNumberFormat="1" applyFont="1" applyFill="1" applyAlignment="1">
      <alignment vertical="center"/>
    </xf>
    <xf numFmtId="3" fontId="14" fillId="0" borderId="4" xfId="2" applyNumberFormat="1" applyFont="1" applyFill="1" applyBorder="1" applyAlignment="1">
      <alignment horizontal="center" vertical="center"/>
    </xf>
    <xf numFmtId="0" fontId="14" fillId="0" borderId="4" xfId="41" applyFont="1" applyFill="1" applyBorder="1" applyAlignment="1">
      <alignment vertical="center" wrapText="1"/>
    </xf>
    <xf numFmtId="172" fontId="14" fillId="0" borderId="4" xfId="2" applyNumberFormat="1" applyFont="1" applyFill="1" applyBorder="1" applyAlignment="1">
      <alignment vertical="center"/>
    </xf>
    <xf numFmtId="3" fontId="13" fillId="0" borderId="4" xfId="2" applyNumberFormat="1" applyFont="1" applyFill="1" applyBorder="1" applyAlignment="1">
      <alignment horizontal="center" vertical="center"/>
    </xf>
    <xf numFmtId="0" fontId="13" fillId="0" borderId="4" xfId="41" applyFont="1" applyFill="1" applyBorder="1" applyAlignment="1">
      <alignment vertical="center" wrapText="1"/>
    </xf>
    <xf numFmtId="172" fontId="13" fillId="0" borderId="4" xfId="2" applyNumberFormat="1" applyFont="1" applyFill="1" applyBorder="1" applyAlignment="1">
      <alignment vertical="center"/>
    </xf>
    <xf numFmtId="3" fontId="14" fillId="0" borderId="4" xfId="2" applyNumberFormat="1" applyFont="1" applyFill="1" applyBorder="1" applyAlignment="1">
      <alignment horizontal="center" vertical="center" wrapText="1"/>
    </xf>
    <xf numFmtId="172" fontId="14" fillId="0" borderId="21" xfId="2" applyNumberFormat="1" applyFont="1" applyFill="1" applyBorder="1" applyAlignment="1">
      <alignment vertical="center"/>
    </xf>
    <xf numFmtId="3" fontId="14" fillId="0" borderId="4" xfId="33" applyNumberFormat="1" applyFont="1" applyFill="1" applyBorder="1" applyAlignment="1">
      <alignment horizontal="left" vertical="center" wrapText="1"/>
    </xf>
    <xf numFmtId="3" fontId="14" fillId="0" borderId="4" xfId="33" applyNumberFormat="1" applyFont="1" applyFill="1" applyBorder="1" applyAlignment="1">
      <alignment vertical="center" wrapText="1"/>
    </xf>
    <xf numFmtId="3" fontId="15" fillId="0" borderId="4" xfId="2" applyNumberFormat="1" applyFont="1" applyFill="1" applyBorder="1" applyAlignment="1">
      <alignment vertical="center"/>
    </xf>
    <xf numFmtId="172" fontId="15" fillId="0" borderId="4" xfId="2" applyNumberFormat="1" applyFont="1" applyFill="1" applyBorder="1" applyAlignment="1">
      <alignment vertical="center"/>
    </xf>
    <xf numFmtId="3" fontId="14" fillId="0" borderId="4" xfId="2" applyNumberFormat="1" applyFont="1" applyFill="1" applyBorder="1" applyAlignment="1">
      <alignment vertical="center"/>
    </xf>
    <xf numFmtId="3" fontId="13" fillId="0" borderId="4" xfId="2" applyNumberFormat="1" applyFont="1" applyFill="1" applyBorder="1" applyAlignment="1">
      <alignment vertical="center"/>
    </xf>
    <xf numFmtId="3" fontId="13" fillId="0" borderId="4" xfId="0" applyNumberFormat="1" applyFont="1" applyFill="1" applyBorder="1" applyAlignment="1">
      <alignment vertical="center" wrapText="1"/>
    </xf>
    <xf numFmtId="0" fontId="14" fillId="0" borderId="4" xfId="0" applyFont="1" applyFill="1" applyBorder="1" applyAlignment="1">
      <alignment horizontal="left" vertical="center" wrapText="1"/>
    </xf>
    <xf numFmtId="3" fontId="14" fillId="0" borderId="4" xfId="0" applyNumberFormat="1" applyFont="1" applyFill="1" applyBorder="1" applyAlignment="1">
      <alignment vertical="center" wrapText="1"/>
    </xf>
    <xf numFmtId="0" fontId="14" fillId="0" borderId="4" xfId="0" applyFont="1" applyFill="1" applyBorder="1" applyAlignment="1">
      <alignment vertical="center" wrapText="1"/>
    </xf>
    <xf numFmtId="3" fontId="14" fillId="0" borderId="0" xfId="2" applyNumberFormat="1" applyFont="1" applyFill="1"/>
    <xf numFmtId="3" fontId="14" fillId="0" borderId="4" xfId="2" applyNumberFormat="1" applyFont="1" applyFill="1" applyBorder="1" applyAlignment="1">
      <alignment vertical="center" wrapText="1"/>
    </xf>
    <xf numFmtId="3" fontId="12" fillId="0" borderId="17" xfId="2" applyNumberFormat="1" applyFont="1" applyFill="1" applyBorder="1" applyAlignment="1">
      <alignment horizontal="center" vertical="center"/>
    </xf>
    <xf numFmtId="0" fontId="14" fillId="0" borderId="17" xfId="41" applyFont="1" applyFill="1" applyBorder="1" applyAlignment="1">
      <alignment vertical="center" wrapText="1"/>
    </xf>
    <xf numFmtId="172" fontId="14" fillId="0" borderId="17" xfId="2" applyNumberFormat="1" applyFont="1" applyFill="1" applyBorder="1" applyAlignment="1">
      <alignment vertical="center"/>
    </xf>
    <xf numFmtId="3" fontId="14" fillId="0" borderId="14" xfId="2" applyNumberFormat="1" applyFont="1" applyFill="1" applyBorder="1" applyAlignment="1">
      <alignment horizontal="center" vertical="center"/>
    </xf>
    <xf numFmtId="0" fontId="14" fillId="4" borderId="0" xfId="69" applyFont="1" applyFill="1"/>
    <xf numFmtId="3" fontId="13" fillId="4" borderId="0" xfId="69" applyNumberFormat="1" applyFont="1" applyFill="1" applyBorder="1" applyAlignment="1">
      <alignment horizontal="center"/>
    </xf>
    <xf numFmtId="3" fontId="13" fillId="4" borderId="0" xfId="69" applyNumberFormat="1" applyFont="1" applyFill="1" applyBorder="1" applyAlignment="1">
      <alignment horizontal="center" wrapText="1"/>
    </xf>
    <xf numFmtId="171" fontId="113" fillId="4" borderId="0" xfId="3" applyNumberFormat="1" applyFont="1" applyFill="1" applyBorder="1" applyAlignment="1">
      <alignment horizontal="center" wrapText="1"/>
    </xf>
    <xf numFmtId="0" fontId="12" fillId="4" borderId="0" xfId="69" applyFont="1" applyFill="1"/>
    <xf numFmtId="171" fontId="45" fillId="0" borderId="1" xfId="3" applyNumberFormat="1" applyFont="1" applyFill="1" applyBorder="1" applyAlignment="1">
      <alignment horizontal="center" vertical="center" wrapText="1"/>
    </xf>
    <xf numFmtId="0" fontId="45" fillId="4" borderId="0" xfId="69" applyFont="1" applyFill="1"/>
    <xf numFmtId="3" fontId="45" fillId="4" borderId="15" xfId="69" applyNumberFormat="1" applyFont="1" applyFill="1" applyBorder="1" applyAlignment="1">
      <alignment horizontal="center" vertical="center"/>
    </xf>
    <xf numFmtId="3" fontId="45" fillId="4" borderId="15" xfId="69" applyNumberFormat="1" applyFont="1" applyFill="1" applyBorder="1" applyAlignment="1">
      <alignment horizontal="center" vertical="center" wrapText="1"/>
    </xf>
    <xf numFmtId="166" fontId="45" fillId="4" borderId="4" xfId="3" applyNumberFormat="1" applyFont="1" applyFill="1" applyBorder="1" applyAlignment="1">
      <alignment horizontal="right" vertical="center" wrapText="1"/>
    </xf>
    <xf numFmtId="3" fontId="45" fillId="0" borderId="4" xfId="69" applyNumberFormat="1" applyFont="1" applyFill="1" applyBorder="1" applyAlignment="1">
      <alignment horizontal="center" vertical="center"/>
    </xf>
    <xf numFmtId="166" fontId="45" fillId="0" borderId="4" xfId="3" applyNumberFormat="1" applyFont="1" applyFill="1" applyBorder="1" applyAlignment="1">
      <alignment horizontal="right" vertical="center" wrapText="1"/>
    </xf>
    <xf numFmtId="166" fontId="12" fillId="4" borderId="0" xfId="69" applyNumberFormat="1" applyFont="1" applyFill="1"/>
    <xf numFmtId="3" fontId="45" fillId="4" borderId="4" xfId="69" applyNumberFormat="1" applyFont="1" applyFill="1" applyBorder="1" applyAlignment="1">
      <alignment horizontal="center" vertical="center"/>
    </xf>
    <xf numFmtId="3" fontId="38" fillId="4" borderId="4" xfId="37" applyNumberFormat="1" applyFont="1" applyFill="1" applyBorder="1" applyAlignment="1">
      <alignment horizontal="right" vertical="center" wrapText="1"/>
    </xf>
    <xf numFmtId="166" fontId="12" fillId="4" borderId="0" xfId="69" applyNumberFormat="1" applyFont="1" applyFill="1" applyAlignment="1">
      <alignment vertical="center"/>
    </xf>
    <xf numFmtId="0" fontId="12" fillId="4" borderId="0" xfId="69" applyFont="1" applyFill="1" applyAlignment="1">
      <alignment vertical="center"/>
    </xf>
    <xf numFmtId="0" fontId="38" fillId="4" borderId="4" xfId="37" applyFont="1" applyFill="1" applyBorder="1" applyAlignment="1">
      <alignment horizontal="center" vertical="center" wrapText="1"/>
    </xf>
    <xf numFmtId="0" fontId="10" fillId="4" borderId="4" xfId="37" applyFont="1" applyFill="1" applyBorder="1" applyAlignment="1">
      <alignment horizontal="center" vertical="center" wrapText="1"/>
    </xf>
    <xf numFmtId="3" fontId="10" fillId="4" borderId="4" xfId="37" applyNumberFormat="1" applyFont="1" applyFill="1" applyBorder="1" applyAlignment="1">
      <alignment horizontal="right" vertical="center" wrapText="1"/>
    </xf>
    <xf numFmtId="3" fontId="71" fillId="0" borderId="4" xfId="69" applyNumberFormat="1" applyFont="1" applyFill="1" applyBorder="1" applyAlignment="1">
      <alignment horizontal="right" vertical="center"/>
    </xf>
    <xf numFmtId="3" fontId="45" fillId="4" borderId="20" xfId="69" applyNumberFormat="1" applyFont="1" applyFill="1" applyBorder="1" applyAlignment="1">
      <alignment horizontal="center" vertical="center"/>
    </xf>
    <xf numFmtId="3" fontId="71" fillId="4" borderId="20" xfId="69" applyNumberFormat="1" applyFont="1" applyFill="1" applyBorder="1" applyAlignment="1">
      <alignment horizontal="right" vertical="center"/>
    </xf>
    <xf numFmtId="3" fontId="71" fillId="0" borderId="20" xfId="69" applyNumberFormat="1" applyFont="1" applyFill="1" applyBorder="1" applyAlignment="1">
      <alignment horizontal="right" vertical="center"/>
    </xf>
    <xf numFmtId="3" fontId="103" fillId="4" borderId="4" xfId="69" applyNumberFormat="1" applyFont="1" applyFill="1" applyBorder="1" applyAlignment="1">
      <alignment horizontal="center" vertical="center"/>
    </xf>
    <xf numFmtId="3" fontId="79" fillId="4" borderId="4" xfId="69" applyNumberFormat="1" applyFont="1" applyFill="1" applyBorder="1" applyAlignment="1">
      <alignment horizontal="right" vertical="center"/>
    </xf>
    <xf numFmtId="3" fontId="79" fillId="4" borderId="4" xfId="69" applyNumberFormat="1" applyFont="1" applyFill="1" applyBorder="1" applyAlignment="1">
      <alignment horizontal="right"/>
    </xf>
    <xf numFmtId="3" fontId="42" fillId="4" borderId="16" xfId="69" applyNumberFormat="1" applyFont="1" applyFill="1" applyBorder="1" applyAlignment="1">
      <alignment horizontal="center" vertical="center"/>
    </xf>
    <xf numFmtId="3" fontId="75" fillId="4" borderId="16" xfId="69" applyNumberFormat="1" applyFont="1" applyFill="1" applyBorder="1" applyAlignment="1">
      <alignment horizontal="right"/>
    </xf>
    <xf numFmtId="3" fontId="42" fillId="4" borderId="4" xfId="69" applyNumberFormat="1" applyFont="1" applyFill="1" applyBorder="1" applyAlignment="1">
      <alignment horizontal="center" vertical="center"/>
    </xf>
    <xf numFmtId="3" fontId="75" fillId="4" borderId="4" xfId="69" applyNumberFormat="1" applyFont="1" applyFill="1" applyBorder="1" applyAlignment="1">
      <alignment horizontal="right"/>
    </xf>
    <xf numFmtId="3" fontId="42" fillId="0" borderId="4" xfId="71" applyNumberFormat="1" applyFont="1" applyFill="1" applyBorder="1" applyAlignment="1">
      <alignment vertical="center" wrapText="1"/>
    </xf>
    <xf numFmtId="3" fontId="42" fillId="4" borderId="20" xfId="69" applyNumberFormat="1" applyFont="1" applyFill="1" applyBorder="1" applyAlignment="1">
      <alignment horizontal="center" vertical="center"/>
    </xf>
    <xf numFmtId="3" fontId="75" fillId="4" borderId="20" xfId="69" applyNumberFormat="1" applyFont="1" applyFill="1" applyBorder="1" applyAlignment="1">
      <alignment horizontal="right"/>
    </xf>
    <xf numFmtId="3" fontId="42" fillId="0" borderId="20" xfId="71" applyNumberFormat="1" applyFont="1" applyFill="1" applyBorder="1" applyAlignment="1">
      <alignment vertical="center" wrapText="1"/>
    </xf>
    <xf numFmtId="3" fontId="75" fillId="4" borderId="16" xfId="69" applyNumberFormat="1" applyFont="1" applyFill="1" applyBorder="1" applyAlignment="1">
      <alignment horizontal="right" vertical="center"/>
    </xf>
    <xf numFmtId="3" fontId="75" fillId="4" borderId="4" xfId="69" applyNumberFormat="1" applyFont="1" applyFill="1" applyBorder="1" applyAlignment="1">
      <alignment horizontal="right" vertical="center"/>
    </xf>
    <xf numFmtId="3" fontId="115" fillId="4" borderId="4" xfId="69" applyNumberFormat="1" applyFont="1" applyFill="1" applyBorder="1" applyAlignment="1">
      <alignment vertical="center"/>
    </xf>
    <xf numFmtId="3" fontId="42" fillId="4" borderId="4" xfId="69" applyNumberFormat="1" applyFont="1" applyFill="1" applyBorder="1" applyAlignment="1">
      <alignment horizontal="right" vertical="center"/>
    </xf>
    <xf numFmtId="3" fontId="42" fillId="4" borderId="4" xfId="69" applyNumberFormat="1" applyFont="1" applyFill="1" applyBorder="1" applyAlignment="1">
      <alignment horizontal="left" vertical="center"/>
    </xf>
    <xf numFmtId="3" fontId="103" fillId="4" borderId="4" xfId="69" applyNumberFormat="1" applyFont="1" applyFill="1" applyBorder="1" applyAlignment="1">
      <alignment horizontal="right" vertical="center"/>
    </xf>
    <xf numFmtId="3" fontId="103" fillId="0" borderId="4" xfId="69" applyNumberFormat="1" applyFont="1" applyFill="1" applyBorder="1" applyAlignment="1">
      <alignment horizontal="center" vertical="center"/>
    </xf>
    <xf numFmtId="3" fontId="103" fillId="0" borderId="4" xfId="69" applyNumberFormat="1" applyFont="1" applyFill="1" applyBorder="1" applyAlignment="1">
      <alignment vertical="center"/>
    </xf>
    <xf numFmtId="43" fontId="103" fillId="0" borderId="4" xfId="3" applyFont="1" applyFill="1" applyBorder="1" applyAlignment="1">
      <alignment vertical="center"/>
    </xf>
    <xf numFmtId="3" fontId="71" fillId="4" borderId="4" xfId="69" applyNumberFormat="1" applyFont="1" applyFill="1" applyBorder="1" applyAlignment="1">
      <alignment horizontal="right" vertical="center"/>
    </xf>
    <xf numFmtId="0" fontId="71" fillId="4" borderId="4" xfId="69" applyFont="1" applyFill="1" applyBorder="1" applyAlignment="1">
      <alignment horizontal="center" vertical="center"/>
    </xf>
    <xf numFmtId="0" fontId="75" fillId="4" borderId="4" xfId="69" applyFont="1" applyFill="1" applyBorder="1" applyAlignment="1">
      <alignment horizontal="center" vertical="center"/>
    </xf>
    <xf numFmtId="0" fontId="71" fillId="0" borderId="4" xfId="69" applyFont="1" applyFill="1" applyBorder="1" applyAlignment="1">
      <alignment horizontal="center" vertical="center"/>
    </xf>
    <xf numFmtId="0" fontId="14" fillId="4" borderId="0" xfId="69" applyFont="1" applyFill="1" applyAlignment="1">
      <alignment vertical="center"/>
    </xf>
    <xf numFmtId="0" fontId="75" fillId="4" borderId="4" xfId="72" applyFont="1" applyFill="1" applyBorder="1" applyAlignment="1">
      <alignment horizontal="center" vertical="center"/>
    </xf>
    <xf numFmtId="0" fontId="75" fillId="4" borderId="17" xfId="69" applyFont="1" applyFill="1" applyBorder="1" applyAlignment="1">
      <alignment horizontal="center" vertical="center"/>
    </xf>
    <xf numFmtId="3" fontId="75" fillId="4" borderId="17" xfId="69" applyNumberFormat="1" applyFont="1" applyFill="1" applyBorder="1" applyAlignment="1">
      <alignment horizontal="right" vertical="center"/>
    </xf>
    <xf numFmtId="3" fontId="116" fillId="0" borderId="4" xfId="69" applyNumberFormat="1" applyFont="1" applyFill="1" applyBorder="1" applyAlignment="1">
      <alignment horizontal="right" vertical="center"/>
    </xf>
    <xf numFmtId="3" fontId="116" fillId="4" borderId="4" xfId="69" applyNumberFormat="1" applyFont="1" applyFill="1" applyBorder="1" applyAlignment="1">
      <alignment horizontal="right" vertical="center"/>
    </xf>
    <xf numFmtId="3" fontId="116" fillId="4" borderId="4" xfId="70" applyNumberFormat="1" applyFont="1" applyFill="1" applyBorder="1" applyAlignment="1">
      <alignment horizontal="right" vertical="center" wrapText="1"/>
    </xf>
    <xf numFmtId="3" fontId="115" fillId="4" borderId="4" xfId="70" applyNumberFormat="1" applyFont="1" applyFill="1" applyBorder="1" applyAlignment="1">
      <alignment horizontal="right" vertical="center" wrapText="1"/>
    </xf>
    <xf numFmtId="3" fontId="103" fillId="4" borderId="4" xfId="70" applyNumberFormat="1" applyFont="1" applyFill="1" applyBorder="1" applyAlignment="1">
      <alignment horizontal="right" vertical="center" wrapText="1"/>
    </xf>
    <xf numFmtId="3" fontId="115" fillId="4" borderId="4" xfId="69" applyNumberFormat="1" applyFont="1" applyFill="1" applyBorder="1" applyAlignment="1">
      <alignment horizontal="right"/>
    </xf>
    <xf numFmtId="3" fontId="103" fillId="4" borderId="17" xfId="69" applyNumberFormat="1" applyFont="1" applyFill="1" applyBorder="1" applyAlignment="1">
      <alignment horizontal="center" vertical="center"/>
    </xf>
    <xf numFmtId="3" fontId="103" fillId="4" borderId="17" xfId="69" applyNumberFormat="1" applyFont="1" applyFill="1" applyBorder="1" applyAlignment="1">
      <alignment horizontal="right" vertical="center"/>
    </xf>
    <xf numFmtId="3" fontId="14" fillId="4" borderId="0" xfId="69" applyNumberFormat="1" applyFont="1" applyFill="1" applyAlignment="1">
      <alignment horizontal="center" vertical="center"/>
    </xf>
    <xf numFmtId="3" fontId="14" fillId="4" borderId="0" xfId="69" applyNumberFormat="1" applyFont="1" applyFill="1" applyAlignment="1">
      <alignment vertical="center" wrapText="1"/>
    </xf>
    <xf numFmtId="171" fontId="117" fillId="4" borderId="0" xfId="3" applyNumberFormat="1" applyFont="1" applyFill="1" applyAlignment="1">
      <alignment vertical="center" wrapText="1"/>
    </xf>
    <xf numFmtId="171" fontId="117" fillId="0" borderId="0" xfId="3" applyNumberFormat="1" applyFont="1" applyFill="1" applyAlignment="1">
      <alignment vertical="center" wrapText="1"/>
    </xf>
    <xf numFmtId="171" fontId="117" fillId="0" borderId="0" xfId="3" applyNumberFormat="1" applyFont="1" applyFill="1" applyAlignment="1">
      <alignment vertical="center"/>
    </xf>
    <xf numFmtId="0" fontId="14" fillId="4" borderId="0" xfId="69" applyFont="1" applyFill="1" applyAlignment="1">
      <alignment vertical="center" wrapText="1"/>
    </xf>
    <xf numFmtId="0" fontId="119" fillId="0" borderId="0" xfId="69" applyFont="1" applyAlignment="1">
      <alignment horizontal="center"/>
    </xf>
    <xf numFmtId="0" fontId="119" fillId="0" borderId="0" xfId="69" applyFont="1" applyFill="1" applyAlignment="1">
      <alignment horizontal="center"/>
    </xf>
    <xf numFmtId="3" fontId="14" fillId="4" borderId="0" xfId="69" applyNumberFormat="1" applyFont="1" applyFill="1" applyAlignment="1">
      <alignment horizontal="center"/>
    </xf>
    <xf numFmtId="3" fontId="14" fillId="4" borderId="0" xfId="69" applyNumberFormat="1" applyFont="1" applyFill="1" applyAlignment="1">
      <alignment wrapText="1"/>
    </xf>
    <xf numFmtId="171" fontId="117" fillId="0" borderId="0" xfId="3" applyNumberFormat="1" applyFont="1" applyFill="1"/>
    <xf numFmtId="0" fontId="117" fillId="0" borderId="0" xfId="69" applyFont="1"/>
    <xf numFmtId="0" fontId="117" fillId="0" borderId="0" xfId="69" applyFont="1" applyFill="1"/>
    <xf numFmtId="171" fontId="117" fillId="4" borderId="0" xfId="3" applyNumberFormat="1" applyFont="1" applyFill="1" applyAlignment="1">
      <alignment wrapText="1"/>
    </xf>
    <xf numFmtId="171" fontId="117" fillId="0" borderId="0" xfId="3" applyNumberFormat="1" applyFont="1" applyFill="1" applyAlignment="1">
      <alignment wrapText="1"/>
    </xf>
    <xf numFmtId="0" fontId="19" fillId="0" borderId="0" xfId="72" applyFill="1"/>
    <xf numFmtId="172" fontId="12" fillId="0" borderId="3" xfId="72" applyNumberFormat="1" applyFont="1" applyFill="1" applyBorder="1" applyAlignment="1">
      <alignment vertical="center"/>
    </xf>
    <xf numFmtId="167" fontId="12" fillId="0" borderId="3" xfId="3" applyNumberFormat="1" applyFont="1" applyFill="1" applyBorder="1" applyAlignment="1">
      <alignment vertical="center"/>
    </xf>
    <xf numFmtId="3" fontId="12" fillId="0" borderId="3" xfId="72" applyNumberFormat="1" applyFont="1" applyFill="1" applyBorder="1" applyAlignment="1">
      <alignment vertical="center"/>
    </xf>
    <xf numFmtId="167" fontId="121" fillId="0" borderId="8" xfId="3" applyNumberFormat="1" applyFont="1" applyFill="1" applyBorder="1" applyAlignment="1">
      <alignment horizontal="center" vertical="center" wrapText="1"/>
    </xf>
    <xf numFmtId="167" fontId="121" fillId="0" borderId="14" xfId="3" applyNumberFormat="1" applyFont="1" applyFill="1" applyBorder="1" applyAlignment="1">
      <alignment horizontal="center" vertical="center" wrapText="1"/>
    </xf>
    <xf numFmtId="3" fontId="121" fillId="0" borderId="14" xfId="72" applyNumberFormat="1" applyFont="1" applyFill="1" applyBorder="1" applyAlignment="1">
      <alignment horizontal="center" vertical="center" wrapText="1"/>
    </xf>
    <xf numFmtId="3" fontId="120" fillId="0" borderId="5" xfId="72" applyNumberFormat="1" applyFont="1" applyFill="1" applyBorder="1" applyAlignment="1">
      <alignment horizontal="center" vertical="center" wrapText="1"/>
    </xf>
    <xf numFmtId="167" fontId="120" fillId="0" borderId="5" xfId="3" applyNumberFormat="1" applyFont="1" applyFill="1" applyBorder="1" applyAlignment="1">
      <alignment horizontal="center" vertical="center" wrapText="1"/>
    </xf>
    <xf numFmtId="3" fontId="120" fillId="0" borderId="1" xfId="72" applyNumberFormat="1" applyFont="1" applyFill="1" applyBorder="1" applyAlignment="1">
      <alignment horizontal="center" vertical="center" wrapText="1"/>
    </xf>
    <xf numFmtId="3" fontId="121" fillId="0" borderId="15" xfId="72" applyNumberFormat="1" applyFont="1" applyFill="1" applyBorder="1" applyAlignment="1">
      <alignment horizontal="center" vertical="center" wrapText="1"/>
    </xf>
    <xf numFmtId="167" fontId="121" fillId="0" borderId="16" xfId="3" applyNumberFormat="1" applyFont="1" applyFill="1" applyBorder="1" applyAlignment="1">
      <alignment horizontal="center" vertical="center" wrapText="1"/>
    </xf>
    <xf numFmtId="3" fontId="121" fillId="0" borderId="16" xfId="72" applyNumberFormat="1" applyFont="1" applyFill="1" applyBorder="1" applyAlignment="1">
      <alignment horizontal="center" vertical="center"/>
    </xf>
    <xf numFmtId="0" fontId="121" fillId="0" borderId="4" xfId="72" applyFont="1" applyFill="1" applyBorder="1" applyAlignment="1">
      <alignment horizontal="center" vertical="center"/>
    </xf>
    <xf numFmtId="0" fontId="121" fillId="0" borderId="4" xfId="72" applyFont="1" applyFill="1" applyBorder="1" applyAlignment="1">
      <alignment horizontal="justify" vertical="center" wrapText="1"/>
    </xf>
    <xf numFmtId="167" fontId="121" fillId="0" borderId="4" xfId="3" applyNumberFormat="1" applyFont="1" applyFill="1" applyBorder="1" applyAlignment="1">
      <alignment horizontal="left" vertical="center" wrapText="1"/>
    </xf>
    <xf numFmtId="3" fontId="121" fillId="0" borderId="4" xfId="72" applyNumberFormat="1" applyFont="1" applyFill="1" applyBorder="1" applyAlignment="1">
      <alignment horizontal="left" vertical="center" wrapText="1"/>
    </xf>
    <xf numFmtId="0" fontId="120" fillId="0" borderId="4" xfId="72" applyFont="1" applyFill="1" applyBorder="1" applyAlignment="1">
      <alignment horizontal="center" vertical="center"/>
    </xf>
    <xf numFmtId="0" fontId="120" fillId="0" borderId="4" xfId="72" applyFont="1" applyFill="1" applyBorder="1" applyAlignment="1">
      <alignment horizontal="justify" vertical="center" wrapText="1"/>
    </xf>
    <xf numFmtId="167" fontId="120" fillId="0" borderId="4" xfId="3" applyNumberFormat="1" applyFont="1" applyFill="1" applyBorder="1" applyAlignment="1">
      <alignment horizontal="left" vertical="center" wrapText="1"/>
    </xf>
    <xf numFmtId="3" fontId="120" fillId="0" borderId="4" xfId="72" applyNumberFormat="1" applyFont="1" applyFill="1" applyBorder="1" applyAlignment="1">
      <alignment horizontal="left" vertical="center"/>
    </xf>
    <xf numFmtId="0" fontId="19" fillId="0" borderId="0" xfId="72" applyFont="1" applyFill="1"/>
    <xf numFmtId="0" fontId="19" fillId="0" borderId="0" xfId="72" applyFont="1" applyFill="1" applyBorder="1"/>
    <xf numFmtId="167" fontId="121" fillId="0" borderId="4" xfId="3" applyNumberFormat="1" applyFont="1" applyFill="1" applyBorder="1" applyAlignment="1">
      <alignment vertical="center" wrapText="1"/>
    </xf>
    <xf numFmtId="3" fontId="121" fillId="0" borderId="4" xfId="72" applyNumberFormat="1" applyFont="1" applyFill="1" applyBorder="1" applyAlignment="1">
      <alignment vertical="center" wrapText="1"/>
    </xf>
    <xf numFmtId="0" fontId="76" fillId="0" borderId="0" xfId="72" applyFont="1" applyFill="1"/>
    <xf numFmtId="0" fontId="120" fillId="0" borderId="4" xfId="72" applyFont="1" applyFill="1" applyBorder="1" applyAlignment="1">
      <alignment horizontal="justify" vertical="center"/>
    </xf>
    <xf numFmtId="167" fontId="120" fillId="0" borderId="4" xfId="3" applyNumberFormat="1" applyFont="1" applyFill="1" applyBorder="1" applyAlignment="1">
      <alignment horizontal="left" vertical="center"/>
    </xf>
    <xf numFmtId="3" fontId="121" fillId="0" borderId="4" xfId="72" applyNumberFormat="1" applyFont="1" applyFill="1" applyBorder="1" applyAlignment="1">
      <alignment horizontal="justify" vertical="center" wrapText="1"/>
    </xf>
    <xf numFmtId="0" fontId="19" fillId="3" borderId="0" xfId="72" applyFill="1"/>
    <xf numFmtId="0" fontId="120" fillId="0" borderId="17" xfId="72" applyFont="1" applyFill="1" applyBorder="1" applyAlignment="1">
      <alignment horizontal="center" vertical="center"/>
    </xf>
    <xf numFmtId="0" fontId="120" fillId="0" borderId="17" xfId="72" applyFont="1" applyFill="1" applyBorder="1" applyAlignment="1">
      <alignment horizontal="justify" vertical="center"/>
    </xf>
    <xf numFmtId="167" fontId="120" fillId="0" borderId="17" xfId="3" applyNumberFormat="1" applyFont="1" applyFill="1" applyBorder="1" applyAlignment="1">
      <alignment horizontal="left" vertical="center"/>
    </xf>
    <xf numFmtId="3" fontId="120" fillId="0" borderId="17" xfId="72" applyNumberFormat="1" applyFont="1" applyFill="1" applyBorder="1" applyAlignment="1">
      <alignment horizontal="left" vertical="center"/>
    </xf>
    <xf numFmtId="0" fontId="120" fillId="0" borderId="16" xfId="72" applyFont="1" applyFill="1" applyBorder="1" applyAlignment="1">
      <alignment horizontal="center" vertical="center"/>
    </xf>
    <xf numFmtId="0" fontId="120" fillId="0" borderId="16" xfId="72" applyFont="1" applyFill="1" applyBorder="1" applyAlignment="1">
      <alignment horizontal="left" vertical="center"/>
    </xf>
    <xf numFmtId="167" fontId="120" fillId="0" borderId="16" xfId="3" applyNumberFormat="1" applyFont="1" applyFill="1" applyBorder="1" applyAlignment="1">
      <alignment horizontal="left" vertical="center"/>
    </xf>
    <xf numFmtId="3" fontId="120" fillId="0" borderId="16" xfId="72" applyNumberFormat="1" applyFont="1" applyFill="1" applyBorder="1" applyAlignment="1">
      <alignment horizontal="left" vertical="center"/>
    </xf>
    <xf numFmtId="0" fontId="120" fillId="0" borderId="4" xfId="72" applyFont="1" applyFill="1" applyBorder="1" applyAlignment="1">
      <alignment horizontal="left" vertical="center"/>
    </xf>
    <xf numFmtId="0" fontId="121" fillId="0" borderId="17" xfId="72" applyFont="1" applyFill="1" applyBorder="1" applyAlignment="1">
      <alignment horizontal="center" vertical="center"/>
    </xf>
    <xf numFmtId="0" fontId="120" fillId="0" borderId="17" xfId="72" applyFont="1" applyFill="1" applyBorder="1" applyAlignment="1">
      <alignment horizontal="left" vertical="center"/>
    </xf>
    <xf numFmtId="167" fontId="0" fillId="0" borderId="0" xfId="3" applyNumberFormat="1" applyFont="1" applyFill="1"/>
    <xf numFmtId="3" fontId="19" fillId="0" borderId="0" xfId="72" applyNumberFormat="1" applyFill="1"/>
    <xf numFmtId="3" fontId="123" fillId="4" borderId="0" xfId="72" applyNumberFormat="1" applyFont="1" applyFill="1"/>
    <xf numFmtId="3" fontId="19" fillId="4" borderId="0" xfId="72" applyNumberFormat="1" applyFill="1"/>
    <xf numFmtId="0" fontId="12" fillId="0" borderId="0" xfId="2" applyFont="1" applyFill="1" applyAlignment="1">
      <alignment horizontal="center"/>
    </xf>
    <xf numFmtId="3" fontId="12" fillId="0" borderId="0" xfId="2" applyNumberFormat="1" applyFont="1" applyFill="1" applyAlignment="1">
      <alignment horizontal="center" vertical="center"/>
    </xf>
    <xf numFmtId="166" fontId="84" fillId="0" borderId="4" xfId="64" applyNumberFormat="1" applyFont="1" applyFill="1" applyBorder="1" applyAlignment="1">
      <alignment horizontal="right" vertical="center" wrapText="1"/>
    </xf>
    <xf numFmtId="0" fontId="84" fillId="0" borderId="4" xfId="61" applyNumberFormat="1" applyFont="1" applyFill="1" applyBorder="1" applyAlignment="1">
      <alignment vertical="center" wrapText="1"/>
    </xf>
    <xf numFmtId="166" fontId="84" fillId="0" borderId="4" xfId="61" applyNumberFormat="1" applyFont="1" applyFill="1" applyBorder="1" applyAlignment="1">
      <alignment horizontal="center" vertical="center" wrapText="1"/>
    </xf>
    <xf numFmtId="0" fontId="112" fillId="0" borderId="0" xfId="61" applyFont="1" applyFill="1"/>
    <xf numFmtId="0" fontId="13" fillId="0" borderId="0" xfId="61" applyFont="1" applyFill="1" applyAlignment="1">
      <alignment horizontal="right" vertical="center"/>
    </xf>
    <xf numFmtId="0" fontId="84" fillId="0" borderId="4" xfId="61" applyNumberFormat="1" applyFont="1" applyFill="1" applyBorder="1" applyAlignment="1">
      <alignment horizontal="center" vertical="center" wrapText="1"/>
    </xf>
    <xf numFmtId="166" fontId="84" fillId="0" borderId="4" xfId="62" applyNumberFormat="1" applyFont="1" applyFill="1" applyBorder="1" applyAlignment="1">
      <alignment horizontal="center" vertical="center" wrapText="1"/>
    </xf>
    <xf numFmtId="166" fontId="69" fillId="0" borderId="4" xfId="61" applyNumberFormat="1" applyFont="1" applyFill="1" applyBorder="1" applyAlignment="1">
      <alignment horizontal="center" vertical="center" wrapText="1"/>
    </xf>
    <xf numFmtId="166" fontId="13" fillId="0" borderId="4" xfId="62" applyNumberFormat="1" applyFont="1" applyFill="1" applyBorder="1" applyAlignment="1">
      <alignment horizontal="center" vertical="center" wrapText="1"/>
    </xf>
    <xf numFmtId="0" fontId="14" fillId="0" borderId="4" xfId="61" applyFont="1" applyFill="1" applyBorder="1" applyAlignment="1">
      <alignment vertical="center" wrapText="1"/>
    </xf>
    <xf numFmtId="0" fontId="12" fillId="0" borderId="1" xfId="61" applyFont="1" applyFill="1" applyBorder="1" applyAlignment="1">
      <alignment horizontal="center" vertical="center" wrapText="1"/>
    </xf>
    <xf numFmtId="0" fontId="12" fillId="0" borderId="15" xfId="61" applyFont="1" applyFill="1" applyBorder="1" applyAlignment="1">
      <alignment horizontal="center" vertical="center" wrapText="1"/>
    </xf>
    <xf numFmtId="0" fontId="12" fillId="0" borderId="15" xfId="61" applyFont="1" applyFill="1" applyBorder="1" applyAlignment="1">
      <alignment vertical="center" wrapText="1"/>
    </xf>
    <xf numFmtId="166" fontId="14" fillId="0" borderId="15" xfId="62" applyNumberFormat="1" applyFont="1" applyFill="1" applyBorder="1" applyAlignment="1">
      <alignment horizontal="center" vertical="center" wrapText="1"/>
    </xf>
    <xf numFmtId="10" fontId="14" fillId="0" borderId="15" xfId="63" applyNumberFormat="1" applyFont="1" applyFill="1" applyBorder="1" applyAlignment="1">
      <alignment horizontal="center" vertical="center" wrapText="1"/>
    </xf>
    <xf numFmtId="0" fontId="12" fillId="0" borderId="4" xfId="61" applyFont="1" applyFill="1" applyBorder="1" applyAlignment="1">
      <alignment horizontal="center" vertical="center" wrapText="1"/>
    </xf>
    <xf numFmtId="0" fontId="12" fillId="0" borderId="4" xfId="61" applyFont="1" applyFill="1" applyBorder="1" applyAlignment="1">
      <alignment vertical="center" wrapText="1"/>
    </xf>
    <xf numFmtId="166" fontId="12" fillId="0" borderId="4" xfId="62" applyNumberFormat="1" applyFont="1" applyFill="1" applyBorder="1" applyAlignment="1">
      <alignment horizontal="center" vertical="center" wrapText="1"/>
    </xf>
    <xf numFmtId="10" fontId="12" fillId="0" borderId="4" xfId="63" applyNumberFormat="1" applyFont="1" applyFill="1" applyBorder="1" applyAlignment="1">
      <alignment horizontal="center" vertical="center" wrapText="1"/>
    </xf>
    <xf numFmtId="166" fontId="112" fillId="0" borderId="0" xfId="61" applyNumberFormat="1" applyFont="1" applyFill="1"/>
    <xf numFmtId="0" fontId="14" fillId="0" borderId="4" xfId="61" applyFont="1" applyFill="1" applyBorder="1" applyAlignment="1">
      <alignment horizontal="center" vertical="center" wrapText="1"/>
    </xf>
    <xf numFmtId="10" fontId="14" fillId="0" borderId="4" xfId="63" applyNumberFormat="1" applyFont="1" applyFill="1" applyBorder="1" applyAlignment="1">
      <alignment horizontal="center" vertical="center" wrapText="1"/>
    </xf>
    <xf numFmtId="0" fontId="13" fillId="0" borderId="4" xfId="61" applyFont="1" applyFill="1" applyBorder="1" applyAlignment="1">
      <alignment horizontal="center" vertical="center" wrapText="1"/>
    </xf>
    <xf numFmtId="0" fontId="13" fillId="0" borderId="4" xfId="61" applyFont="1" applyFill="1" applyBorder="1" applyAlignment="1">
      <alignment vertical="center" wrapText="1"/>
    </xf>
    <xf numFmtId="9" fontId="12" fillId="0" borderId="4" xfId="63" applyNumberFormat="1" applyFont="1" applyFill="1" applyBorder="1" applyAlignment="1">
      <alignment horizontal="center" vertical="center" wrapText="1"/>
    </xf>
    <xf numFmtId="10" fontId="13" fillId="0" borderId="4" xfId="63" applyNumberFormat="1" applyFont="1" applyFill="1" applyBorder="1" applyAlignment="1">
      <alignment horizontal="center" vertical="center" wrapText="1"/>
    </xf>
    <xf numFmtId="0" fontId="12" fillId="0" borderId="17" xfId="61" applyFont="1" applyFill="1" applyBorder="1" applyAlignment="1">
      <alignment horizontal="center" vertical="center" wrapText="1"/>
    </xf>
    <xf numFmtId="0" fontId="12" fillId="0" borderId="17" xfId="61" applyFont="1" applyFill="1" applyBorder="1" applyAlignment="1">
      <alignment vertical="center" wrapText="1"/>
    </xf>
    <xf numFmtId="166" fontId="14" fillId="0" borderId="17" xfId="62" applyNumberFormat="1" applyFont="1" applyFill="1" applyBorder="1" applyAlignment="1">
      <alignment horizontal="center" vertical="center" wrapText="1"/>
    </xf>
    <xf numFmtId="166" fontId="12" fillId="0" borderId="17" xfId="62" applyNumberFormat="1" applyFont="1" applyFill="1" applyBorder="1" applyAlignment="1">
      <alignment horizontal="center" vertical="center" wrapText="1"/>
    </xf>
    <xf numFmtId="10" fontId="12" fillId="0" borderId="17" xfId="63" applyNumberFormat="1" applyFont="1" applyFill="1" applyBorder="1" applyAlignment="1">
      <alignment horizontal="center" vertical="center" wrapText="1"/>
    </xf>
    <xf numFmtId="0" fontId="112" fillId="0" borderId="0" xfId="61" applyFont="1"/>
    <xf numFmtId="166" fontId="124" fillId="0" borderId="0" xfId="61" applyNumberFormat="1" applyFont="1"/>
    <xf numFmtId="0" fontId="124" fillId="0" borderId="0" xfId="61" applyFont="1"/>
    <xf numFmtId="166" fontId="69" fillId="0" borderId="1" xfId="62" applyNumberFormat="1" applyFont="1" applyFill="1" applyBorder="1" applyAlignment="1">
      <alignment horizontal="center" vertical="center" wrapText="1"/>
    </xf>
    <xf numFmtId="166" fontId="82" fillId="0" borderId="16" xfId="62" applyNumberFormat="1" applyFont="1" applyFill="1" applyBorder="1" applyAlignment="1">
      <alignment horizontal="center" vertical="center" wrapText="1"/>
    </xf>
    <xf numFmtId="0" fontId="84" fillId="4" borderId="0" xfId="64" applyFont="1" applyFill="1"/>
    <xf numFmtId="166" fontId="42" fillId="0" borderId="4" xfId="62" applyNumberFormat="1" applyFont="1" applyFill="1" applyBorder="1" applyAlignment="1">
      <alignment horizontal="center" vertical="center" wrapText="1"/>
    </xf>
    <xf numFmtId="0" fontId="42" fillId="4" borderId="4" xfId="64" applyFont="1" applyFill="1" applyBorder="1" applyAlignment="1">
      <alignment vertical="center" wrapText="1"/>
    </xf>
    <xf numFmtId="166" fontId="82" fillId="0" borderId="4" xfId="62" applyNumberFormat="1" applyFont="1" applyFill="1" applyBorder="1" applyAlignment="1">
      <alignment horizontal="center" vertical="center" wrapText="1"/>
    </xf>
    <xf numFmtId="166" fontId="82" fillId="0" borderId="20" xfId="62" applyNumberFormat="1" applyFont="1" applyFill="1" applyBorder="1" applyAlignment="1">
      <alignment horizontal="center" vertical="center" wrapText="1"/>
    </xf>
    <xf numFmtId="166" fontId="12" fillId="0" borderId="1" xfId="0" applyNumberFormat="1" applyFont="1" applyFill="1" applyBorder="1" applyAlignment="1">
      <alignment vertical="center" wrapText="1"/>
    </xf>
    <xf numFmtId="1" fontId="12" fillId="0" borderId="1" xfId="0" applyNumberFormat="1" applyFont="1" applyFill="1" applyBorder="1" applyAlignment="1">
      <alignment vertical="center" wrapText="1"/>
    </xf>
    <xf numFmtId="0" fontId="12" fillId="0" borderId="1" xfId="0" applyFont="1" applyFill="1" applyBorder="1" applyAlignment="1">
      <alignment horizontal="justify" vertical="center" wrapText="1"/>
    </xf>
    <xf numFmtId="166" fontId="12" fillId="0" borderId="1" xfId="40" applyNumberFormat="1" applyFont="1" applyFill="1" applyBorder="1" applyAlignment="1">
      <alignment vertical="center" wrapText="1"/>
    </xf>
    <xf numFmtId="0" fontId="12" fillId="0" borderId="5" xfId="0" applyFont="1" applyFill="1" applyBorder="1" applyAlignment="1">
      <alignment horizontal="center" vertical="center" wrapText="1"/>
    </xf>
    <xf numFmtId="0" fontId="12" fillId="0" borderId="5" xfId="0" applyFont="1" applyFill="1" applyBorder="1" applyAlignment="1">
      <alignment horizontal="justify" vertical="center" wrapText="1"/>
    </xf>
    <xf numFmtId="1" fontId="12" fillId="0" borderId="5" xfId="0" applyNumberFormat="1" applyFont="1" applyFill="1" applyBorder="1" applyAlignment="1">
      <alignment vertical="center" wrapText="1"/>
    </xf>
    <xf numFmtId="0" fontId="15" fillId="0" borderId="4" xfId="0" applyFont="1" applyFill="1" applyBorder="1" applyAlignment="1">
      <alignment horizontal="center" vertical="center" wrapText="1"/>
    </xf>
    <xf numFmtId="0" fontId="15" fillId="0" borderId="4" xfId="0" applyFont="1" applyFill="1" applyBorder="1" applyAlignment="1">
      <alignment horizontal="justify" vertical="center" wrapText="1"/>
    </xf>
    <xf numFmtId="1" fontId="15" fillId="0" borderId="4" xfId="0" applyNumberFormat="1" applyFont="1" applyFill="1" applyBorder="1" applyAlignment="1">
      <alignment vertical="center" wrapText="1"/>
    </xf>
    <xf numFmtId="0" fontId="14" fillId="0" borderId="4" xfId="0" applyFont="1" applyFill="1" applyBorder="1" applyAlignment="1">
      <alignment horizontal="center" vertical="center" wrapText="1"/>
    </xf>
    <xf numFmtId="0" fontId="13" fillId="0" borderId="4" xfId="0" applyFont="1" applyFill="1" applyBorder="1" applyAlignment="1">
      <alignment horizontal="justify" vertical="center" wrapText="1"/>
    </xf>
    <xf numFmtId="1" fontId="13" fillId="0" borderId="4" xfId="0" applyNumberFormat="1" applyFont="1" applyFill="1" applyBorder="1" applyAlignment="1">
      <alignment vertical="center" wrapText="1"/>
    </xf>
    <xf numFmtId="43" fontId="14" fillId="0" borderId="4" xfId="40" applyFont="1" applyFill="1" applyBorder="1" applyAlignment="1">
      <alignment vertical="center" wrapText="1"/>
    </xf>
    <xf numFmtId="0" fontId="12" fillId="0" borderId="4" xfId="0" applyFont="1" applyFill="1" applyBorder="1" applyAlignment="1">
      <alignment horizontal="center" vertical="center" wrapText="1"/>
    </xf>
    <xf numFmtId="0" fontId="12" fillId="0" borderId="4" xfId="0" applyFont="1" applyFill="1" applyBorder="1" applyAlignment="1">
      <alignment horizontal="justify" vertical="center" wrapText="1"/>
    </xf>
    <xf numFmtId="1" fontId="12" fillId="0" borderId="4" xfId="0" applyNumberFormat="1" applyFont="1" applyFill="1" applyBorder="1" applyAlignment="1">
      <alignment vertical="center" wrapText="1"/>
    </xf>
    <xf numFmtId="0" fontId="13" fillId="0" borderId="4" xfId="0" applyFont="1" applyFill="1" applyBorder="1" applyAlignment="1">
      <alignment horizontal="center" vertical="center" wrapText="1"/>
    </xf>
    <xf numFmtId="43" fontId="12" fillId="0" borderId="4" xfId="40" applyFont="1" applyFill="1" applyBorder="1" applyAlignment="1">
      <alignment vertical="center" wrapText="1"/>
    </xf>
    <xf numFmtId="1" fontId="14" fillId="0" borderId="4" xfId="0" applyNumberFormat="1" applyFont="1" applyFill="1" applyBorder="1" applyAlignment="1">
      <alignment vertical="center" wrapText="1"/>
    </xf>
    <xf numFmtId="0" fontId="12" fillId="0" borderId="14" xfId="0" applyFont="1" applyFill="1" applyBorder="1" applyAlignment="1">
      <alignment horizontal="center" vertical="center" wrapText="1"/>
    </xf>
    <xf numFmtId="0" fontId="12" fillId="0" borderId="14" xfId="0" applyFont="1" applyFill="1" applyBorder="1" applyAlignment="1">
      <alignment horizontal="justify" vertical="center" wrapText="1"/>
    </xf>
    <xf numFmtId="1" fontId="14" fillId="0" borderId="20" xfId="0" applyNumberFormat="1" applyFont="1" applyFill="1" applyBorder="1" applyAlignment="1">
      <alignment vertical="center" wrapText="1"/>
    </xf>
    <xf numFmtId="1" fontId="12" fillId="0" borderId="16" xfId="0" applyNumberFormat="1" applyFont="1" applyFill="1" applyBorder="1" applyAlignment="1">
      <alignment vertical="center" wrapText="1"/>
    </xf>
    <xf numFmtId="0" fontId="14" fillId="0" borderId="16" xfId="0" applyFont="1" applyFill="1" applyBorder="1" applyAlignment="1">
      <alignment vertical="center" wrapText="1"/>
    </xf>
    <xf numFmtId="0" fontId="14" fillId="0" borderId="14" xfId="0" applyFont="1" applyFill="1" applyBorder="1" applyAlignment="1">
      <alignment vertical="center" wrapText="1"/>
    </xf>
    <xf numFmtId="0" fontId="12" fillId="0" borderId="1" xfId="0" applyFont="1" applyFill="1" applyBorder="1" applyAlignment="1">
      <alignment vertical="center" wrapText="1"/>
    </xf>
    <xf numFmtId="0" fontId="12" fillId="0" borderId="0" xfId="0" applyFont="1" applyFill="1" applyBorder="1" applyAlignment="1">
      <alignment horizontal="center" vertical="center" wrapText="1"/>
    </xf>
    <xf numFmtId="0" fontId="12" fillId="0" borderId="0" xfId="0" applyFont="1" applyFill="1" applyBorder="1" applyAlignment="1">
      <alignment vertical="center" wrapText="1"/>
    </xf>
    <xf numFmtId="0" fontId="14" fillId="0" borderId="0" xfId="0" applyFont="1" applyFill="1" applyBorder="1" applyAlignment="1">
      <alignment vertical="center" wrapText="1"/>
    </xf>
    <xf numFmtId="0" fontId="13" fillId="0" borderId="0" xfId="0" applyFont="1" applyFill="1" applyBorder="1" applyAlignment="1">
      <alignment vertical="center" wrapText="1"/>
    </xf>
    <xf numFmtId="0" fontId="12" fillId="0" borderId="0" xfId="0" applyFont="1" applyFill="1" applyAlignment="1">
      <alignment vertical="center" wrapText="1"/>
    </xf>
    <xf numFmtId="0" fontId="13" fillId="0" borderId="0" xfId="0" applyFont="1" applyFill="1" applyAlignment="1">
      <alignment vertical="center" wrapText="1"/>
    </xf>
    <xf numFmtId="166" fontId="112" fillId="0" borderId="0" xfId="0" applyNumberFormat="1" applyFont="1" applyFill="1"/>
    <xf numFmtId="43" fontId="42" fillId="0" borderId="4" xfId="40" applyFont="1" applyFill="1" applyBorder="1" applyAlignment="1">
      <alignment horizontal="center" vertical="center" wrapText="1"/>
    </xf>
    <xf numFmtId="0" fontId="42" fillId="0" borderId="4" xfId="0" applyFont="1" applyFill="1" applyBorder="1" applyAlignment="1">
      <alignment vertical="center"/>
    </xf>
    <xf numFmtId="0" fontId="42" fillId="0" borderId="4" xfId="0" applyFont="1" applyFill="1" applyBorder="1" applyAlignment="1">
      <alignment vertical="center" wrapText="1"/>
    </xf>
    <xf numFmtId="166" fontId="42" fillId="0" borderId="4" xfId="0" applyNumberFormat="1" applyFont="1" applyFill="1" applyBorder="1" applyAlignment="1">
      <alignment horizontal="right" vertical="center"/>
    </xf>
    <xf numFmtId="0" fontId="69" fillId="0" borderId="0" xfId="0" applyFont="1" applyFill="1" applyAlignment="1">
      <alignment horizontal="center" vertical="center"/>
    </xf>
    <xf numFmtId="166" fontId="69" fillId="0" borderId="0" xfId="0" applyNumberFormat="1" applyFont="1" applyFill="1" applyAlignment="1">
      <alignment horizontal="center" vertical="center"/>
    </xf>
    <xf numFmtId="0" fontId="126" fillId="0" borderId="0" xfId="0" applyFont="1" applyFill="1"/>
    <xf numFmtId="0" fontId="108" fillId="0" borderId="0" xfId="0" applyFont="1" applyFill="1"/>
    <xf numFmtId="0" fontId="14" fillId="0" borderId="0" xfId="0" applyFont="1" applyFill="1"/>
    <xf numFmtId="0" fontId="42" fillId="0" borderId="0" xfId="0" applyFont="1" applyFill="1"/>
    <xf numFmtId="0" fontId="51" fillId="0" borderId="0" xfId="0" applyFont="1" applyFill="1"/>
    <xf numFmtId="3" fontId="14" fillId="0" borderId="0" xfId="2" applyNumberFormat="1" applyFont="1" applyFill="1" applyAlignment="1">
      <alignment horizontal="right"/>
    </xf>
    <xf numFmtId="1" fontId="19" fillId="0" borderId="0" xfId="2" applyNumberFormat="1" applyFont="1" applyFill="1" applyAlignment="1">
      <alignment horizontal="right"/>
    </xf>
    <xf numFmtId="1" fontId="14" fillId="0" borderId="0" xfId="2" applyNumberFormat="1" applyFont="1" applyFill="1" applyAlignment="1">
      <alignment horizontal="right"/>
    </xf>
    <xf numFmtId="3" fontId="19" fillId="0" borderId="0" xfId="2" applyNumberFormat="1" applyFont="1" applyFill="1" applyBorder="1"/>
    <xf numFmtId="3" fontId="20" fillId="0" borderId="15" xfId="2" applyNumberFormat="1" applyFont="1" applyFill="1" applyBorder="1" applyAlignment="1">
      <alignment horizontal="center" vertical="center"/>
    </xf>
    <xf numFmtId="3" fontId="106" fillId="0" borderId="4" xfId="2" applyNumberFormat="1" applyFont="1" applyFill="1" applyBorder="1" applyAlignment="1">
      <alignment horizontal="center" vertical="center"/>
    </xf>
    <xf numFmtId="0" fontId="45" fillId="0" borderId="1" xfId="2" applyFont="1" applyFill="1" applyBorder="1" applyAlignment="1">
      <alignment horizontal="center" vertical="center" wrapText="1"/>
    </xf>
    <xf numFmtId="3" fontId="45" fillId="0" borderId="1" xfId="2" applyNumberFormat="1" applyFont="1" applyFill="1" applyBorder="1" applyAlignment="1">
      <alignment horizontal="center" vertical="center" wrapText="1"/>
    </xf>
    <xf numFmtId="1" fontId="45" fillId="0" borderId="1" xfId="2" applyNumberFormat="1" applyFont="1" applyFill="1" applyBorder="1" applyAlignment="1">
      <alignment horizontal="center" vertical="center" wrapText="1"/>
    </xf>
    <xf numFmtId="167" fontId="45" fillId="0" borderId="1" xfId="40" applyNumberFormat="1" applyFont="1" applyFill="1" applyBorder="1" applyAlignment="1">
      <alignment horizontal="center" vertical="center" wrapText="1"/>
    </xf>
    <xf numFmtId="1" fontId="51" fillId="0" borderId="4" xfId="2" applyNumberFormat="1" applyFont="1" applyFill="1" applyBorder="1" applyAlignment="1">
      <alignment horizontal="right"/>
    </xf>
    <xf numFmtId="0" fontId="20" fillId="0" borderId="5" xfId="2" applyFont="1" applyFill="1" applyBorder="1" applyAlignment="1">
      <alignment vertical="center"/>
    </xf>
    <xf numFmtId="3" fontId="45" fillId="0" borderId="5" xfId="2" applyNumberFormat="1" applyFont="1" applyFill="1" applyBorder="1" applyAlignment="1">
      <alignment horizontal="center" vertical="center"/>
    </xf>
    <xf numFmtId="167" fontId="45" fillId="0" borderId="11" xfId="40" applyNumberFormat="1" applyFont="1" applyFill="1" applyBorder="1" applyAlignment="1">
      <alignment horizontal="center" vertical="center"/>
    </xf>
    <xf numFmtId="1" fontId="51" fillId="0" borderId="4" xfId="2" applyNumberFormat="1" applyFont="1" applyFill="1" applyBorder="1" applyAlignment="1">
      <alignment horizontal="right" vertical="center"/>
    </xf>
    <xf numFmtId="0" fontId="103" fillId="0" borderId="1" xfId="2" applyFont="1" applyFill="1" applyBorder="1" applyAlignment="1">
      <alignment horizontal="center" vertical="center"/>
    </xf>
    <xf numFmtId="0" fontId="42" fillId="0" borderId="16" xfId="2" applyFont="1" applyFill="1" applyBorder="1" applyAlignment="1">
      <alignment horizontal="center" vertical="center"/>
    </xf>
    <xf numFmtId="0" fontId="42" fillId="0" borderId="16" xfId="2" applyFont="1" applyFill="1" applyBorder="1" applyAlignment="1">
      <alignment horizontal="left" vertical="center"/>
    </xf>
    <xf numFmtId="166" fontId="42" fillId="0" borderId="16" xfId="40" applyNumberFormat="1" applyFont="1" applyFill="1" applyBorder="1" applyAlignment="1">
      <alignment horizontal="center" vertical="center"/>
    </xf>
    <xf numFmtId="3" fontId="20" fillId="0" borderId="4" xfId="2" applyNumberFormat="1" applyFont="1" applyFill="1" applyBorder="1" applyAlignment="1">
      <alignment vertical="center"/>
    </xf>
    <xf numFmtId="3" fontId="42" fillId="0" borderId="4" xfId="2" applyNumberFormat="1" applyFont="1" applyFill="1" applyBorder="1" applyAlignment="1">
      <alignment horizontal="center" vertical="center"/>
    </xf>
    <xf numFmtId="3" fontId="42" fillId="0" borderId="4" xfId="2" applyNumberFormat="1" applyFont="1" applyFill="1" applyBorder="1" applyAlignment="1">
      <alignment horizontal="left" vertical="center"/>
    </xf>
    <xf numFmtId="166" fontId="42" fillId="0" borderId="4" xfId="40" applyNumberFormat="1" applyFont="1" applyFill="1" applyBorder="1" applyAlignment="1">
      <alignment horizontal="center" vertical="center"/>
    </xf>
    <xf numFmtId="0" fontId="42" fillId="0" borderId="4" xfId="2" applyFont="1" applyFill="1" applyBorder="1" applyAlignment="1">
      <alignment horizontal="center" vertical="center"/>
    </xf>
    <xf numFmtId="0" fontId="42" fillId="0" borderId="4" xfId="2" applyFont="1" applyFill="1" applyBorder="1" applyAlignment="1">
      <alignment horizontal="left" vertical="center"/>
    </xf>
    <xf numFmtId="166" fontId="107" fillId="0" borderId="4" xfId="40" applyNumberFormat="1" applyFont="1" applyFill="1" applyBorder="1" applyAlignment="1">
      <alignment horizontal="center" vertical="center"/>
    </xf>
    <xf numFmtId="166" fontId="22" fillId="0" borderId="4" xfId="40" applyNumberFormat="1" applyFont="1" applyFill="1" applyBorder="1" applyAlignment="1">
      <alignment horizontal="center" vertical="center"/>
    </xf>
    <xf numFmtId="3" fontId="20" fillId="0" borderId="20" xfId="2" applyNumberFormat="1" applyFont="1" applyFill="1" applyBorder="1" applyAlignment="1">
      <alignment vertical="center"/>
    </xf>
    <xf numFmtId="0" fontId="42" fillId="0" borderId="4" xfId="2" applyFont="1" applyFill="1" applyBorder="1" applyAlignment="1">
      <alignment horizontal="left" vertical="center" wrapText="1"/>
    </xf>
    <xf numFmtId="166" fontId="20" fillId="0" borderId="4" xfId="40" applyNumberFormat="1" applyFont="1" applyFill="1" applyBorder="1" applyAlignment="1">
      <alignment horizontal="center" vertical="center"/>
    </xf>
    <xf numFmtId="0" fontId="42" fillId="0" borderId="4" xfId="2" applyNumberFormat="1" applyFont="1" applyFill="1" applyBorder="1" applyAlignment="1">
      <alignment horizontal="left" vertical="center" wrapText="1"/>
    </xf>
    <xf numFmtId="0" fontId="42" fillId="0" borderId="20" xfId="2" applyFont="1" applyFill="1" applyBorder="1" applyAlignment="1">
      <alignment horizontal="center" vertical="center"/>
    </xf>
    <xf numFmtId="3" fontId="42" fillId="0" borderId="20" xfId="2" applyNumberFormat="1" applyFont="1" applyFill="1" applyBorder="1" applyAlignment="1">
      <alignment horizontal="left" vertical="center" wrapText="1"/>
    </xf>
    <xf numFmtId="166" fontId="42" fillId="0" borderId="20" xfId="40" applyNumberFormat="1" applyFont="1" applyFill="1" applyBorder="1" applyAlignment="1">
      <alignment horizontal="center" vertical="center"/>
    </xf>
    <xf numFmtId="166" fontId="20" fillId="0" borderId="20" xfId="40" applyNumberFormat="1" applyFont="1" applyFill="1" applyBorder="1" applyAlignment="1">
      <alignment horizontal="center" vertical="center"/>
    </xf>
    <xf numFmtId="0" fontId="103" fillId="0" borderId="1" xfId="2" applyFont="1" applyFill="1" applyBorder="1" applyAlignment="1">
      <alignment vertical="center" wrapText="1"/>
    </xf>
    <xf numFmtId="166" fontId="103" fillId="0" borderId="1" xfId="40" applyNumberFormat="1" applyFont="1" applyFill="1" applyBorder="1" applyAlignment="1">
      <alignment horizontal="center" vertical="center"/>
    </xf>
    <xf numFmtId="3" fontId="51" fillId="0" borderId="4" xfId="2" applyNumberFormat="1" applyFont="1" applyFill="1" applyBorder="1" applyAlignment="1">
      <alignment vertical="center"/>
    </xf>
    <xf numFmtId="0" fontId="42" fillId="0" borderId="16" xfId="2" applyFont="1" applyFill="1" applyBorder="1" applyAlignment="1">
      <alignment vertical="center"/>
    </xf>
    <xf numFmtId="166" fontId="45" fillId="0" borderId="16" xfId="40" applyNumberFormat="1" applyFont="1" applyFill="1" applyBorder="1" applyAlignment="1">
      <alignment horizontal="center" vertical="center"/>
    </xf>
    <xf numFmtId="166" fontId="108" fillId="0" borderId="16" xfId="40" applyNumberFormat="1" applyFont="1" applyFill="1" applyBorder="1" applyAlignment="1">
      <alignment horizontal="center" vertical="center" wrapText="1"/>
    </xf>
    <xf numFmtId="3" fontId="21" fillId="0" borderId="4" xfId="2" applyNumberFormat="1" applyFont="1" applyFill="1" applyBorder="1" applyAlignment="1">
      <alignment vertical="center"/>
    </xf>
    <xf numFmtId="0" fontId="42" fillId="0" borderId="20" xfId="2" applyFont="1" applyFill="1" applyBorder="1" applyAlignment="1">
      <alignment vertical="center"/>
    </xf>
    <xf numFmtId="166" fontId="51" fillId="0" borderId="20" xfId="40" applyNumberFormat="1" applyFont="1" applyFill="1" applyBorder="1" applyAlignment="1">
      <alignment horizontal="center" vertical="center"/>
    </xf>
    <xf numFmtId="166" fontId="107" fillId="0" borderId="20" xfId="40" applyNumberFormat="1" applyFont="1" applyFill="1" applyBorder="1" applyAlignment="1">
      <alignment horizontal="center" vertical="center"/>
    </xf>
    <xf numFmtId="3" fontId="109" fillId="0" borderId="4" xfId="2" applyNumberFormat="1" applyFont="1" applyFill="1" applyBorder="1" applyAlignment="1">
      <alignment vertical="center"/>
    </xf>
    <xf numFmtId="0" fontId="103" fillId="0" borderId="1" xfId="2" applyFont="1" applyFill="1" applyBorder="1" applyAlignment="1">
      <alignment vertical="center"/>
    </xf>
    <xf numFmtId="3" fontId="51" fillId="0" borderId="4" xfId="2" applyNumberFormat="1" applyFont="1" applyFill="1" applyBorder="1" applyAlignment="1">
      <alignment horizontal="right" vertical="center"/>
    </xf>
    <xf numFmtId="166" fontId="51" fillId="0" borderId="16" xfId="40" applyNumberFormat="1" applyFont="1" applyFill="1" applyBorder="1" applyAlignment="1">
      <alignment horizontal="center" vertical="center"/>
    </xf>
    <xf numFmtId="166" fontId="107" fillId="0" borderId="16" xfId="40" applyNumberFormat="1" applyFont="1" applyFill="1" applyBorder="1" applyAlignment="1">
      <alignment horizontal="center" vertical="center"/>
    </xf>
    <xf numFmtId="0" fontId="42" fillId="0" borderId="4" xfId="2" applyFont="1" applyFill="1" applyBorder="1" applyAlignment="1">
      <alignment vertical="center"/>
    </xf>
    <xf numFmtId="166" fontId="51" fillId="0" borderId="4" xfId="40" applyNumberFormat="1" applyFont="1" applyFill="1" applyBorder="1" applyAlignment="1">
      <alignment horizontal="center" vertical="center"/>
    </xf>
    <xf numFmtId="0" fontId="103" fillId="0" borderId="1" xfId="2" applyFont="1" applyFill="1" applyBorder="1" applyAlignment="1">
      <alignment horizontal="left" vertical="center" wrapText="1"/>
    </xf>
    <xf numFmtId="3" fontId="109" fillId="0" borderId="4" xfId="2" applyNumberFormat="1" applyFont="1" applyFill="1" applyBorder="1" applyAlignment="1">
      <alignment horizontal="right" vertical="center"/>
    </xf>
    <xf numFmtId="0" fontId="42" fillId="0" borderId="16" xfId="2" applyFont="1" applyFill="1" applyBorder="1" applyAlignment="1">
      <alignment horizontal="center" vertical="center" wrapText="1"/>
    </xf>
    <xf numFmtId="0" fontId="42" fillId="0" borderId="16" xfId="2" applyFont="1" applyFill="1" applyBorder="1" applyAlignment="1">
      <alignment vertical="center" wrapText="1"/>
    </xf>
    <xf numFmtId="3" fontId="42" fillId="0" borderId="4" xfId="2" applyNumberFormat="1" applyFont="1" applyFill="1" applyBorder="1" applyAlignment="1">
      <alignment horizontal="center" vertical="center" wrapText="1"/>
    </xf>
    <xf numFmtId="0" fontId="42" fillId="0" borderId="4" xfId="2" applyFont="1" applyFill="1" applyBorder="1" applyAlignment="1">
      <alignment vertical="center" wrapText="1"/>
    </xf>
    <xf numFmtId="0" fontId="103" fillId="0" borderId="4" xfId="2" applyFont="1" applyFill="1" applyBorder="1" applyAlignment="1">
      <alignment horizontal="center" vertical="center"/>
    </xf>
    <xf numFmtId="0" fontId="103" fillId="0" borderId="4" xfId="2" applyFont="1" applyFill="1" applyBorder="1" applyAlignment="1">
      <alignment vertical="center" wrapText="1"/>
    </xf>
    <xf numFmtId="166" fontId="103" fillId="0" borderId="4" xfId="40" applyNumberFormat="1" applyFont="1" applyFill="1" applyBorder="1" applyAlignment="1">
      <alignment horizontal="center" vertical="center"/>
    </xf>
    <xf numFmtId="0" fontId="42" fillId="0" borderId="17" xfId="2" applyFont="1" applyFill="1" applyBorder="1" applyAlignment="1">
      <alignment horizontal="center" vertical="center"/>
    </xf>
    <xf numFmtId="0" fontId="42" fillId="0" borderId="17" xfId="2" applyFont="1" applyFill="1" applyBorder="1" applyAlignment="1">
      <alignment vertical="center"/>
    </xf>
    <xf numFmtId="166" fontId="42" fillId="0" borderId="17" xfId="40" applyNumberFormat="1" applyFont="1" applyFill="1" applyBorder="1" applyAlignment="1">
      <alignment horizontal="center" vertical="center"/>
    </xf>
    <xf numFmtId="0" fontId="103" fillId="0" borderId="14" xfId="2" applyFont="1" applyFill="1" applyBorder="1" applyAlignment="1">
      <alignment horizontal="center" vertical="center"/>
    </xf>
    <xf numFmtId="0" fontId="103" fillId="0" borderId="14" xfId="2" applyFont="1" applyFill="1" applyBorder="1" applyAlignment="1">
      <alignment vertical="center"/>
    </xf>
    <xf numFmtId="3" fontId="20" fillId="0" borderId="0" xfId="2" applyNumberFormat="1" applyFont="1" applyFill="1" applyBorder="1" applyAlignment="1">
      <alignment vertical="center"/>
    </xf>
    <xf numFmtId="0" fontId="42" fillId="0" borderId="5" xfId="2" applyFont="1" applyFill="1" applyBorder="1" applyAlignment="1">
      <alignment horizontal="center" vertical="center"/>
    </xf>
    <xf numFmtId="0" fontId="42" fillId="0" borderId="5" xfId="0" applyFont="1" applyFill="1" applyBorder="1" applyAlignment="1">
      <alignment vertical="center" wrapText="1"/>
    </xf>
    <xf numFmtId="0" fontId="42" fillId="0" borderId="14" xfId="2" applyFont="1" applyFill="1" applyBorder="1" applyAlignment="1">
      <alignment horizontal="center" vertical="center"/>
    </xf>
    <xf numFmtId="0" fontId="42" fillId="0" borderId="14" xfId="0" applyFont="1" applyFill="1" applyBorder="1" applyAlignment="1">
      <alignment vertical="center" wrapText="1"/>
    </xf>
    <xf numFmtId="166" fontId="42" fillId="0" borderId="1" xfId="40" applyNumberFormat="1" applyFont="1" applyFill="1" applyBorder="1" applyAlignment="1">
      <alignment horizontal="center" vertical="center"/>
    </xf>
    <xf numFmtId="0" fontId="19" fillId="0" borderId="0" xfId="2" applyFont="1" applyFill="1" applyBorder="1" applyAlignment="1">
      <alignment vertical="center"/>
    </xf>
    <xf numFmtId="1" fontId="19"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3" fontId="19" fillId="0" borderId="0" xfId="2" applyNumberFormat="1" applyFont="1" applyFill="1" applyBorder="1" applyAlignment="1"/>
    <xf numFmtId="0" fontId="19" fillId="0" borderId="0" xfId="2" applyFont="1" applyFill="1" applyAlignment="1">
      <alignment vertical="center"/>
    </xf>
    <xf numFmtId="0" fontId="19" fillId="0" borderId="0" xfId="2" applyFont="1" applyFill="1"/>
    <xf numFmtId="3" fontId="19" fillId="0" borderId="0" xfId="2" applyNumberFormat="1" applyFont="1" applyFill="1" applyAlignment="1">
      <alignment horizontal="right"/>
    </xf>
    <xf numFmtId="0" fontId="27" fillId="0" borderId="0" xfId="2" applyFont="1" applyFill="1" applyAlignment="1"/>
    <xf numFmtId="0" fontId="76" fillId="0" borderId="0" xfId="2" applyFont="1" applyFill="1" applyAlignment="1"/>
    <xf numFmtId="167" fontId="19" fillId="0" borderId="0" xfId="40" applyNumberFormat="1" applyFont="1" applyFill="1"/>
    <xf numFmtId="2" fontId="12" fillId="0" borderId="5" xfId="2" applyNumberFormat="1" applyFont="1" applyFill="1" applyBorder="1" applyAlignment="1">
      <alignment horizontal="center" vertical="center" wrapText="1"/>
    </xf>
    <xf numFmtId="0" fontId="12" fillId="0" borderId="5" xfId="2" applyFont="1" applyFill="1" applyBorder="1" applyAlignment="1">
      <alignment horizontal="center" vertical="center" wrapText="1"/>
    </xf>
    <xf numFmtId="3" fontId="12" fillId="0" borderId="11" xfId="2" applyNumberFormat="1" applyFont="1" applyFill="1" applyBorder="1" applyAlignment="1">
      <alignment horizontal="right" vertical="center" wrapText="1"/>
    </xf>
    <xf numFmtId="3" fontId="14" fillId="0" borderId="4" xfId="2" applyNumberFormat="1" applyFont="1" applyFill="1" applyBorder="1" applyAlignment="1">
      <alignment horizontal="right" vertical="center" wrapText="1"/>
    </xf>
    <xf numFmtId="3" fontId="14" fillId="0" borderId="20" xfId="2" applyNumberFormat="1" applyFont="1" applyFill="1" applyBorder="1" applyAlignment="1">
      <alignment horizontal="right" vertical="center" wrapText="1"/>
    </xf>
    <xf numFmtId="3" fontId="14" fillId="0" borderId="16" xfId="2" applyNumberFormat="1" applyFont="1" applyFill="1" applyBorder="1" applyAlignment="1">
      <alignment horizontal="right" vertical="center" wrapText="1"/>
    </xf>
    <xf numFmtId="3" fontId="14" fillId="0" borderId="17" xfId="2" applyNumberFormat="1" applyFont="1" applyFill="1" applyBorder="1" applyAlignment="1">
      <alignment horizontal="right" vertical="center" wrapText="1"/>
    </xf>
    <xf numFmtId="166" fontId="14" fillId="0" borderId="5" xfId="40" applyNumberFormat="1" applyFont="1" applyFill="1" applyBorder="1" applyAlignment="1">
      <alignment horizontal="right" vertical="center" wrapText="1"/>
    </xf>
    <xf numFmtId="43" fontId="14" fillId="0" borderId="4" xfId="40" applyFont="1" applyFill="1" applyBorder="1" applyAlignment="1">
      <alignment horizontal="right" vertical="center" wrapText="1"/>
    </xf>
    <xf numFmtId="166" fontId="14" fillId="0" borderId="4" xfId="40" applyNumberFormat="1" applyFont="1" applyFill="1" applyBorder="1" applyAlignment="1">
      <alignment horizontal="right" vertical="center" wrapText="1"/>
    </xf>
    <xf numFmtId="166" fontId="14" fillId="0" borderId="14" xfId="40" applyNumberFormat="1" applyFont="1" applyFill="1" applyBorder="1" applyAlignment="1">
      <alignment horizontal="right" vertical="center" wrapText="1"/>
    </xf>
    <xf numFmtId="0" fontId="14" fillId="0" borderId="0" xfId="2" applyFont="1" applyFill="1"/>
    <xf numFmtId="0" fontId="14" fillId="0" borderId="0" xfId="2" applyFont="1" applyFill="1" applyAlignment="1">
      <alignment horizontal="center" vertical="center"/>
    </xf>
    <xf numFmtId="0" fontId="12" fillId="0" borderId="1" xfId="2" applyFont="1" applyFill="1" applyBorder="1" applyAlignment="1">
      <alignment horizontal="center" vertical="center" wrapText="1"/>
    </xf>
    <xf numFmtId="3" fontId="12" fillId="0" borderId="1" xfId="2" applyNumberFormat="1" applyFont="1" applyFill="1" applyBorder="1" applyAlignment="1">
      <alignment horizontal="center" vertical="center" wrapText="1"/>
    </xf>
    <xf numFmtId="1" fontId="12" fillId="0" borderId="1" xfId="2" applyNumberFormat="1" applyFont="1" applyFill="1" applyBorder="1" applyAlignment="1">
      <alignment horizontal="center" vertical="center" wrapText="1"/>
    </xf>
    <xf numFmtId="0" fontId="12" fillId="0" borderId="1" xfId="2" applyFont="1" applyFill="1" applyBorder="1" applyAlignment="1">
      <alignment horizontal="center" vertical="center"/>
    </xf>
    <xf numFmtId="0" fontId="19" fillId="0" borderId="0" xfId="2" applyFont="1" applyFill="1" applyBorder="1"/>
    <xf numFmtId="0" fontId="12" fillId="0" borderId="11" xfId="2" applyFont="1" applyFill="1" applyBorder="1" applyAlignment="1">
      <alignment horizontal="center" vertical="center" wrapText="1"/>
    </xf>
    <xf numFmtId="166" fontId="12" fillId="0" borderId="11" xfId="40" applyNumberFormat="1" applyFont="1" applyFill="1" applyBorder="1" applyAlignment="1">
      <alignment horizontal="right" vertical="center" wrapText="1"/>
    </xf>
    <xf numFmtId="3" fontId="12" fillId="0" borderId="1" xfId="2" applyNumberFormat="1" applyFont="1" applyFill="1" applyBorder="1" applyAlignment="1">
      <alignment horizontal="right" vertical="center" wrapText="1"/>
    </xf>
    <xf numFmtId="167" fontId="12" fillId="0" borderId="1" xfId="40" applyNumberFormat="1" applyFont="1" applyFill="1" applyBorder="1" applyAlignment="1">
      <alignment horizontal="right" vertical="center" wrapText="1"/>
    </xf>
    <xf numFmtId="0" fontId="14" fillId="0" borderId="16" xfId="2" applyFont="1" applyFill="1" applyBorder="1" applyAlignment="1">
      <alignment horizontal="center" vertical="center"/>
    </xf>
    <xf numFmtId="0" fontId="14" fillId="0" borderId="16" xfId="2" applyFont="1" applyFill="1" applyBorder="1" applyAlignment="1">
      <alignment vertical="center"/>
    </xf>
    <xf numFmtId="3" fontId="14" fillId="0" borderId="16" xfId="2" applyNumberFormat="1" applyFont="1" applyFill="1" applyBorder="1" applyAlignment="1">
      <alignment horizontal="right" vertical="center"/>
    </xf>
    <xf numFmtId="0" fontId="14" fillId="0" borderId="4" xfId="2" applyFont="1" applyFill="1" applyBorder="1" applyAlignment="1">
      <alignment horizontal="center" vertical="center"/>
    </xf>
    <xf numFmtId="0" fontId="14" fillId="0" borderId="4" xfId="2" applyFont="1" applyFill="1" applyBorder="1" applyAlignment="1">
      <alignment vertical="center"/>
    </xf>
    <xf numFmtId="3" fontId="12" fillId="0" borderId="4" xfId="2" applyNumberFormat="1" applyFont="1" applyFill="1" applyBorder="1" applyAlignment="1">
      <alignment horizontal="right" vertical="center" wrapText="1"/>
    </xf>
    <xf numFmtId="0" fontId="84" fillId="0" borderId="0" xfId="2" applyFont="1" applyFill="1"/>
    <xf numFmtId="0" fontId="14" fillId="0" borderId="4" xfId="2" applyFont="1" applyFill="1" applyBorder="1" applyAlignment="1">
      <alignment vertical="center" wrapText="1"/>
    </xf>
    <xf numFmtId="0" fontId="14" fillId="0" borderId="4" xfId="2" applyNumberFormat="1" applyFont="1" applyFill="1" applyBorder="1" applyAlignment="1">
      <alignment horizontal="left" vertical="center" wrapText="1"/>
    </xf>
    <xf numFmtId="3" fontId="14" fillId="0" borderId="20" xfId="2" applyNumberFormat="1" applyFont="1" applyFill="1" applyBorder="1" applyAlignment="1">
      <alignment horizontal="center" vertical="center"/>
    </xf>
    <xf numFmtId="3" fontId="14" fillId="0" borderId="20" xfId="2" applyNumberFormat="1" applyFont="1" applyFill="1" applyBorder="1" applyAlignment="1">
      <alignment horizontal="left" vertical="center" wrapText="1"/>
    </xf>
    <xf numFmtId="3" fontId="14" fillId="0" borderId="20" xfId="2" applyNumberFormat="1" applyFont="1" applyFill="1" applyBorder="1" applyAlignment="1">
      <alignment horizontal="right" vertical="center"/>
    </xf>
    <xf numFmtId="0" fontId="15" fillId="0" borderId="1" xfId="2" applyFont="1" applyFill="1" applyBorder="1" applyAlignment="1">
      <alignment horizontal="center" vertical="center"/>
    </xf>
    <xf numFmtId="0" fontId="15" fillId="0" borderId="1" xfId="2" applyFont="1" applyFill="1" applyBorder="1" applyAlignment="1">
      <alignment vertical="center" wrapText="1"/>
    </xf>
    <xf numFmtId="3" fontId="15" fillId="0" borderId="1" xfId="2" applyNumberFormat="1" applyFont="1" applyFill="1" applyBorder="1" applyAlignment="1">
      <alignment horizontal="right" vertical="center"/>
    </xf>
    <xf numFmtId="43" fontId="15" fillId="0" borderId="1" xfId="40" applyFont="1" applyFill="1" applyBorder="1" applyAlignment="1">
      <alignment horizontal="right" vertical="center"/>
    </xf>
    <xf numFmtId="0" fontId="14" fillId="0" borderId="20" xfId="2" applyFont="1" applyFill="1" applyBorder="1" applyAlignment="1">
      <alignment horizontal="center" vertical="center"/>
    </xf>
    <xf numFmtId="0" fontId="14" fillId="0" borderId="20" xfId="2" applyFont="1" applyFill="1" applyBorder="1" applyAlignment="1">
      <alignment vertical="center"/>
    </xf>
    <xf numFmtId="0" fontId="15" fillId="0" borderId="1" xfId="2" applyFont="1" applyFill="1" applyBorder="1" applyAlignment="1">
      <alignment vertical="center"/>
    </xf>
    <xf numFmtId="0" fontId="15" fillId="0" borderId="1" xfId="2" applyFont="1" applyFill="1" applyBorder="1" applyAlignment="1">
      <alignment horizontal="left" vertical="center" wrapText="1"/>
    </xf>
    <xf numFmtId="0" fontId="14" fillId="0" borderId="16" xfId="2" applyFont="1" applyFill="1" applyBorder="1" applyAlignment="1">
      <alignment horizontal="center" vertical="center" wrapText="1"/>
    </xf>
    <xf numFmtId="0" fontId="14" fillId="0" borderId="16" xfId="2" applyFont="1" applyFill="1" applyBorder="1" applyAlignment="1">
      <alignment vertical="center" wrapText="1"/>
    </xf>
    <xf numFmtId="0" fontId="14" fillId="0" borderId="20" xfId="2" applyFont="1" applyFill="1" applyBorder="1" applyAlignment="1">
      <alignment vertical="center" wrapText="1"/>
    </xf>
    <xf numFmtId="3" fontId="15" fillId="0" borderId="1" xfId="2" applyNumberFormat="1" applyFont="1" applyFill="1" applyBorder="1" applyAlignment="1">
      <alignment horizontal="right" vertical="center" wrapText="1"/>
    </xf>
    <xf numFmtId="43" fontId="15" fillId="0" borderId="1" xfId="40" applyFont="1" applyFill="1" applyBorder="1" applyAlignment="1">
      <alignment horizontal="right" vertical="center" wrapText="1"/>
    </xf>
    <xf numFmtId="43" fontId="14" fillId="0" borderId="16" xfId="40" applyFont="1" applyFill="1" applyBorder="1" applyAlignment="1">
      <alignment horizontal="right" vertical="center"/>
    </xf>
    <xf numFmtId="166" fontId="14" fillId="0" borderId="16" xfId="40" applyNumberFormat="1" applyFont="1" applyFill="1" applyBorder="1" applyAlignment="1">
      <alignment horizontal="right" vertical="center"/>
    </xf>
    <xf numFmtId="0" fontId="14" fillId="0" borderId="16" xfId="2" applyFont="1" applyFill="1" applyBorder="1" applyAlignment="1">
      <alignment horizontal="right" vertical="center"/>
    </xf>
    <xf numFmtId="0" fontId="14" fillId="0" borderId="17" xfId="2" applyFont="1" applyFill="1" applyBorder="1" applyAlignment="1">
      <alignment horizontal="center" vertical="center"/>
    </xf>
    <xf numFmtId="0" fontId="14" fillId="0" borderId="17" xfId="2" applyFont="1" applyFill="1" applyBorder="1" applyAlignment="1">
      <alignment vertical="center"/>
    </xf>
    <xf numFmtId="3" fontId="14" fillId="0" borderId="17" xfId="2" applyNumberFormat="1" applyFont="1" applyFill="1" applyBorder="1" applyAlignment="1">
      <alignment horizontal="right" vertical="center"/>
    </xf>
    <xf numFmtId="43" fontId="14" fillId="0" borderId="17" xfId="40" applyFont="1" applyFill="1" applyBorder="1" applyAlignment="1">
      <alignment horizontal="right" vertical="center"/>
    </xf>
    <xf numFmtId="166" fontId="14" fillId="0" borderId="17" xfId="40" applyNumberFormat="1" applyFont="1" applyFill="1" applyBorder="1" applyAlignment="1">
      <alignment horizontal="right" vertical="center"/>
    </xf>
    <xf numFmtId="0" fontId="15" fillId="0" borderId="14" xfId="2" applyFont="1" applyFill="1" applyBorder="1" applyAlignment="1">
      <alignment horizontal="center" vertical="center"/>
    </xf>
    <xf numFmtId="0" fontId="15" fillId="0" borderId="14" xfId="2" applyFont="1" applyFill="1" applyBorder="1" applyAlignment="1">
      <alignment vertical="center"/>
    </xf>
    <xf numFmtId="166" fontId="15" fillId="0" borderId="1" xfId="40" applyNumberFormat="1" applyFont="1" applyFill="1" applyBorder="1" applyAlignment="1">
      <alignment horizontal="right" vertical="center"/>
    </xf>
    <xf numFmtId="0" fontId="14" fillId="0" borderId="5" xfId="2" applyFont="1" applyFill="1" applyBorder="1" applyAlignment="1">
      <alignment horizontal="center" vertical="center"/>
    </xf>
    <xf numFmtId="0" fontId="14" fillId="0" borderId="5" xfId="0" applyFont="1" applyFill="1" applyBorder="1" applyAlignment="1">
      <alignment vertical="center" wrapText="1"/>
    </xf>
    <xf numFmtId="3" fontId="14" fillId="0" borderId="5" xfId="2" applyNumberFormat="1" applyFont="1" applyFill="1" applyBorder="1" applyAlignment="1">
      <alignment horizontal="right" vertical="center"/>
    </xf>
    <xf numFmtId="166" fontId="14" fillId="0" borderId="5" xfId="40" applyNumberFormat="1" applyFont="1" applyFill="1" applyBorder="1" applyAlignment="1">
      <alignment horizontal="right" vertical="center"/>
    </xf>
    <xf numFmtId="43" fontId="14" fillId="0" borderId="5" xfId="40" applyFont="1" applyFill="1" applyBorder="1" applyAlignment="1">
      <alignment horizontal="right" vertical="center"/>
    </xf>
    <xf numFmtId="0" fontId="14" fillId="0" borderId="5" xfId="2" applyFont="1" applyFill="1" applyBorder="1" applyAlignment="1">
      <alignment horizontal="right" vertical="center"/>
    </xf>
    <xf numFmtId="43" fontId="14" fillId="0" borderId="4" xfId="40" applyFont="1" applyFill="1" applyBorder="1" applyAlignment="1">
      <alignment horizontal="right" vertical="center"/>
    </xf>
    <xf numFmtId="166" fontId="14" fillId="0" borderId="4" xfId="40" applyNumberFormat="1" applyFont="1" applyFill="1" applyBorder="1" applyAlignment="1">
      <alignment horizontal="right" vertical="center"/>
    </xf>
    <xf numFmtId="0" fontId="14" fillId="0" borderId="4" xfId="2" applyFont="1" applyFill="1" applyBorder="1" applyAlignment="1">
      <alignment horizontal="right" vertical="center"/>
    </xf>
    <xf numFmtId="0" fontId="14" fillId="0" borderId="4" xfId="0" applyFont="1" applyFill="1" applyBorder="1" applyAlignment="1">
      <alignment horizontal="justify" vertical="center" wrapText="1"/>
    </xf>
    <xf numFmtId="0" fontId="14" fillId="0" borderId="14" xfId="2" applyFont="1" applyFill="1" applyBorder="1" applyAlignment="1">
      <alignment horizontal="center" vertical="center"/>
    </xf>
    <xf numFmtId="3" fontId="14" fillId="0" borderId="14" xfId="2" applyNumberFormat="1" applyFont="1" applyFill="1" applyBorder="1" applyAlignment="1">
      <alignment horizontal="right" vertical="center"/>
    </xf>
    <xf numFmtId="43" fontId="14" fillId="0" borderId="14" xfId="40" applyFont="1" applyFill="1" applyBorder="1" applyAlignment="1">
      <alignment horizontal="right" vertical="center"/>
    </xf>
    <xf numFmtId="166" fontId="14" fillId="0" borderId="14" xfId="40" applyNumberFormat="1" applyFont="1" applyFill="1" applyBorder="1" applyAlignment="1">
      <alignment horizontal="right" vertical="center"/>
    </xf>
    <xf numFmtId="0" fontId="14" fillId="0" borderId="14" xfId="2" applyFont="1" applyFill="1" applyBorder="1" applyAlignment="1">
      <alignment horizontal="right" vertical="center"/>
    </xf>
    <xf numFmtId="0" fontId="19" fillId="0" borderId="0" xfId="2" applyFont="1" applyFill="1" applyAlignment="1">
      <alignment horizontal="center" vertical="center"/>
    </xf>
    <xf numFmtId="3" fontId="19" fillId="0" borderId="0" xfId="2" applyNumberFormat="1" applyFont="1" applyFill="1"/>
    <xf numFmtId="2" fontId="19" fillId="0" borderId="0" xfId="2" applyNumberFormat="1" applyFont="1" applyFill="1"/>
    <xf numFmtId="0" fontId="19" fillId="0" borderId="0" xfId="54" applyFont="1" applyFill="1"/>
    <xf numFmtId="0" fontId="13" fillId="0" borderId="0" xfId="54" applyFont="1" applyFill="1" applyAlignment="1">
      <alignment horizontal="right" vertical="center"/>
    </xf>
    <xf numFmtId="0" fontId="69" fillId="0" borderId="1" xfId="54" applyFont="1" applyFill="1" applyBorder="1" applyAlignment="1">
      <alignment horizontal="center" vertical="center" wrapText="1"/>
    </xf>
    <xf numFmtId="0" fontId="69" fillId="0" borderId="15" xfId="54" applyFont="1" applyFill="1" applyBorder="1" applyAlignment="1">
      <alignment vertical="center" wrapText="1"/>
    </xf>
    <xf numFmtId="0" fontId="69" fillId="0" borderId="15" xfId="54" applyFont="1" applyFill="1" applyBorder="1" applyAlignment="1">
      <alignment horizontal="center" vertical="center" wrapText="1"/>
    </xf>
    <xf numFmtId="166" fontId="69" fillId="0" borderId="15" xfId="3" applyNumberFormat="1" applyFont="1" applyFill="1" applyBorder="1" applyAlignment="1">
      <alignment horizontal="center" vertical="center" wrapText="1"/>
    </xf>
    <xf numFmtId="9" fontId="69" fillId="0" borderId="4" xfId="59" applyFont="1" applyFill="1" applyBorder="1" applyAlignment="1">
      <alignment horizontal="center" vertical="center" wrapText="1"/>
    </xf>
    <xf numFmtId="0" fontId="84" fillId="0" borderId="4" xfId="54" applyFont="1" applyFill="1" applyBorder="1" applyAlignment="1">
      <alignment horizontal="center" vertical="center" wrapText="1"/>
    </xf>
    <xf numFmtId="175" fontId="84" fillId="0" borderId="4" xfId="60" applyNumberFormat="1" applyFont="1" applyFill="1" applyBorder="1" applyAlignment="1">
      <alignment vertical="center"/>
    </xf>
    <xf numFmtId="166" fontId="84" fillId="0" borderId="4" xfId="3" applyNumberFormat="1" applyFont="1" applyFill="1" applyBorder="1" applyAlignment="1">
      <alignment horizontal="center" vertical="center" wrapText="1"/>
    </xf>
    <xf numFmtId="9" fontId="84" fillId="0" borderId="4" xfId="59" applyFont="1" applyFill="1" applyBorder="1" applyAlignment="1">
      <alignment horizontal="center" vertical="center" wrapText="1"/>
    </xf>
    <xf numFmtId="0" fontId="84" fillId="0" borderId="17" xfId="54" applyFont="1" applyFill="1" applyBorder="1" applyAlignment="1">
      <alignment horizontal="center" vertical="center" wrapText="1"/>
    </xf>
    <xf numFmtId="175" fontId="84" fillId="0" borderId="17" xfId="60" applyNumberFormat="1" applyFont="1" applyFill="1" applyBorder="1" applyAlignment="1">
      <alignment vertical="center"/>
    </xf>
    <xf numFmtId="166" fontId="84" fillId="0" borderId="17" xfId="3" applyNumberFormat="1" applyFont="1" applyFill="1" applyBorder="1" applyAlignment="1">
      <alignment horizontal="center" vertical="center" wrapText="1"/>
    </xf>
    <xf numFmtId="9" fontId="84" fillId="0" borderId="17" xfId="59" applyFont="1" applyFill="1" applyBorder="1" applyAlignment="1">
      <alignment horizontal="center" vertical="center" wrapText="1"/>
    </xf>
    <xf numFmtId="0" fontId="12" fillId="0" borderId="0" xfId="0" applyFont="1" applyFill="1" applyAlignment="1">
      <alignment vertical="center"/>
    </xf>
    <xf numFmtId="9" fontId="47" fillId="0" borderId="4" xfId="59" applyFont="1" applyFill="1" applyBorder="1" applyAlignment="1">
      <alignment vertical="center" wrapText="1"/>
    </xf>
    <xf numFmtId="9" fontId="47" fillId="0" borderId="17" xfId="59" applyFont="1" applyFill="1" applyBorder="1" applyAlignment="1">
      <alignment vertical="center" wrapText="1"/>
    </xf>
    <xf numFmtId="166" fontId="19" fillId="0" borderId="0" xfId="54" applyNumberFormat="1" applyFont="1" applyFill="1"/>
    <xf numFmtId="0" fontId="12" fillId="0" borderId="1" xfId="54" applyFont="1" applyFill="1" applyBorder="1" applyAlignment="1">
      <alignment horizontal="center" vertical="center" wrapText="1"/>
    </xf>
    <xf numFmtId="0" fontId="12" fillId="0" borderId="15" xfId="54" applyFont="1" applyFill="1" applyBorder="1" applyAlignment="1">
      <alignment horizontal="center" vertical="center" wrapText="1"/>
    </xf>
    <xf numFmtId="166" fontId="12" fillId="0" borderId="15" xfId="3" applyNumberFormat="1" applyFont="1" applyFill="1" applyBorder="1" applyAlignment="1">
      <alignment horizontal="center" vertical="center" wrapText="1"/>
    </xf>
    <xf numFmtId="166" fontId="12" fillId="0" borderId="16" xfId="3" applyNumberFormat="1" applyFont="1" applyFill="1" applyBorder="1" applyAlignment="1">
      <alignment horizontal="center" vertical="center" wrapText="1"/>
    </xf>
    <xf numFmtId="0" fontId="14" fillId="0" borderId="4" xfId="54" applyFont="1" applyFill="1" applyBorder="1" applyAlignment="1">
      <alignment horizontal="center" vertical="center" wrapText="1"/>
    </xf>
    <xf numFmtId="175" fontId="14" fillId="0" borderId="4" xfId="60" applyNumberFormat="1" applyFont="1" applyFill="1" applyBorder="1" applyAlignment="1">
      <alignment vertical="center"/>
    </xf>
    <xf numFmtId="166" fontId="14" fillId="0" borderId="4" xfId="3" applyNumberFormat="1" applyFont="1" applyFill="1" applyBorder="1" applyAlignment="1">
      <alignment horizontal="center" vertical="center" wrapText="1"/>
    </xf>
    <xf numFmtId="166" fontId="19" fillId="0" borderId="0" xfId="40" applyNumberFormat="1" applyFont="1" applyFill="1"/>
    <xf numFmtId="0" fontId="14" fillId="0" borderId="17" xfId="54" applyFont="1" applyFill="1" applyBorder="1" applyAlignment="1">
      <alignment horizontal="center" vertical="center" wrapText="1"/>
    </xf>
    <xf numFmtId="175" fontId="14" fillId="0" borderId="17" xfId="60" applyNumberFormat="1" applyFont="1" applyFill="1" applyBorder="1" applyAlignment="1">
      <alignment vertical="center"/>
    </xf>
    <xf numFmtId="166" fontId="14" fillId="0" borderId="17" xfId="3" applyNumberFormat="1" applyFont="1" applyFill="1" applyBorder="1" applyAlignment="1">
      <alignment horizontal="center" vertical="center" wrapText="1"/>
    </xf>
    <xf numFmtId="3" fontId="12" fillId="0" borderId="20" xfId="2" applyNumberFormat="1" applyFont="1" applyFill="1" applyBorder="1" applyAlignment="1">
      <alignment horizontal="center" vertical="center"/>
    </xf>
    <xf numFmtId="0" fontId="14" fillId="0" borderId="20" xfId="41" applyFont="1" applyFill="1" applyBorder="1" applyAlignment="1">
      <alignment vertical="center" wrapText="1"/>
    </xf>
    <xf numFmtId="172" fontId="14" fillId="0" borderId="20" xfId="2" applyNumberFormat="1" applyFont="1" applyFill="1" applyBorder="1" applyAlignment="1">
      <alignment vertical="center"/>
    </xf>
    <xf numFmtId="1" fontId="45" fillId="3" borderId="4" xfId="3" applyNumberFormat="1" applyFont="1" applyFill="1" applyBorder="1" applyAlignment="1">
      <alignment horizontal="center" vertical="center"/>
    </xf>
    <xf numFmtId="171" fontId="45" fillId="3" borderId="4" xfId="3" applyNumberFormat="1" applyFont="1" applyFill="1" applyBorder="1" applyAlignment="1">
      <alignment horizontal="left" vertical="center" wrapText="1"/>
    </xf>
    <xf numFmtId="171" fontId="45" fillId="3" borderId="4" xfId="3" applyNumberFormat="1" applyFont="1" applyFill="1" applyBorder="1" applyAlignment="1">
      <alignment horizontal="center" vertical="center"/>
    </xf>
    <xf numFmtId="171" fontId="45" fillId="3" borderId="0" xfId="3" applyNumberFormat="1" applyFont="1" applyFill="1" applyAlignment="1">
      <alignment horizontal="center" vertical="center"/>
    </xf>
    <xf numFmtId="3" fontId="12" fillId="0" borderId="0" xfId="2" applyNumberFormat="1" applyFont="1" applyFill="1"/>
    <xf numFmtId="172" fontId="14" fillId="0" borderId="0" xfId="2" applyNumberFormat="1" applyFont="1" applyFill="1" applyAlignment="1">
      <alignment vertical="center"/>
    </xf>
    <xf numFmtId="3" fontId="13" fillId="0" borderId="0" xfId="2" applyNumberFormat="1" applyFont="1" applyFill="1" applyAlignment="1"/>
    <xf numFmtId="3" fontId="12" fillId="0" borderId="0" xfId="2" applyNumberFormat="1" applyFont="1" applyFill="1" applyAlignment="1"/>
    <xf numFmtId="3" fontId="14" fillId="0" borderId="0" xfId="2" applyNumberFormat="1" applyFont="1" applyFill="1" applyAlignment="1">
      <alignment horizontal="center"/>
    </xf>
    <xf numFmtId="0" fontId="110" fillId="0" borderId="0" xfId="2" applyFont="1" applyFill="1" applyAlignment="1"/>
    <xf numFmtId="172" fontId="110" fillId="0" borderId="0" xfId="2" applyNumberFormat="1" applyFont="1" applyFill="1" applyAlignment="1"/>
    <xf numFmtId="0" fontId="110" fillId="0" borderId="0" xfId="2" applyFont="1" applyFill="1" applyAlignment="1">
      <alignment horizontal="center"/>
    </xf>
    <xf numFmtId="172" fontId="110" fillId="0" borderId="0" xfId="2" applyNumberFormat="1" applyFont="1" applyFill="1" applyAlignment="1">
      <alignment horizontal="center"/>
    </xf>
    <xf numFmtId="0" fontId="111" fillId="0" borderId="0" xfId="66" applyFont="1" applyFill="1"/>
    <xf numFmtId="172" fontId="26" fillId="0" borderId="0" xfId="2" applyNumberFormat="1" applyFont="1" applyFill="1"/>
    <xf numFmtId="172" fontId="14" fillId="0" borderId="0" xfId="2" applyNumberFormat="1" applyFont="1" applyFill="1"/>
    <xf numFmtId="171" fontId="42" fillId="3" borderId="4" xfId="3" applyNumberFormat="1" applyFont="1" applyFill="1" applyBorder="1" applyAlignment="1">
      <alignment horizontal="center" vertical="center"/>
    </xf>
    <xf numFmtId="171" fontId="45" fillId="3" borderId="20" xfId="3" applyNumberFormat="1" applyFont="1" applyFill="1" applyBorder="1" applyAlignment="1">
      <alignment horizontal="center" vertical="center"/>
    </xf>
    <xf numFmtId="0" fontId="6" fillId="0" borderId="0" xfId="64" applyFont="1" applyAlignment="1">
      <alignment vertical="center"/>
    </xf>
    <xf numFmtId="0" fontId="100" fillId="0" borderId="0" xfId="64" applyAlignment="1"/>
    <xf numFmtId="0" fontId="100" fillId="0" borderId="0" xfId="64"/>
    <xf numFmtId="0" fontId="7" fillId="0" borderId="0" xfId="64" applyFont="1" applyAlignment="1">
      <alignment horizontal="right" vertical="center"/>
    </xf>
    <xf numFmtId="166" fontId="78" fillId="0" borderId="1" xfId="62" applyNumberFormat="1" applyFont="1" applyBorder="1" applyAlignment="1">
      <alignment horizontal="center" vertical="center" wrapText="1"/>
    </xf>
    <xf numFmtId="0" fontId="128" fillId="0" borderId="1" xfId="64" applyFont="1" applyBorder="1" applyAlignment="1">
      <alignment horizontal="center" vertical="center" wrapText="1"/>
    </xf>
    <xf numFmtId="37" fontId="128" fillId="0" borderId="1" xfId="62" applyNumberFormat="1" applyFont="1" applyBorder="1" applyAlignment="1">
      <alignment horizontal="center" vertical="center" wrapText="1"/>
    </xf>
    <xf numFmtId="166" fontId="128" fillId="0" borderId="1" xfId="62" applyNumberFormat="1" applyFont="1" applyBorder="1" applyAlignment="1">
      <alignment horizontal="center" vertical="center" wrapText="1"/>
    </xf>
    <xf numFmtId="0" fontId="78" fillId="0" borderId="1" xfId="64" applyFont="1" applyBorder="1" applyAlignment="1">
      <alignment horizontal="center" vertical="center" wrapText="1"/>
    </xf>
    <xf numFmtId="166" fontId="78" fillId="3" borderId="1" xfId="62" applyNumberFormat="1" applyFont="1" applyFill="1" applyBorder="1" applyAlignment="1">
      <alignment horizontal="center" vertical="center" wrapText="1"/>
    </xf>
    <xf numFmtId="167" fontId="78" fillId="0" borderId="1" xfId="62" applyNumberFormat="1" applyFont="1" applyBorder="1" applyAlignment="1">
      <alignment horizontal="center" vertical="center" wrapText="1"/>
    </xf>
    <xf numFmtId="0" fontId="85" fillId="0" borderId="1" xfId="64" applyFont="1" applyBorder="1" applyAlignment="1">
      <alignment horizontal="center" vertical="center" wrapText="1"/>
    </xf>
    <xf numFmtId="0" fontId="85" fillId="0" borderId="1" xfId="64" applyFont="1" applyBorder="1" applyAlignment="1">
      <alignment vertical="center" wrapText="1"/>
    </xf>
    <xf numFmtId="166" fontId="85" fillId="0" borderId="1" xfId="62" applyNumberFormat="1" applyFont="1" applyBorder="1" applyAlignment="1">
      <alignment horizontal="center" vertical="center" wrapText="1"/>
    </xf>
    <xf numFmtId="166" fontId="129" fillId="0" borderId="1" xfId="62" applyNumberFormat="1" applyFont="1" applyBorder="1" applyAlignment="1">
      <alignment horizontal="center" vertical="center" wrapText="1"/>
    </xf>
    <xf numFmtId="166" fontId="84" fillId="0" borderId="1" xfId="62" applyNumberFormat="1" applyFont="1" applyFill="1" applyBorder="1" applyAlignment="1">
      <alignment horizontal="center" vertical="center" wrapText="1"/>
    </xf>
    <xf numFmtId="0" fontId="7" fillId="0" borderId="0" xfId="64" applyFont="1" applyAlignment="1">
      <alignment vertical="center"/>
    </xf>
    <xf numFmtId="0" fontId="7" fillId="0" borderId="0" xfId="64" applyFont="1" applyAlignment="1">
      <alignment vertical="center" wrapText="1"/>
    </xf>
    <xf numFmtId="0" fontId="6" fillId="0" borderId="0" xfId="64" applyFont="1" applyAlignment="1">
      <alignment vertical="center" wrapText="1"/>
    </xf>
    <xf numFmtId="0" fontId="9" fillId="0" borderId="0" xfId="64" applyFont="1" applyAlignment="1">
      <alignment horizontal="right" vertical="center"/>
    </xf>
    <xf numFmtId="3" fontId="12" fillId="0" borderId="0" xfId="2" applyNumberFormat="1" applyFont="1" applyFill="1" applyAlignment="1">
      <alignment horizontal="center"/>
    </xf>
    <xf numFmtId="3" fontId="15" fillId="0" borderId="0" xfId="2" applyNumberFormat="1" applyFont="1" applyFill="1" applyAlignment="1">
      <alignment horizontal="right"/>
    </xf>
    <xf numFmtId="0" fontId="120" fillId="4" borderId="0" xfId="0" applyFont="1" applyFill="1" applyAlignment="1">
      <alignment vertical="center"/>
    </xf>
    <xf numFmtId="1" fontId="120" fillId="4" borderId="0" xfId="0" applyNumberFormat="1" applyFont="1" applyFill="1" applyAlignment="1">
      <alignment vertical="center"/>
    </xf>
    <xf numFmtId="0" fontId="121" fillId="4" borderId="0" xfId="0" applyFont="1" applyFill="1" applyAlignment="1">
      <alignment horizontal="right" vertical="center"/>
    </xf>
    <xf numFmtId="0" fontId="120" fillId="4" borderId="0" xfId="0" applyFont="1" applyFill="1" applyAlignment="1">
      <alignment horizontal="center" vertical="center"/>
    </xf>
    <xf numFmtId="0" fontId="121" fillId="4" borderId="1" xfId="0" applyNumberFormat="1" applyFont="1" applyFill="1" applyBorder="1" applyAlignment="1">
      <alignment horizontal="center" vertical="center" wrapText="1"/>
    </xf>
    <xf numFmtId="3" fontId="121" fillId="4" borderId="1" xfId="0" applyNumberFormat="1" applyFont="1" applyFill="1" applyBorder="1" applyAlignment="1">
      <alignment horizontal="center" vertical="center" wrapText="1"/>
    </xf>
    <xf numFmtId="0" fontId="120" fillId="4" borderId="15" xfId="0" applyFont="1" applyFill="1" applyBorder="1" applyAlignment="1">
      <alignment horizontal="center" vertical="center" wrapText="1"/>
    </xf>
    <xf numFmtId="3" fontId="121" fillId="4" borderId="4" xfId="0" applyNumberFormat="1" applyFont="1" applyFill="1" applyBorder="1" applyAlignment="1">
      <alignment horizontal="center" vertical="center" wrapText="1"/>
    </xf>
    <xf numFmtId="3" fontId="120" fillId="4" borderId="4" xfId="0" applyNumberFormat="1" applyFont="1" applyFill="1" applyBorder="1" applyAlignment="1">
      <alignment horizontal="center" vertical="center" wrapText="1"/>
    </xf>
    <xf numFmtId="1" fontId="121" fillId="4" borderId="4" xfId="0" applyNumberFormat="1" applyFont="1" applyFill="1" applyBorder="1" applyAlignment="1">
      <alignment horizontal="center" vertical="center" wrapText="1"/>
    </xf>
    <xf numFmtId="3" fontId="121" fillId="4" borderId="4" xfId="0" applyNumberFormat="1" applyFont="1" applyFill="1" applyBorder="1" applyAlignment="1">
      <alignment horizontal="right" vertical="center" wrapText="1"/>
    </xf>
    <xf numFmtId="180" fontId="120" fillId="4" borderId="0" xfId="0" applyNumberFormat="1" applyFont="1" applyFill="1" applyAlignment="1">
      <alignment vertical="center"/>
    </xf>
    <xf numFmtId="3" fontId="120" fillId="4" borderId="4" xfId="43" applyNumberFormat="1" applyFont="1" applyFill="1" applyBorder="1" applyAlignment="1">
      <alignment horizontal="right" vertical="center" wrapText="1"/>
    </xf>
    <xf numFmtId="0" fontId="121" fillId="4" borderId="0" xfId="0" applyFont="1" applyFill="1" applyAlignment="1">
      <alignment vertical="center"/>
    </xf>
    <xf numFmtId="3" fontId="120" fillId="4" borderId="4" xfId="0" applyNumberFormat="1" applyFont="1" applyFill="1" applyBorder="1" applyAlignment="1">
      <alignment vertical="center" wrapText="1"/>
    </xf>
    <xf numFmtId="1" fontId="120" fillId="4" borderId="4" xfId="0" applyNumberFormat="1" applyFont="1" applyFill="1" applyBorder="1" applyAlignment="1">
      <alignment horizontal="center" vertical="center" wrapText="1"/>
    </xf>
    <xf numFmtId="3" fontId="120" fillId="4" borderId="4" xfId="43" applyNumberFormat="1" applyFont="1" applyFill="1" applyBorder="1" applyAlignment="1">
      <alignment horizontal="center" vertical="center" wrapText="1"/>
    </xf>
    <xf numFmtId="3" fontId="120" fillId="4" borderId="4" xfId="0" applyNumberFormat="1" applyFont="1" applyFill="1" applyBorder="1" applyAlignment="1">
      <alignment horizontal="right" vertical="center" wrapText="1"/>
    </xf>
    <xf numFmtId="3" fontId="120" fillId="4" borderId="4" xfId="0" quotePrefix="1" applyNumberFormat="1" applyFont="1" applyFill="1" applyBorder="1" applyAlignment="1">
      <alignment horizontal="center" vertical="center" wrapText="1"/>
    </xf>
    <xf numFmtId="3" fontId="121" fillId="4" borderId="4" xfId="0" applyNumberFormat="1" applyFont="1" applyFill="1" applyBorder="1" applyAlignment="1">
      <alignment vertical="center" wrapText="1"/>
    </xf>
    <xf numFmtId="1" fontId="120" fillId="4" borderId="4" xfId="0" applyNumberFormat="1" applyFont="1" applyFill="1" applyBorder="1" applyAlignment="1">
      <alignment vertical="center" wrapText="1"/>
    </xf>
    <xf numFmtId="0" fontId="120" fillId="4" borderId="4" xfId="0" applyFont="1" applyFill="1" applyBorder="1" applyAlignment="1">
      <alignment horizontal="right" vertical="center"/>
    </xf>
    <xf numFmtId="3" fontId="120" fillId="4" borderId="4" xfId="0" applyNumberFormat="1" applyFont="1" applyFill="1" applyBorder="1" applyAlignment="1">
      <alignment horizontal="right" vertical="center"/>
    </xf>
    <xf numFmtId="1" fontId="132" fillId="4" borderId="4" xfId="0" applyNumberFormat="1" applyFont="1" applyFill="1" applyBorder="1" applyAlignment="1">
      <alignment horizontal="center" vertical="center" wrapText="1"/>
    </xf>
    <xf numFmtId="0" fontId="121" fillId="4" borderId="4" xfId="0" applyFont="1" applyFill="1" applyBorder="1" applyAlignment="1">
      <alignment vertical="center"/>
    </xf>
    <xf numFmtId="3" fontId="120" fillId="4" borderId="4" xfId="15" applyNumberFormat="1" applyFont="1" applyFill="1" applyBorder="1" applyAlignment="1">
      <alignment horizontal="right" vertical="center"/>
    </xf>
    <xf numFmtId="3" fontId="121" fillId="4" borderId="4" xfId="0" applyNumberFormat="1" applyFont="1" applyFill="1" applyBorder="1" applyAlignment="1">
      <alignment vertical="center"/>
    </xf>
    <xf numFmtId="3" fontId="120" fillId="4" borderId="4" xfId="43" applyNumberFormat="1" applyFont="1" applyFill="1" applyBorder="1" applyAlignment="1">
      <alignment vertical="center" wrapText="1"/>
    </xf>
    <xf numFmtId="0" fontId="121" fillId="4" borderId="4" xfId="0" applyFont="1" applyFill="1" applyBorder="1" applyAlignment="1">
      <alignment vertical="center" wrapText="1"/>
    </xf>
    <xf numFmtId="3" fontId="120" fillId="4" borderId="4" xfId="0" applyNumberFormat="1" applyFont="1" applyFill="1" applyBorder="1" applyAlignment="1">
      <alignment vertical="center"/>
    </xf>
    <xf numFmtId="3" fontId="121" fillId="4" borderId="4" xfId="0" applyNumberFormat="1" applyFont="1" applyFill="1" applyBorder="1" applyAlignment="1">
      <alignment horizontal="center" vertical="center"/>
    </xf>
    <xf numFmtId="1" fontId="121" fillId="4" borderId="4" xfId="0" applyNumberFormat="1" applyFont="1" applyFill="1" applyBorder="1" applyAlignment="1">
      <alignment vertical="center" wrapText="1"/>
    </xf>
    <xf numFmtId="3" fontId="121" fillId="4" borderId="4" xfId="0" applyNumberFormat="1" applyFont="1" applyFill="1" applyBorder="1" applyAlignment="1">
      <alignment horizontal="right" vertical="center"/>
    </xf>
    <xf numFmtId="3" fontId="120" fillId="4" borderId="4" xfId="0" applyNumberFormat="1" applyFont="1" applyFill="1" applyBorder="1" applyAlignment="1">
      <alignment horizontal="center" vertical="center"/>
    </xf>
    <xf numFmtId="3" fontId="120" fillId="4" borderId="4" xfId="44" applyNumberFormat="1" applyFont="1" applyFill="1" applyBorder="1" applyAlignment="1">
      <alignment horizontal="right" vertical="center" wrapText="1"/>
    </xf>
    <xf numFmtId="1" fontId="132" fillId="4" borderId="4" xfId="0" applyNumberFormat="1" applyFont="1" applyFill="1" applyBorder="1" applyAlignment="1">
      <alignment horizontal="center" vertical="center"/>
    </xf>
    <xf numFmtId="1" fontId="120" fillId="4" borderId="4" xfId="0" quotePrefix="1" applyNumberFormat="1" applyFont="1" applyFill="1" applyBorder="1" applyAlignment="1">
      <alignment horizontal="center" vertical="center" wrapText="1"/>
    </xf>
    <xf numFmtId="1" fontId="133" fillId="4" borderId="4" xfId="0" applyNumberFormat="1" applyFont="1" applyFill="1" applyBorder="1" applyAlignment="1">
      <alignment horizontal="center" vertical="center" wrapText="1"/>
    </xf>
    <xf numFmtId="3" fontId="120" fillId="4" borderId="4" xfId="45" applyNumberFormat="1" applyFont="1" applyFill="1" applyBorder="1" applyAlignment="1">
      <alignment horizontal="right" vertical="center" wrapText="1"/>
    </xf>
    <xf numFmtId="3" fontId="120" fillId="4" borderId="4" xfId="0" applyNumberFormat="1" applyFont="1" applyFill="1" applyBorder="1" applyAlignment="1">
      <alignment horizontal="left" vertical="center" wrapText="1"/>
    </xf>
    <xf numFmtId="0" fontId="120" fillId="4" borderId="0" xfId="0" applyFont="1" applyFill="1" applyAlignment="1">
      <alignment horizontal="right" vertical="center"/>
    </xf>
    <xf numFmtId="3" fontId="132" fillId="4" borderId="4" xfId="0" applyNumberFormat="1" applyFont="1" applyFill="1" applyBorder="1" applyAlignment="1">
      <alignment horizontal="right" vertical="center"/>
    </xf>
    <xf numFmtId="1" fontId="134" fillId="4" borderId="4" xfId="0" applyNumberFormat="1" applyFont="1" applyFill="1" applyBorder="1" applyAlignment="1">
      <alignment horizontal="center" vertical="center" wrapText="1"/>
    </xf>
    <xf numFmtId="1" fontId="132" fillId="4" borderId="4" xfId="14" applyNumberFormat="1" applyFont="1" applyFill="1" applyBorder="1" applyAlignment="1">
      <alignment horizontal="center" vertical="center" wrapText="1"/>
    </xf>
    <xf numFmtId="1" fontId="120" fillId="4" borderId="4" xfId="46" applyNumberFormat="1" applyFont="1" applyFill="1" applyBorder="1" applyAlignment="1">
      <alignment horizontal="center" vertical="center" wrapText="1"/>
    </xf>
    <xf numFmtId="3" fontId="120" fillId="4" borderId="4" xfId="46" applyNumberFormat="1" applyFont="1" applyFill="1" applyBorder="1" applyAlignment="1">
      <alignment horizontal="center" vertical="center" wrapText="1"/>
    </xf>
    <xf numFmtId="3" fontId="120" fillId="4" borderId="4" xfId="46" applyNumberFormat="1" applyFont="1" applyFill="1" applyBorder="1" applyAlignment="1">
      <alignment horizontal="right" vertical="center"/>
    </xf>
    <xf numFmtId="1" fontId="120" fillId="4" borderId="4" xfId="43" applyNumberFormat="1" applyFont="1" applyFill="1" applyBorder="1" applyAlignment="1">
      <alignment horizontal="center" vertical="center" wrapText="1"/>
    </xf>
    <xf numFmtId="1" fontId="120" fillId="5" borderId="4" xfId="0" applyNumberFormat="1" applyFont="1" applyFill="1" applyBorder="1" applyAlignment="1">
      <alignment horizontal="center" vertical="center" wrapText="1"/>
    </xf>
    <xf numFmtId="1" fontId="120" fillId="4" borderId="4" xfId="47" applyNumberFormat="1" applyFont="1" applyFill="1" applyBorder="1" applyAlignment="1">
      <alignment horizontal="center" vertical="center" wrapText="1"/>
    </xf>
    <xf numFmtId="3" fontId="120" fillId="4" borderId="4" xfId="48" applyNumberFormat="1" applyFont="1" applyFill="1" applyBorder="1" applyAlignment="1">
      <alignment horizontal="center" vertical="center" wrapText="1"/>
    </xf>
    <xf numFmtId="166" fontId="120" fillId="4" borderId="4" xfId="0" applyNumberFormat="1" applyFont="1" applyFill="1" applyBorder="1" applyAlignment="1">
      <alignment vertical="center" wrapText="1"/>
    </xf>
    <xf numFmtId="0" fontId="120" fillId="4" borderId="4" xfId="0" applyFont="1" applyFill="1" applyBorder="1" applyAlignment="1">
      <alignment vertical="center"/>
    </xf>
    <xf numFmtId="4" fontId="121" fillId="4" borderId="4" xfId="0" applyNumberFormat="1" applyFont="1" applyFill="1" applyBorder="1" applyAlignment="1">
      <alignment horizontal="right" vertical="center" wrapText="1"/>
    </xf>
    <xf numFmtId="0" fontId="121" fillId="4" borderId="4" xfId="0" applyFont="1" applyFill="1" applyBorder="1" applyAlignment="1">
      <alignment horizontal="center" vertical="center" wrapText="1"/>
    </xf>
    <xf numFmtId="0" fontId="120" fillId="4" borderId="4" xfId="0" applyFont="1" applyFill="1" applyBorder="1" applyAlignment="1">
      <alignment vertical="center" wrapText="1"/>
    </xf>
    <xf numFmtId="3" fontId="120" fillId="4" borderId="4" xfId="46" applyNumberFormat="1" applyFont="1" applyFill="1" applyBorder="1" applyAlignment="1">
      <alignment horizontal="right" vertical="center" wrapText="1"/>
    </xf>
    <xf numFmtId="166" fontId="122" fillId="4" borderId="4" xfId="0" applyNumberFormat="1" applyFont="1" applyFill="1" applyBorder="1" applyAlignment="1">
      <alignment vertical="center" wrapText="1"/>
    </xf>
    <xf numFmtId="1" fontId="120" fillId="4" borderId="4" xfId="50" applyNumberFormat="1" applyFont="1" applyFill="1" applyBorder="1" applyAlignment="1">
      <alignment horizontal="center" vertical="center" wrapText="1"/>
    </xf>
    <xf numFmtId="3" fontId="120" fillId="4" borderId="4" xfId="50" applyNumberFormat="1" applyFont="1" applyFill="1" applyBorder="1" applyAlignment="1">
      <alignment horizontal="center" vertical="center" wrapText="1"/>
    </xf>
    <xf numFmtId="3" fontId="120" fillId="4" borderId="4" xfId="50" applyNumberFormat="1" applyFont="1" applyFill="1" applyBorder="1" applyAlignment="1">
      <alignment horizontal="right" vertical="center" wrapText="1"/>
    </xf>
    <xf numFmtId="3" fontId="121" fillId="4" borderId="4" xfId="43" applyNumberFormat="1" applyFont="1" applyFill="1" applyBorder="1" applyAlignment="1">
      <alignment horizontal="right" vertical="center" wrapText="1"/>
    </xf>
    <xf numFmtId="1" fontId="120" fillId="4" borderId="4" xfId="37" applyNumberFormat="1" applyFont="1" applyFill="1" applyBorder="1" applyAlignment="1">
      <alignment horizontal="center" vertical="center" wrapText="1"/>
    </xf>
    <xf numFmtId="3" fontId="120" fillId="4" borderId="4" xfId="45" applyNumberFormat="1" applyFont="1" applyFill="1" applyBorder="1" applyAlignment="1">
      <alignment horizontal="right" vertical="center"/>
    </xf>
    <xf numFmtId="0" fontId="132" fillId="4" borderId="4" xfId="0" applyFont="1" applyFill="1" applyBorder="1" applyAlignment="1">
      <alignment horizontal="center" vertical="center" wrapText="1"/>
    </xf>
    <xf numFmtId="3" fontId="120" fillId="4" borderId="4" xfId="51" applyNumberFormat="1" applyFont="1" applyFill="1" applyBorder="1" applyAlignment="1">
      <alignment horizontal="center" vertical="center" wrapText="1"/>
    </xf>
    <xf numFmtId="1" fontId="120" fillId="4" borderId="4" xfId="45" applyNumberFormat="1" applyFont="1" applyFill="1" applyBorder="1" applyAlignment="1">
      <alignment horizontal="center" vertical="center" wrapText="1"/>
    </xf>
    <xf numFmtId="3" fontId="120" fillId="4" borderId="4" xfId="52" applyNumberFormat="1" applyFont="1" applyFill="1" applyBorder="1" applyAlignment="1">
      <alignment horizontal="center" vertical="center" wrapText="1"/>
    </xf>
    <xf numFmtId="3" fontId="120" fillId="4" borderId="4" xfId="52" applyNumberFormat="1" applyFont="1" applyFill="1" applyBorder="1" applyAlignment="1">
      <alignment horizontal="right" vertical="center" wrapText="1"/>
    </xf>
    <xf numFmtId="3" fontId="122" fillId="4" borderId="4" xfId="0" applyNumberFormat="1" applyFont="1" applyFill="1" applyBorder="1" applyAlignment="1">
      <alignment horizontal="right" vertical="center" wrapText="1"/>
    </xf>
    <xf numFmtId="3" fontId="121" fillId="4" borderId="17" xfId="0" applyNumberFormat="1" applyFont="1" applyFill="1" applyBorder="1" applyAlignment="1">
      <alignment horizontal="center" vertical="center" wrapText="1"/>
    </xf>
    <xf numFmtId="3" fontId="120" fillId="4" borderId="17" xfId="0" applyNumberFormat="1" applyFont="1" applyFill="1" applyBorder="1" applyAlignment="1">
      <alignment horizontal="center" vertical="center" wrapText="1"/>
    </xf>
    <xf numFmtId="3" fontId="120" fillId="4" borderId="17" xfId="0" applyNumberFormat="1" applyFont="1" applyFill="1" applyBorder="1" applyAlignment="1">
      <alignment vertical="center" wrapText="1"/>
    </xf>
    <xf numFmtId="1" fontId="120" fillId="4" borderId="17" xfId="0" applyNumberFormat="1" applyFont="1" applyFill="1" applyBorder="1" applyAlignment="1">
      <alignment horizontal="center" vertical="center" wrapText="1"/>
    </xf>
    <xf numFmtId="3" fontId="120" fillId="4" borderId="17" xfId="43" applyNumberFormat="1" applyFont="1" applyFill="1" applyBorder="1" applyAlignment="1">
      <alignment horizontal="center" vertical="center" wrapText="1"/>
    </xf>
    <xf numFmtId="3" fontId="120" fillId="4" borderId="17" xfId="43" applyNumberFormat="1" applyFont="1" applyFill="1" applyBorder="1" applyAlignment="1">
      <alignment horizontal="right" vertical="center" wrapText="1"/>
    </xf>
    <xf numFmtId="3" fontId="121" fillId="4" borderId="17" xfId="0" applyNumberFormat="1" applyFont="1" applyFill="1" applyBorder="1" applyAlignment="1">
      <alignment horizontal="right" vertical="center" wrapText="1"/>
    </xf>
    <xf numFmtId="3" fontId="120" fillId="4" borderId="17" xfId="0" applyNumberFormat="1" applyFont="1" applyFill="1" applyBorder="1" applyAlignment="1">
      <alignment horizontal="right" vertical="center" wrapText="1"/>
    </xf>
    <xf numFmtId="0" fontId="13" fillId="0" borderId="0" xfId="0" applyFont="1" applyFill="1" applyAlignment="1">
      <alignment horizontal="center" vertical="center" wrapText="1"/>
    </xf>
    <xf numFmtId="0" fontId="45" fillId="0" borderId="1" xfId="0" applyFont="1" applyFill="1" applyBorder="1" applyAlignment="1">
      <alignment horizontal="center" vertical="center" wrapText="1"/>
    </xf>
    <xf numFmtId="0" fontId="12" fillId="0" borderId="0" xfId="2" applyFont="1" applyFill="1" applyAlignment="1">
      <alignment horizontal="center"/>
    </xf>
    <xf numFmtId="166" fontId="42" fillId="0" borderId="4" xfId="62" applyNumberFormat="1" applyFont="1" applyFill="1" applyBorder="1" applyAlignment="1">
      <alignment vertical="center" wrapText="1"/>
    </xf>
    <xf numFmtId="0" fontId="112" fillId="0" borderId="0" xfId="0" applyFont="1" applyFill="1" applyAlignment="1"/>
    <xf numFmtId="166" fontId="112" fillId="0" borderId="0" xfId="62" applyNumberFormat="1" applyFont="1" applyFill="1" applyAlignment="1"/>
    <xf numFmtId="166" fontId="112" fillId="0" borderId="0" xfId="62" applyNumberFormat="1" applyFont="1" applyFill="1"/>
    <xf numFmtId="166" fontId="45" fillId="0" borderId="1" xfId="62" applyNumberFormat="1" applyFont="1" applyFill="1" applyBorder="1" applyAlignment="1">
      <alignment horizontal="center" vertical="center" wrapText="1"/>
    </xf>
    <xf numFmtId="0" fontId="42" fillId="0" borderId="1" xfId="0" applyFont="1" applyFill="1" applyBorder="1" applyAlignment="1">
      <alignment horizontal="center" vertical="center" wrapText="1"/>
    </xf>
    <xf numFmtId="37" fontId="42" fillId="0" borderId="1" xfId="62" applyNumberFormat="1" applyFont="1" applyFill="1" applyBorder="1" applyAlignment="1">
      <alignment horizontal="center" vertical="center" wrapText="1"/>
    </xf>
    <xf numFmtId="0" fontId="45" fillId="0" borderId="15" xfId="0" applyFont="1" applyFill="1" applyBorder="1" applyAlignment="1">
      <alignment horizontal="center" vertical="center" wrapText="1"/>
    </xf>
    <xf numFmtId="166" fontId="45" fillId="0" borderId="15" xfId="62" applyNumberFormat="1" applyFont="1" applyFill="1" applyBorder="1" applyAlignment="1">
      <alignment horizontal="center" vertical="center" wrapText="1"/>
    </xf>
    <xf numFmtId="0" fontId="45" fillId="0" borderId="4" xfId="0" applyFont="1" applyFill="1" applyBorder="1" applyAlignment="1">
      <alignment vertical="center" wrapText="1"/>
    </xf>
    <xf numFmtId="166" fontId="45" fillId="0" borderId="4" xfId="62" applyNumberFormat="1" applyFont="1" applyFill="1" applyBorder="1" applyAlignment="1">
      <alignment vertical="center" wrapText="1"/>
    </xf>
    <xf numFmtId="0" fontId="69" fillId="0" borderId="0" xfId="0" applyFont="1" applyFill="1"/>
    <xf numFmtId="166" fontId="69" fillId="0" borderId="0" xfId="0" applyNumberFormat="1" applyFont="1" applyFill="1"/>
    <xf numFmtId="166" fontId="69" fillId="0" borderId="0" xfId="62" applyNumberFormat="1" applyFont="1" applyFill="1"/>
    <xf numFmtId="0" fontId="69" fillId="0" borderId="0" xfId="0" applyFont="1" applyFill="1" applyAlignment="1">
      <alignment vertical="center"/>
    </xf>
    <xf numFmtId="166" fontId="69" fillId="0" borderId="0" xfId="0" applyNumberFormat="1" applyFont="1" applyFill="1" applyAlignment="1">
      <alignment vertical="center"/>
    </xf>
    <xf numFmtId="0" fontId="82" fillId="0" borderId="0" xfId="0" applyFont="1" applyFill="1"/>
    <xf numFmtId="166" fontId="82" fillId="0" borderId="0" xfId="0" applyNumberFormat="1" applyFont="1" applyFill="1"/>
    <xf numFmtId="0" fontId="42" fillId="0" borderId="14" xfId="0" applyFont="1" applyFill="1" applyBorder="1" applyAlignment="1">
      <alignment vertical="center"/>
    </xf>
    <xf numFmtId="0" fontId="42" fillId="0" borderId="14" xfId="0" applyFont="1" applyFill="1" applyBorder="1"/>
    <xf numFmtId="166" fontId="42" fillId="0" borderId="14" xfId="62" applyNumberFormat="1" applyFont="1" applyFill="1" applyBorder="1"/>
    <xf numFmtId="0" fontId="14" fillId="0" borderId="0" xfId="0" applyFont="1" applyFill="1" applyBorder="1" applyAlignment="1">
      <alignment vertical="center"/>
    </xf>
    <xf numFmtId="0" fontId="112" fillId="0" borderId="0" xfId="0" applyFont="1" applyFill="1" applyBorder="1"/>
    <xf numFmtId="166" fontId="112" fillId="0" borderId="0" xfId="62" applyNumberFormat="1" applyFont="1" applyFill="1" applyBorder="1"/>
    <xf numFmtId="0" fontId="69" fillId="0" borderId="0" xfId="0" applyFont="1" applyFill="1" applyBorder="1"/>
    <xf numFmtId="0" fontId="82" fillId="0" borderId="0" xfId="0" applyFont="1" applyFill="1" applyBorder="1"/>
    <xf numFmtId="166" fontId="13" fillId="0" borderId="0" xfId="62" applyNumberFormat="1" applyFont="1" applyFill="1" applyAlignment="1">
      <alignment horizontal="center" vertical="center" wrapText="1"/>
    </xf>
    <xf numFmtId="0" fontId="84" fillId="0" borderId="0" xfId="64" applyFont="1" applyFill="1" applyAlignment="1"/>
    <xf numFmtId="0" fontId="12" fillId="0" borderId="0" xfId="64" applyFont="1" applyFill="1" applyAlignment="1">
      <alignment horizontal="center" vertical="center"/>
    </xf>
    <xf numFmtId="0" fontId="84" fillId="0" borderId="0" xfId="64" applyFont="1" applyFill="1"/>
    <xf numFmtId="0" fontId="13" fillId="0" borderId="0" xfId="64" applyFont="1" applyFill="1" applyAlignment="1">
      <alignment horizontal="right" vertical="center"/>
    </xf>
    <xf numFmtId="0" fontId="42" fillId="0" borderId="0" xfId="64" applyFont="1" applyFill="1"/>
    <xf numFmtId="0" fontId="45" fillId="0" borderId="1" xfId="64" applyFont="1" applyFill="1" applyBorder="1" applyAlignment="1">
      <alignment horizontal="center" vertical="center" wrapText="1"/>
    </xf>
    <xf numFmtId="0" fontId="42" fillId="0" borderId="1" xfId="64" applyFont="1" applyFill="1" applyBorder="1" applyAlignment="1">
      <alignment horizontal="center" vertical="center" wrapText="1"/>
    </xf>
    <xf numFmtId="166" fontId="42" fillId="0" borderId="0" xfId="64" applyNumberFormat="1" applyFont="1" applyFill="1"/>
    <xf numFmtId="0" fontId="45" fillId="0" borderId="15" xfId="64" applyFont="1" applyFill="1" applyBorder="1" applyAlignment="1">
      <alignment horizontal="center" vertical="center" wrapText="1"/>
    </xf>
    <xf numFmtId="10" fontId="45" fillId="0" borderId="15" xfId="63" applyNumberFormat="1" applyFont="1" applyFill="1" applyBorder="1" applyAlignment="1">
      <alignment horizontal="center" vertical="center" wrapText="1"/>
    </xf>
    <xf numFmtId="166" fontId="45" fillId="0" borderId="0" xfId="64" applyNumberFormat="1" applyFont="1" applyFill="1"/>
    <xf numFmtId="0" fontId="45" fillId="0" borderId="0" xfId="64" applyFont="1" applyFill="1"/>
    <xf numFmtId="0" fontId="45" fillId="0" borderId="4" xfId="64" applyFont="1" applyFill="1" applyBorder="1" applyAlignment="1">
      <alignment horizontal="center" vertical="center" wrapText="1"/>
    </xf>
    <xf numFmtId="0" fontId="45" fillId="0" borderId="4" xfId="64" applyFont="1" applyFill="1" applyBorder="1" applyAlignment="1">
      <alignment vertical="center" wrapText="1"/>
    </xf>
    <xf numFmtId="10" fontId="45" fillId="0" borderId="4" xfId="63" applyNumberFormat="1" applyFont="1" applyFill="1" applyBorder="1" applyAlignment="1">
      <alignment horizontal="center" vertical="center" wrapText="1"/>
    </xf>
    <xf numFmtId="0" fontId="42" fillId="0" borderId="4" xfId="64" applyFont="1" applyFill="1" applyBorder="1" applyAlignment="1">
      <alignment horizontal="center" vertical="center" wrapText="1"/>
    </xf>
    <xf numFmtId="0" fontId="42" fillId="0" borderId="4" xfId="64" applyFont="1" applyFill="1" applyBorder="1" applyAlignment="1">
      <alignment vertical="center" wrapText="1"/>
    </xf>
    <xf numFmtId="10" fontId="42" fillId="0" borderId="4" xfId="63" applyNumberFormat="1" applyFont="1" applyFill="1" applyBorder="1" applyAlignment="1">
      <alignment horizontal="center" vertical="center" wrapText="1"/>
    </xf>
    <xf numFmtId="0" fontId="56" fillId="0" borderId="4" xfId="64" applyFont="1" applyFill="1" applyBorder="1" applyAlignment="1">
      <alignment vertical="center" wrapText="1"/>
    </xf>
    <xf numFmtId="0" fontId="56" fillId="0" borderId="4" xfId="64" applyFont="1" applyFill="1" applyBorder="1" applyAlignment="1">
      <alignment horizontal="center" vertical="center" wrapText="1"/>
    </xf>
    <xf numFmtId="0" fontId="45" fillId="0" borderId="17" xfId="64" applyFont="1" applyFill="1" applyBorder="1" applyAlignment="1">
      <alignment horizontal="center" vertical="center" wrapText="1"/>
    </xf>
    <xf numFmtId="0" fontId="45" fillId="0" borderId="17" xfId="64" applyFont="1" applyFill="1" applyBorder="1" applyAlignment="1">
      <alignment vertical="center" wrapText="1"/>
    </xf>
    <xf numFmtId="166" fontId="45" fillId="0" borderId="17" xfId="62" applyNumberFormat="1" applyFont="1" applyFill="1" applyBorder="1" applyAlignment="1">
      <alignment horizontal="center" vertical="center" wrapText="1"/>
    </xf>
    <xf numFmtId="10" fontId="45" fillId="0" borderId="17" xfId="63" applyNumberFormat="1" applyFont="1" applyFill="1" applyBorder="1" applyAlignment="1">
      <alignment horizontal="center" vertical="center" wrapText="1"/>
    </xf>
    <xf numFmtId="0" fontId="14" fillId="0" borderId="0" xfId="64" applyFont="1" applyFill="1" applyAlignment="1">
      <alignment vertical="center"/>
    </xf>
    <xf numFmtId="0" fontId="13" fillId="0" borderId="0" xfId="64" applyFont="1" applyFill="1" applyAlignment="1">
      <alignment horizontal="center" vertical="center" wrapText="1"/>
    </xf>
    <xf numFmtId="166" fontId="13" fillId="0" borderId="0" xfId="64" applyNumberFormat="1" applyFont="1" applyFill="1" applyAlignment="1">
      <alignment horizontal="center" vertical="center" wrapText="1"/>
    </xf>
    <xf numFmtId="0" fontId="13" fillId="0" borderId="0" xfId="64" applyFont="1" applyFill="1" applyAlignment="1">
      <alignment vertical="center"/>
    </xf>
    <xf numFmtId="3" fontId="35" fillId="0" borderId="3" xfId="72" applyNumberFormat="1" applyFont="1" applyFill="1" applyBorder="1" applyAlignment="1">
      <alignment vertical="center"/>
    </xf>
    <xf numFmtId="3" fontId="53" fillId="0" borderId="3" xfId="72" applyNumberFormat="1" applyFont="1" applyFill="1" applyBorder="1" applyAlignment="1">
      <alignment vertical="center"/>
    </xf>
    <xf numFmtId="3" fontId="14" fillId="0" borderId="0" xfId="72" applyNumberFormat="1" applyFont="1" applyFill="1"/>
    <xf numFmtId="3" fontId="120" fillId="0" borderId="0" xfId="72" applyNumberFormat="1" applyFont="1" applyFill="1"/>
    <xf numFmtId="3" fontId="121" fillId="0" borderId="14" xfId="3" applyNumberFormat="1" applyFont="1" applyFill="1" applyBorder="1" applyAlignment="1">
      <alignment horizontal="center" vertical="center" wrapText="1"/>
    </xf>
    <xf numFmtId="3" fontId="120" fillId="0" borderId="5" xfId="3" applyNumberFormat="1" applyFont="1" applyFill="1" applyBorder="1" applyAlignment="1">
      <alignment horizontal="center" vertical="center"/>
    </xf>
    <xf numFmtId="3" fontId="121" fillId="0" borderId="15" xfId="3" applyNumberFormat="1" applyFont="1" applyFill="1" applyBorder="1" applyAlignment="1">
      <alignment vertical="center" wrapText="1"/>
    </xf>
    <xf numFmtId="167" fontId="121" fillId="0" borderId="4" xfId="3" applyNumberFormat="1" applyFont="1" applyFill="1" applyBorder="1" applyAlignment="1">
      <alignment horizontal="center" vertical="center" wrapText="1"/>
    </xf>
    <xf numFmtId="3" fontId="121" fillId="0" borderId="4" xfId="72" applyNumberFormat="1" applyFont="1" applyFill="1" applyBorder="1" applyAlignment="1">
      <alignment horizontal="center" vertical="center"/>
    </xf>
    <xf numFmtId="3" fontId="121" fillId="0" borderId="4" xfId="3" applyNumberFormat="1" applyFont="1" applyFill="1" applyBorder="1" applyAlignment="1">
      <alignment vertical="center" wrapText="1"/>
    </xf>
    <xf numFmtId="3" fontId="120" fillId="0" borderId="4" xfId="3" applyNumberFormat="1" applyFont="1" applyFill="1" applyBorder="1" applyAlignment="1">
      <alignment vertical="center" wrapText="1"/>
    </xf>
    <xf numFmtId="3" fontId="120" fillId="0" borderId="4" xfId="3" applyNumberFormat="1" applyFont="1" applyFill="1" applyBorder="1" applyAlignment="1">
      <alignment vertical="center"/>
    </xf>
    <xf numFmtId="3" fontId="121" fillId="0" borderId="4" xfId="3" applyNumberFormat="1" applyFont="1" applyFill="1" applyBorder="1" applyAlignment="1">
      <alignment vertical="center"/>
    </xf>
    <xf numFmtId="0" fontId="121" fillId="0" borderId="4" xfId="72" applyFont="1" applyFill="1" applyBorder="1" applyAlignment="1">
      <alignment horizontal="justify" vertical="center"/>
    </xf>
    <xf numFmtId="167" fontId="121" fillId="0" borderId="4" xfId="3" applyNumberFormat="1" applyFont="1" applyFill="1" applyBorder="1" applyAlignment="1">
      <alignment horizontal="center" vertical="center"/>
    </xf>
    <xf numFmtId="43" fontId="120" fillId="0" borderId="4" xfId="3" applyFont="1" applyFill="1" applyBorder="1" applyAlignment="1">
      <alignment vertical="center"/>
    </xf>
    <xf numFmtId="43" fontId="120" fillId="0" borderId="4" xfId="3" applyFont="1" applyFill="1" applyBorder="1" applyAlignment="1">
      <alignment vertical="center" wrapText="1"/>
    </xf>
    <xf numFmtId="3" fontId="45" fillId="0" borderId="4" xfId="3" applyNumberFormat="1" applyFont="1" applyFill="1" applyBorder="1" applyAlignment="1">
      <alignment vertical="center"/>
    </xf>
    <xf numFmtId="3" fontId="120" fillId="0" borderId="17" xfId="3" applyNumberFormat="1" applyFont="1" applyFill="1" applyBorder="1" applyAlignment="1">
      <alignment vertical="center" wrapText="1"/>
    </xf>
    <xf numFmtId="3" fontId="120" fillId="0" borderId="17" xfId="3" applyNumberFormat="1" applyFont="1" applyFill="1" applyBorder="1" applyAlignment="1">
      <alignment vertical="center"/>
    </xf>
    <xf numFmtId="3" fontId="120" fillId="0" borderId="16" xfId="3" applyNumberFormat="1" applyFont="1" applyFill="1" applyBorder="1" applyAlignment="1">
      <alignment vertical="center" wrapText="1"/>
    </xf>
    <xf numFmtId="3" fontId="121" fillId="0" borderId="16" xfId="3" applyNumberFormat="1" applyFont="1" applyFill="1" applyBorder="1" applyAlignment="1">
      <alignment vertical="center"/>
    </xf>
    <xf numFmtId="3" fontId="121" fillId="0" borderId="17" xfId="3" applyNumberFormat="1" applyFont="1" applyFill="1" applyBorder="1" applyAlignment="1">
      <alignment vertical="center"/>
    </xf>
    <xf numFmtId="167" fontId="112" fillId="0" borderId="0" xfId="3" applyNumberFormat="1" applyFont="1" applyFill="1"/>
    <xf numFmtId="3" fontId="19" fillId="0" borderId="0" xfId="72" applyNumberFormat="1" applyFont="1" applyFill="1"/>
    <xf numFmtId="43" fontId="121" fillId="0" borderId="4" xfId="3" applyFont="1" applyFill="1" applyBorder="1" applyAlignment="1">
      <alignment vertical="center"/>
    </xf>
    <xf numFmtId="3" fontId="120" fillId="0" borderId="16" xfId="3" applyNumberFormat="1" applyFont="1" applyFill="1" applyBorder="1" applyAlignment="1">
      <alignment vertical="center"/>
    </xf>
    <xf numFmtId="3" fontId="45" fillId="0" borderId="4" xfId="69" applyNumberFormat="1" applyFont="1" applyFill="1" applyBorder="1" applyAlignment="1">
      <alignment horizontal="center" vertical="center" wrapText="1"/>
    </xf>
    <xf numFmtId="0" fontId="121" fillId="4" borderId="1" xfId="0" applyFont="1" applyFill="1" applyBorder="1" applyAlignment="1">
      <alignment horizontal="center" vertical="center" wrapText="1"/>
    </xf>
    <xf numFmtId="0" fontId="135" fillId="0" borderId="0" xfId="0" applyFont="1" applyAlignment="1">
      <alignment horizontal="justify" vertical="center"/>
    </xf>
    <xf numFmtId="0" fontId="120" fillId="4" borderId="4" xfId="0" applyFont="1" applyFill="1" applyBorder="1" applyAlignment="1">
      <alignment horizontal="center" vertical="center" wrapText="1"/>
    </xf>
    <xf numFmtId="3" fontId="136" fillId="4" borderId="4" xfId="0" applyNumberFormat="1" applyFont="1" applyFill="1" applyBorder="1" applyAlignment="1">
      <alignment horizontal="center" vertical="center" wrapText="1"/>
    </xf>
    <xf numFmtId="3" fontId="136" fillId="4" borderId="4" xfId="0" applyNumberFormat="1" applyFont="1" applyFill="1" applyBorder="1" applyAlignment="1">
      <alignment vertical="center" wrapText="1"/>
    </xf>
    <xf numFmtId="1" fontId="136" fillId="4" borderId="4" xfId="0" applyNumberFormat="1" applyFont="1" applyFill="1" applyBorder="1" applyAlignment="1">
      <alignment horizontal="center" vertical="center" wrapText="1"/>
    </xf>
    <xf numFmtId="3" fontId="136" fillId="4" borderId="4" xfId="43" applyNumberFormat="1" applyFont="1" applyFill="1" applyBorder="1" applyAlignment="1">
      <alignment horizontal="right" vertical="center" wrapText="1"/>
    </xf>
    <xf numFmtId="3" fontId="136" fillId="4" borderId="4" xfId="0" applyNumberFormat="1" applyFont="1" applyFill="1" applyBorder="1" applyAlignment="1">
      <alignment horizontal="right" vertical="center" wrapText="1"/>
    </xf>
    <xf numFmtId="0" fontId="136" fillId="4" borderId="0" xfId="0" applyFont="1" applyFill="1" applyAlignment="1">
      <alignment vertical="center"/>
    </xf>
    <xf numFmtId="3" fontId="120" fillId="4" borderId="4" xfId="75" applyNumberFormat="1" applyFont="1" applyFill="1" applyBorder="1" applyAlignment="1">
      <alignment horizontal="center" vertical="center" wrapText="1"/>
    </xf>
    <xf numFmtId="0" fontId="7" fillId="0" borderId="0" xfId="64" applyFont="1" applyAlignment="1">
      <alignment horizontal="center" vertical="center" wrapText="1"/>
    </xf>
    <xf numFmtId="0" fontId="6" fillId="0" borderId="0" xfId="64" applyFont="1" applyAlignment="1">
      <alignment horizontal="center" vertical="center"/>
    </xf>
    <xf numFmtId="166" fontId="0" fillId="0" borderId="0" xfId="62" applyNumberFormat="1" applyFont="1" applyAlignment="1"/>
    <xf numFmtId="166" fontId="0" fillId="0" borderId="0" xfId="62" applyNumberFormat="1" applyFont="1"/>
    <xf numFmtId="166" fontId="6" fillId="0" borderId="1" xfId="62" applyNumberFormat="1" applyFont="1" applyBorder="1" applyAlignment="1">
      <alignment horizontal="center" vertical="center" wrapText="1"/>
    </xf>
    <xf numFmtId="0" fontId="6" fillId="0" borderId="1" xfId="64" applyFont="1" applyBorder="1" applyAlignment="1">
      <alignment horizontal="center" vertical="center" wrapText="1"/>
    </xf>
    <xf numFmtId="0" fontId="80" fillId="0" borderId="1" xfId="64" applyFont="1" applyBorder="1" applyAlignment="1">
      <alignment horizontal="center" vertical="center" wrapText="1"/>
    </xf>
    <xf numFmtId="1" fontId="80" fillId="0" borderId="1" xfId="62" applyNumberFormat="1" applyFont="1" applyBorder="1" applyAlignment="1">
      <alignment horizontal="center" vertical="center" wrapText="1"/>
    </xf>
    <xf numFmtId="2" fontId="80" fillId="0" borderId="1" xfId="62" applyNumberFormat="1" applyFont="1" applyBorder="1" applyAlignment="1">
      <alignment horizontal="center" vertical="center" wrapText="1"/>
    </xf>
    <xf numFmtId="2" fontId="80" fillId="0" borderId="1" xfId="64" applyNumberFormat="1" applyFont="1" applyBorder="1" applyAlignment="1">
      <alignment horizontal="center" vertical="center" wrapText="1"/>
    </xf>
    <xf numFmtId="0" fontId="75" fillId="0" borderId="0" xfId="64" applyFont="1"/>
    <xf numFmtId="0" fontId="6" fillId="0" borderId="5" xfId="64" applyFont="1" applyBorder="1" applyAlignment="1">
      <alignment horizontal="center" vertical="center" wrapText="1"/>
    </xf>
    <xf numFmtId="0" fontId="6" fillId="0" borderId="5" xfId="64" applyFont="1" applyBorder="1" applyAlignment="1">
      <alignment vertical="center" wrapText="1"/>
    </xf>
    <xf numFmtId="166" fontId="6" fillId="0" borderId="5" xfId="62" applyNumberFormat="1" applyFont="1" applyBorder="1" applyAlignment="1">
      <alignment horizontal="right" vertical="center" wrapText="1"/>
    </xf>
    <xf numFmtId="178" fontId="6" fillId="0" borderId="5" xfId="64" applyNumberFormat="1" applyFont="1" applyBorder="1" applyAlignment="1">
      <alignment horizontal="center" vertical="center" wrapText="1"/>
    </xf>
    <xf numFmtId="0" fontId="6" fillId="0" borderId="4" xfId="64" applyFont="1" applyBorder="1" applyAlignment="1">
      <alignment horizontal="center" vertical="center" wrapText="1"/>
    </xf>
    <xf numFmtId="0" fontId="6" fillId="0" borderId="4" xfId="64" applyFont="1" applyBorder="1" applyAlignment="1">
      <alignment vertical="center" wrapText="1"/>
    </xf>
    <xf numFmtId="166" fontId="6" fillId="0" borderId="4" xfId="62" applyNumberFormat="1" applyFont="1" applyBorder="1" applyAlignment="1">
      <alignment horizontal="center" vertical="center" wrapText="1"/>
    </xf>
    <xf numFmtId="178" fontId="6" fillId="0" borderId="4" xfId="64" applyNumberFormat="1" applyFont="1" applyBorder="1" applyAlignment="1">
      <alignment horizontal="center" vertical="center" wrapText="1"/>
    </xf>
    <xf numFmtId="0" fontId="9" fillId="0" borderId="4" xfId="64" applyFont="1" applyBorder="1" applyAlignment="1">
      <alignment horizontal="center" vertical="center" wrapText="1"/>
    </xf>
    <xf numFmtId="0" fontId="9" fillId="0" borderId="4" xfId="64" applyFont="1" applyBorder="1" applyAlignment="1">
      <alignment horizontal="justify" vertical="center" wrapText="1"/>
    </xf>
    <xf numFmtId="166" fontId="9" fillId="0" borderId="4" xfId="62" applyNumberFormat="1" applyFont="1" applyBorder="1" applyAlignment="1">
      <alignment horizontal="center" vertical="center" wrapText="1"/>
    </xf>
    <xf numFmtId="166" fontId="9" fillId="0" borderId="4" xfId="62" applyNumberFormat="1" applyFont="1" applyBorder="1" applyAlignment="1">
      <alignment horizontal="right" vertical="center" wrapText="1"/>
    </xf>
    <xf numFmtId="166" fontId="9" fillId="0" borderId="4" xfId="62" applyNumberFormat="1" applyFont="1" applyFill="1" applyBorder="1" applyAlignment="1">
      <alignment horizontal="right" vertical="center" wrapText="1"/>
    </xf>
    <xf numFmtId="178" fontId="9" fillId="0" borderId="4" xfId="64" applyNumberFormat="1" applyFont="1" applyBorder="1" applyAlignment="1">
      <alignment horizontal="center" vertical="center" wrapText="1"/>
    </xf>
    <xf numFmtId="0" fontId="8" fillId="0" borderId="4" xfId="64" applyFont="1" applyBorder="1" applyAlignment="1">
      <alignment horizontal="center" vertical="center" wrapText="1"/>
    </xf>
    <xf numFmtId="0" fontId="8" fillId="0" borderId="4" xfId="64" applyFont="1" applyBorder="1" applyAlignment="1">
      <alignment vertical="center" wrapText="1"/>
    </xf>
    <xf numFmtId="166" fontId="8" fillId="0" borderId="4" xfId="62" applyNumberFormat="1" applyFont="1" applyBorder="1" applyAlignment="1">
      <alignment horizontal="center" vertical="center" wrapText="1"/>
    </xf>
    <xf numFmtId="178" fontId="8" fillId="0" borderId="4" xfId="64" applyNumberFormat="1" applyFont="1" applyBorder="1" applyAlignment="1">
      <alignment horizontal="center" vertical="center" wrapText="1"/>
    </xf>
    <xf numFmtId="0" fontId="9" fillId="0" borderId="4" xfId="64" applyFont="1" applyBorder="1" applyAlignment="1">
      <alignment vertical="center" wrapText="1"/>
    </xf>
    <xf numFmtId="166" fontId="7" fillId="0" borderId="4" xfId="62" applyNumberFormat="1" applyFont="1" applyBorder="1" applyAlignment="1">
      <alignment horizontal="center" vertical="center" wrapText="1"/>
    </xf>
    <xf numFmtId="0" fontId="7" fillId="0" borderId="4" xfId="64" applyFont="1" applyBorder="1" applyAlignment="1">
      <alignment horizontal="center" vertical="center" wrapText="1"/>
    </xf>
    <xf numFmtId="1" fontId="6" fillId="0" borderId="4" xfId="64" applyNumberFormat="1" applyFont="1" applyBorder="1" applyAlignment="1">
      <alignment horizontal="center" vertical="center" wrapText="1"/>
    </xf>
    <xf numFmtId="166" fontId="140" fillId="3" borderId="4" xfId="62" applyNumberFormat="1" applyFont="1" applyFill="1" applyBorder="1" applyAlignment="1">
      <alignment horizontal="center" vertical="center" wrapText="1"/>
    </xf>
    <xf numFmtId="166" fontId="102" fillId="0" borderId="4" xfId="62" applyNumberFormat="1" applyFont="1" applyBorder="1" applyAlignment="1">
      <alignment horizontal="center" vertical="center" wrapText="1"/>
    </xf>
    <xf numFmtId="0" fontId="7" fillId="0" borderId="4" xfId="64" applyFont="1" applyBorder="1" applyAlignment="1">
      <alignment vertical="center" wrapText="1"/>
    </xf>
    <xf numFmtId="166" fontId="141" fillId="0" borderId="4" xfId="62" applyNumberFormat="1" applyFont="1" applyBorder="1" applyAlignment="1">
      <alignment vertical="center" wrapText="1"/>
    </xf>
    <xf numFmtId="166" fontId="8" fillId="0" borderId="4" xfId="62" applyNumberFormat="1" applyFont="1" applyBorder="1" applyAlignment="1">
      <alignment vertical="center" wrapText="1"/>
    </xf>
    <xf numFmtId="166" fontId="7" fillId="0" borderId="4" xfId="62" applyNumberFormat="1" applyFont="1" applyBorder="1" applyAlignment="1">
      <alignment vertical="center" wrapText="1"/>
    </xf>
    <xf numFmtId="0" fontId="6" fillId="0" borderId="11" xfId="64" applyFont="1" applyBorder="1" applyAlignment="1">
      <alignment horizontal="center" vertical="center" wrapText="1"/>
    </xf>
    <xf numFmtId="0" fontId="6" fillId="0" borderId="11" xfId="64" applyFont="1" applyBorder="1" applyAlignment="1">
      <alignment vertical="center" wrapText="1"/>
    </xf>
    <xf numFmtId="166" fontId="6" fillId="0" borderId="11" xfId="62" applyNumberFormat="1" applyFont="1" applyBorder="1" applyAlignment="1">
      <alignment horizontal="center" vertical="center" wrapText="1"/>
    </xf>
    <xf numFmtId="178" fontId="6" fillId="0" borderId="11" xfId="64" applyNumberFormat="1" applyFont="1" applyBorder="1" applyAlignment="1">
      <alignment horizontal="center" vertical="center" wrapText="1"/>
    </xf>
    <xf numFmtId="0" fontId="8" fillId="0" borderId="1" xfId="64" applyFont="1" applyBorder="1" applyAlignment="1">
      <alignment horizontal="center" vertical="center" wrapText="1"/>
    </xf>
    <xf numFmtId="178" fontId="6" fillId="0" borderId="1" xfId="64" applyNumberFormat="1" applyFont="1" applyBorder="1" applyAlignment="1">
      <alignment horizontal="center" vertical="center" wrapText="1"/>
    </xf>
    <xf numFmtId="0" fontId="8" fillId="0" borderId="0" xfId="64" applyFont="1" applyAlignment="1">
      <alignment vertical="center"/>
    </xf>
    <xf numFmtId="166" fontId="7" fillId="0" borderId="0" xfId="62" applyNumberFormat="1" applyFont="1" applyAlignment="1">
      <alignment horizontal="center" vertical="center" wrapText="1"/>
    </xf>
    <xf numFmtId="166" fontId="8" fillId="0" borderId="4" xfId="62" applyNumberFormat="1" applyFont="1" applyFill="1" applyBorder="1" applyAlignment="1">
      <alignment horizontal="center" vertical="center" wrapText="1"/>
    </xf>
    <xf numFmtId="166" fontId="6" fillId="0" borderId="4" xfId="62" applyNumberFormat="1" applyFont="1" applyFill="1" applyBorder="1" applyAlignment="1">
      <alignment horizontal="center" vertical="center" wrapText="1"/>
    </xf>
    <xf numFmtId="166" fontId="6" fillId="0" borderId="5" xfId="62" applyNumberFormat="1" applyFont="1" applyFill="1" applyBorder="1" applyAlignment="1">
      <alignment horizontal="right" vertical="center" wrapText="1"/>
    </xf>
    <xf numFmtId="166" fontId="142" fillId="3" borderId="0" xfId="61" applyNumberFormat="1" applyFont="1" applyFill="1"/>
    <xf numFmtId="171" fontId="68" fillId="3" borderId="4" xfId="3" applyNumberFormat="1" applyFont="1" applyFill="1" applyBorder="1" applyAlignment="1">
      <alignment horizontal="center" vertical="center"/>
    </xf>
    <xf numFmtId="0" fontId="45" fillId="0" borderId="17" xfId="0" applyFont="1" applyFill="1" applyBorder="1" applyAlignment="1">
      <alignment horizontal="center" vertical="center" wrapText="1"/>
    </xf>
    <xf numFmtId="0" fontId="45" fillId="0" borderId="17" xfId="0" applyFont="1" applyFill="1" applyBorder="1" applyAlignment="1">
      <alignment horizontal="justify" vertical="center" wrapText="1"/>
    </xf>
    <xf numFmtId="166" fontId="45" fillId="0" borderId="17" xfId="40" applyNumberFormat="1" applyFont="1" applyFill="1" applyBorder="1" applyAlignment="1">
      <alignment horizontal="center" vertical="center" wrapText="1"/>
    </xf>
    <xf numFmtId="166" fontId="42" fillId="0" borderId="17" xfId="40" applyNumberFormat="1" applyFont="1" applyFill="1" applyBorder="1" applyAlignment="1">
      <alignment horizontal="center" vertical="center" wrapText="1"/>
    </xf>
    <xf numFmtId="9" fontId="45" fillId="0" borderId="17" xfId="65" applyFont="1" applyFill="1" applyBorder="1" applyAlignment="1">
      <alignment horizontal="center" vertical="center" wrapText="1"/>
    </xf>
    <xf numFmtId="0" fontId="84" fillId="0" borderId="4" xfId="61" applyNumberFormat="1" applyFont="1" applyFill="1" applyBorder="1" applyAlignment="1">
      <alignment horizontal="left" vertical="center" wrapText="1"/>
    </xf>
    <xf numFmtId="0" fontId="45" fillId="0" borderId="1" xfId="0" applyFont="1" applyFill="1" applyBorder="1" applyAlignment="1">
      <alignment horizontal="center" vertical="center" wrapText="1"/>
    </xf>
    <xf numFmtId="0" fontId="45" fillId="0" borderId="5" xfId="0" applyFont="1" applyFill="1" applyBorder="1" applyAlignment="1">
      <alignment horizontal="center" vertical="center" wrapText="1"/>
    </xf>
    <xf numFmtId="166" fontId="45" fillId="0" borderId="1" xfId="40" applyNumberFormat="1" applyFont="1" applyFill="1" applyBorder="1" applyAlignment="1">
      <alignment horizontal="center" vertical="center" wrapText="1"/>
    </xf>
    <xf numFmtId="166" fontId="71" fillId="4" borderId="0" xfId="40" applyNumberFormat="1" applyFont="1" applyFill="1" applyBorder="1" applyAlignment="1">
      <alignment horizontal="center" vertical="center"/>
    </xf>
    <xf numFmtId="0" fontId="71" fillId="4" borderId="0" xfId="0" applyFont="1" applyFill="1" applyBorder="1"/>
    <xf numFmtId="0" fontId="42" fillId="0" borderId="0" xfId="0" applyFont="1" applyFill="1" applyBorder="1" applyAlignment="1">
      <alignment horizontal="right" vertical="center" wrapText="1"/>
    </xf>
    <xf numFmtId="0" fontId="71" fillId="4" borderId="0" xfId="0" applyFont="1" applyFill="1" applyBorder="1" applyAlignment="1">
      <alignment horizontal="center" vertical="center"/>
    </xf>
    <xf numFmtId="0" fontId="64" fillId="4" borderId="0" xfId="0" applyFont="1" applyFill="1"/>
    <xf numFmtId="3" fontId="42" fillId="0" borderId="4" xfId="37" applyNumberFormat="1" applyFont="1" applyFill="1" applyBorder="1" applyAlignment="1">
      <alignment horizontal="right" vertical="center" wrapText="1"/>
    </xf>
    <xf numFmtId="3" fontId="15" fillId="0" borderId="0" xfId="2" applyNumberFormat="1" applyFont="1" applyFill="1" applyBorder="1"/>
    <xf numFmtId="3" fontId="15" fillId="0" borderId="0" xfId="2" applyNumberFormat="1" applyFont="1" applyFill="1" applyBorder="1" applyAlignment="1">
      <alignment horizontal="right"/>
    </xf>
    <xf numFmtId="1" fontId="143"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0" fontId="35" fillId="0" borderId="1" xfId="0" applyFont="1" applyFill="1" applyBorder="1" applyAlignment="1">
      <alignment horizontal="center" vertical="center" wrapText="1"/>
    </xf>
    <xf numFmtId="0" fontId="35" fillId="0" borderId="1" xfId="0" applyFont="1" applyFill="1" applyBorder="1" applyAlignment="1">
      <alignment horizontal="justify" vertical="center" wrapText="1"/>
    </xf>
    <xf numFmtId="3" fontId="35" fillId="0" borderId="1" xfId="0" applyNumberFormat="1" applyFont="1" applyFill="1" applyBorder="1" applyAlignment="1">
      <alignment horizontal="right" vertical="center" wrapText="1"/>
    </xf>
    <xf numFmtId="0" fontId="35" fillId="0" borderId="1" xfId="0" applyFont="1" applyFill="1" applyBorder="1" applyAlignment="1">
      <alignment horizontal="right" vertical="center" wrapText="1"/>
    </xf>
    <xf numFmtId="0" fontId="31" fillId="0" borderId="16" xfId="0" applyFont="1" applyFill="1" applyBorder="1" applyAlignment="1">
      <alignment horizontal="center" vertical="center" wrapText="1"/>
    </xf>
    <xf numFmtId="0" fontId="31" fillId="0" borderId="16" xfId="0" applyFont="1" applyFill="1" applyBorder="1" applyAlignment="1">
      <alignment horizontal="justify" vertical="center" wrapText="1"/>
    </xf>
    <xf numFmtId="3" fontId="31" fillId="0" borderId="16" xfId="0" applyNumberFormat="1" applyFont="1" applyFill="1" applyBorder="1" applyAlignment="1">
      <alignment horizontal="right" vertical="center" wrapText="1"/>
    </xf>
    <xf numFmtId="0" fontId="31" fillId="0" borderId="16" xfId="0" applyFont="1" applyFill="1" applyBorder="1" applyAlignment="1">
      <alignment horizontal="right" vertical="center" wrapText="1"/>
    </xf>
    <xf numFmtId="0" fontId="31" fillId="0" borderId="4" xfId="0" applyFont="1" applyFill="1" applyBorder="1" applyAlignment="1">
      <alignment horizontal="center" vertical="center" wrapText="1"/>
    </xf>
    <xf numFmtId="0" fontId="31" fillId="0" borderId="4" xfId="0" applyFont="1" applyFill="1" applyBorder="1" applyAlignment="1">
      <alignment horizontal="justify" vertical="center" wrapText="1"/>
    </xf>
    <xf numFmtId="3" fontId="31" fillId="0" borderId="4" xfId="0" applyNumberFormat="1" applyFont="1" applyFill="1" applyBorder="1" applyAlignment="1">
      <alignment horizontal="right" vertical="center" wrapText="1"/>
    </xf>
    <xf numFmtId="0" fontId="31" fillId="0" borderId="4" xfId="0" applyFont="1" applyFill="1" applyBorder="1" applyAlignment="1">
      <alignment horizontal="right" vertical="center" wrapText="1"/>
    </xf>
    <xf numFmtId="0" fontId="31" fillId="0" borderId="0" xfId="0" applyFont="1" applyFill="1" applyAlignment="1">
      <alignment vertical="center"/>
    </xf>
    <xf numFmtId="43" fontId="31" fillId="0" borderId="4" xfId="40" applyFont="1" applyFill="1" applyBorder="1" applyAlignment="1">
      <alignment horizontal="right" vertical="center" wrapText="1"/>
    </xf>
    <xf numFmtId="0" fontId="31" fillId="0" borderId="20" xfId="0" applyFont="1" applyFill="1" applyBorder="1" applyAlignment="1">
      <alignment horizontal="center" vertical="center" wrapText="1"/>
    </xf>
    <xf numFmtId="0" fontId="31" fillId="0" borderId="20" xfId="0" applyFont="1" applyFill="1" applyBorder="1" applyAlignment="1">
      <alignment horizontal="justify" vertical="center" wrapText="1"/>
    </xf>
    <xf numFmtId="3" fontId="31" fillId="0" borderId="20" xfId="0" applyNumberFormat="1" applyFont="1" applyFill="1" applyBorder="1" applyAlignment="1">
      <alignment horizontal="right" vertical="center" wrapText="1"/>
    </xf>
    <xf numFmtId="0" fontId="31" fillId="0" borderId="20" xfId="0" applyFont="1" applyFill="1" applyBorder="1" applyAlignment="1">
      <alignment horizontal="right" vertical="center" wrapText="1"/>
    </xf>
    <xf numFmtId="0" fontId="144" fillId="4" borderId="17" xfId="0" applyFont="1" applyFill="1" applyBorder="1" applyAlignment="1">
      <alignment vertical="center"/>
    </xf>
    <xf numFmtId="0" fontId="144" fillId="4" borderId="17" xfId="0" applyFont="1" applyFill="1" applyBorder="1"/>
    <xf numFmtId="0" fontId="145" fillId="4" borderId="1" xfId="0" applyFont="1" applyFill="1" applyBorder="1" applyAlignment="1">
      <alignment vertical="center"/>
    </xf>
    <xf numFmtId="166" fontId="145" fillId="4" borderId="1" xfId="40" applyNumberFormat="1" applyFont="1" applyFill="1" applyBorder="1" applyAlignment="1">
      <alignment horizontal="center" vertical="center"/>
    </xf>
    <xf numFmtId="0" fontId="145" fillId="4" borderId="1" xfId="0" applyFont="1" applyFill="1" applyBorder="1"/>
    <xf numFmtId="166" fontId="144" fillId="4" borderId="1" xfId="40" applyNumberFormat="1" applyFont="1" applyFill="1" applyBorder="1" applyAlignment="1">
      <alignment vertical="center"/>
    </xf>
    <xf numFmtId="0" fontId="31" fillId="0" borderId="1" xfId="0" applyFont="1" applyFill="1" applyBorder="1" applyAlignment="1">
      <alignment horizontal="right" vertical="center" wrapText="1"/>
    </xf>
    <xf numFmtId="0" fontId="12" fillId="0" borderId="1" xfId="0" applyFont="1" applyFill="1" applyBorder="1" applyAlignment="1">
      <alignment horizontal="center" vertical="center" wrapText="1"/>
    </xf>
    <xf numFmtId="0" fontId="52" fillId="4" borderId="1" xfId="41" applyFont="1" applyFill="1" applyBorder="1" applyAlignment="1">
      <alignment horizontal="center" vertical="center"/>
    </xf>
    <xf numFmtId="0" fontId="53" fillId="4" borderId="1" xfId="41" applyNumberFormat="1" applyFont="1" applyFill="1" applyBorder="1" applyAlignment="1">
      <alignment horizontal="center" vertical="center"/>
    </xf>
    <xf numFmtId="0" fontId="54" fillId="4" borderId="1" xfId="41" applyFont="1" applyFill="1" applyBorder="1" applyAlignment="1">
      <alignment horizontal="center" vertical="center"/>
    </xf>
    <xf numFmtId="0" fontId="53" fillId="4" borderId="2" xfId="41" applyNumberFormat="1" applyFont="1" applyFill="1" applyBorder="1" applyAlignment="1">
      <alignment horizontal="center" vertical="center" wrapText="1"/>
    </xf>
    <xf numFmtId="0" fontId="53" fillId="4" borderId="9" xfId="41" applyFont="1" applyFill="1" applyBorder="1" applyAlignment="1">
      <alignment horizontal="center" vertical="center"/>
    </xf>
    <xf numFmtId="0" fontId="53" fillId="4" borderId="1" xfId="41" applyFont="1" applyFill="1" applyBorder="1" applyAlignment="1">
      <alignment horizontal="center" vertical="center"/>
    </xf>
    <xf numFmtId="0" fontId="144" fillId="4" borderId="17" xfId="0" applyFont="1" applyFill="1" applyBorder="1" applyAlignment="1">
      <alignment horizontal="center" vertical="center"/>
    </xf>
    <xf numFmtId="166" fontId="147" fillId="0" borderId="4" xfId="62" applyNumberFormat="1" applyFont="1" applyFill="1" applyBorder="1" applyAlignment="1">
      <alignment horizontal="center" vertical="center" wrapText="1"/>
    </xf>
    <xf numFmtId="166" fontId="147" fillId="0" borderId="4" xfId="62" applyNumberFormat="1" applyFont="1" applyFill="1" applyBorder="1" applyAlignment="1">
      <alignment vertical="center" wrapText="1"/>
    </xf>
    <xf numFmtId="166" fontId="12" fillId="0" borderId="5" xfId="40" applyNumberFormat="1" applyFont="1" applyFill="1" applyBorder="1" applyAlignment="1">
      <alignment vertical="center" wrapText="1"/>
    </xf>
    <xf numFmtId="166" fontId="15" fillId="0" borderId="4" xfId="40" applyNumberFormat="1" applyFont="1" applyFill="1" applyBorder="1" applyAlignment="1">
      <alignment vertical="center" wrapText="1"/>
    </xf>
    <xf numFmtId="166" fontId="14" fillId="0" borderId="4" xfId="40" applyNumberFormat="1" applyFont="1" applyFill="1" applyBorder="1" applyAlignment="1">
      <alignment vertical="center" wrapText="1"/>
    </xf>
    <xf numFmtId="166" fontId="13" fillId="0" borderId="4" xfId="40" applyNumberFormat="1" applyFont="1" applyFill="1" applyBorder="1" applyAlignment="1">
      <alignment vertical="center" wrapText="1"/>
    </xf>
    <xf numFmtId="43" fontId="15" fillId="0" borderId="4" xfId="40" applyFont="1" applyFill="1" applyBorder="1" applyAlignment="1">
      <alignment vertical="center" wrapText="1"/>
    </xf>
    <xf numFmtId="166" fontId="12" fillId="0" borderId="4" xfId="40" applyNumberFormat="1" applyFont="1" applyFill="1" applyBorder="1" applyAlignment="1">
      <alignment vertical="center" wrapText="1"/>
    </xf>
    <xf numFmtId="43" fontId="12" fillId="0" borderId="14" xfId="40" applyFont="1" applyFill="1" applyBorder="1" applyAlignment="1">
      <alignment vertical="center" wrapText="1"/>
    </xf>
    <xf numFmtId="166" fontId="12" fillId="0" borderId="14" xfId="40" applyNumberFormat="1" applyFont="1" applyFill="1" applyBorder="1" applyAlignment="1">
      <alignment vertical="center" wrapText="1"/>
    </xf>
    <xf numFmtId="166" fontId="12" fillId="0" borderId="5" xfId="0" applyNumberFormat="1" applyFont="1" applyFill="1" applyBorder="1" applyAlignment="1">
      <alignment vertical="center" wrapText="1"/>
    </xf>
    <xf numFmtId="3" fontId="15" fillId="0" borderId="4" xfId="0" applyNumberFormat="1" applyFont="1" applyFill="1" applyBorder="1" applyAlignment="1">
      <alignment horizontal="justify" vertical="center" wrapText="1"/>
    </xf>
    <xf numFmtId="166" fontId="15" fillId="0" borderId="4" xfId="0" applyNumberFormat="1" applyFont="1" applyFill="1" applyBorder="1" applyAlignment="1">
      <alignment vertical="center" wrapText="1"/>
    </xf>
    <xf numFmtId="3" fontId="13" fillId="0" borderId="4" xfId="0" applyNumberFormat="1" applyFont="1" applyFill="1" applyBorder="1" applyAlignment="1">
      <alignment horizontal="justify" vertical="center" wrapText="1"/>
    </xf>
    <xf numFmtId="166" fontId="14" fillId="0" borderId="4" xfId="0" applyNumberFormat="1" applyFont="1" applyFill="1" applyBorder="1" applyAlignment="1">
      <alignment vertical="center" wrapText="1"/>
    </xf>
    <xf numFmtId="166" fontId="12" fillId="0" borderId="4" xfId="0" applyNumberFormat="1" applyFont="1" applyFill="1" applyBorder="1" applyAlignment="1">
      <alignment vertical="center" wrapText="1"/>
    </xf>
    <xf numFmtId="3" fontId="13" fillId="0" borderId="4" xfId="0" applyNumberFormat="1" applyFont="1" applyFill="1" applyBorder="1" applyAlignment="1">
      <alignment horizontal="justify" vertical="center"/>
    </xf>
    <xf numFmtId="3" fontId="14" fillId="0" borderId="4" xfId="0" applyNumberFormat="1" applyFont="1" applyFill="1" applyBorder="1" applyAlignment="1">
      <alignment horizontal="justify" vertical="center"/>
    </xf>
    <xf numFmtId="166" fontId="148" fillId="0" borderId="4" xfId="40" applyNumberFormat="1" applyFont="1" applyFill="1" applyBorder="1" applyAlignment="1">
      <alignment vertical="center" wrapText="1"/>
    </xf>
    <xf numFmtId="3" fontId="14" fillId="0" borderId="4" xfId="0" applyNumberFormat="1" applyFont="1" applyFill="1" applyBorder="1" applyAlignment="1">
      <alignment horizontal="justify" vertical="center" wrapText="1"/>
    </xf>
    <xf numFmtId="0" fontId="13" fillId="0" borderId="4" xfId="41" applyNumberFormat="1" applyFont="1" applyFill="1" applyBorder="1" applyAlignment="1">
      <alignment horizontal="justify" vertical="center" wrapText="1"/>
    </xf>
    <xf numFmtId="43" fontId="13" fillId="0" borderId="4" xfId="40" applyFont="1" applyFill="1" applyBorder="1" applyAlignment="1">
      <alignment vertical="center" wrapText="1"/>
    </xf>
    <xf numFmtId="171" fontId="13" fillId="0" borderId="4" xfId="3" applyNumberFormat="1" applyFont="1" applyFill="1" applyBorder="1" applyAlignment="1">
      <alignment horizontal="justify" vertical="center" wrapText="1"/>
    </xf>
    <xf numFmtId="0" fontId="13" fillId="0" borderId="11" xfId="0" applyFont="1" applyFill="1" applyBorder="1" applyAlignment="1">
      <alignment horizontal="center" vertical="center" wrapText="1"/>
    </xf>
    <xf numFmtId="171" fontId="13" fillId="0" borderId="11" xfId="3" applyNumberFormat="1" applyFont="1" applyFill="1" applyBorder="1" applyAlignment="1">
      <alignment horizontal="justify" vertical="center" wrapText="1"/>
    </xf>
    <xf numFmtId="43" fontId="13" fillId="0" borderId="14" xfId="40" applyFont="1" applyFill="1" applyBorder="1" applyAlignment="1">
      <alignment vertical="center" wrapText="1"/>
    </xf>
    <xf numFmtId="166" fontId="13" fillId="0" borderId="14" xfId="40" applyNumberFormat="1" applyFont="1" applyFill="1" applyBorder="1" applyAlignment="1">
      <alignment vertical="center" wrapText="1"/>
    </xf>
    <xf numFmtId="43" fontId="12" fillId="0" borderId="1" xfId="40" applyFont="1" applyFill="1" applyBorder="1" applyAlignment="1">
      <alignment vertical="center" wrapText="1"/>
    </xf>
    <xf numFmtId="0" fontId="149" fillId="4" borderId="17" xfId="0" applyFont="1" applyFill="1" applyBorder="1" applyAlignment="1">
      <alignment horizontal="justify" vertical="center"/>
    </xf>
    <xf numFmtId="166" fontId="149" fillId="4" borderId="17" xfId="40" applyNumberFormat="1" applyFont="1" applyFill="1" applyBorder="1" applyAlignment="1">
      <alignment vertical="center"/>
    </xf>
    <xf numFmtId="3" fontId="121" fillId="4" borderId="22" xfId="0" applyNumberFormat="1" applyFont="1" applyFill="1" applyBorder="1" applyAlignment="1">
      <alignment horizontal="right" vertical="center" wrapText="1"/>
    </xf>
    <xf numFmtId="3" fontId="121" fillId="4" borderId="0" xfId="0" applyNumberFormat="1" applyFont="1" applyFill="1" applyBorder="1" applyAlignment="1">
      <alignment horizontal="right" vertical="center" wrapText="1"/>
    </xf>
    <xf numFmtId="171" fontId="42" fillId="4" borderId="20" xfId="3" applyNumberFormat="1" applyFont="1" applyFill="1" applyBorder="1" applyAlignment="1">
      <alignment horizontal="left" vertical="center" wrapText="1"/>
    </xf>
    <xf numFmtId="0" fontId="71" fillId="0" borderId="16" xfId="69" applyFont="1" applyFill="1" applyBorder="1" applyAlignment="1">
      <alignment horizontal="justify" vertical="center" wrapText="1"/>
    </xf>
    <xf numFmtId="0" fontId="38" fillId="4" borderId="4" xfId="37" applyFont="1" applyFill="1" applyBorder="1" applyAlignment="1">
      <alignment horizontal="justify" vertical="center" wrapText="1"/>
    </xf>
    <xf numFmtId="0" fontId="10" fillId="4" borderId="4" xfId="37" applyFont="1" applyFill="1" applyBorder="1" applyAlignment="1">
      <alignment horizontal="justify" vertical="center" wrapText="1"/>
    </xf>
    <xf numFmtId="0" fontId="71" fillId="0" borderId="4" xfId="69" applyFont="1" applyFill="1" applyBorder="1" applyAlignment="1">
      <alignment horizontal="justify" vertical="center" wrapText="1"/>
    </xf>
    <xf numFmtId="0" fontId="38" fillId="4" borderId="20" xfId="37" applyFont="1" applyFill="1" applyBorder="1" applyAlignment="1">
      <alignment horizontal="justify" vertical="center" wrapText="1"/>
    </xf>
    <xf numFmtId="3" fontId="103" fillId="4" borderId="4" xfId="70" applyNumberFormat="1" applyFont="1" applyFill="1" applyBorder="1" applyAlignment="1">
      <alignment horizontal="justify" vertical="center" wrapText="1"/>
    </xf>
    <xf numFmtId="3" fontId="42" fillId="4" borderId="16" xfId="70" applyNumberFormat="1" applyFont="1" applyFill="1" applyBorder="1" applyAlignment="1">
      <alignment horizontal="justify" vertical="center" wrapText="1"/>
    </xf>
    <xf numFmtId="0" fontId="42" fillId="0" borderId="4" xfId="71" applyFont="1" applyFill="1" applyBorder="1" applyAlignment="1">
      <alignment horizontal="justify" vertical="center" wrapText="1"/>
    </xf>
    <xf numFmtId="0" fontId="42" fillId="0" borderId="20" xfId="71" applyFont="1" applyFill="1" applyBorder="1" applyAlignment="1">
      <alignment horizontal="justify" vertical="center" wrapText="1"/>
    </xf>
    <xf numFmtId="3" fontId="42" fillId="4" borderId="4" xfId="70" applyNumberFormat="1" applyFont="1" applyFill="1" applyBorder="1" applyAlignment="1">
      <alignment horizontal="justify" vertical="center" wrapText="1"/>
    </xf>
    <xf numFmtId="0" fontId="115" fillId="4" borderId="4" xfId="69" applyFont="1" applyFill="1" applyBorder="1" applyAlignment="1">
      <alignment horizontal="justify" vertical="center" wrapText="1"/>
    </xf>
    <xf numFmtId="0" fontId="42" fillId="4" borderId="4" xfId="69" applyFont="1" applyFill="1" applyBorder="1" applyAlignment="1">
      <alignment horizontal="justify" vertical="center" wrapText="1"/>
    </xf>
    <xf numFmtId="0" fontId="79" fillId="4" borderId="4" xfId="69" applyFont="1" applyFill="1" applyBorder="1" applyAlignment="1">
      <alignment horizontal="justify" vertical="center" wrapText="1"/>
    </xf>
    <xf numFmtId="0" fontId="103" fillId="4" borderId="4" xfId="69" applyFont="1" applyFill="1" applyBorder="1" applyAlignment="1">
      <alignment horizontal="justify" vertical="center" wrapText="1"/>
    </xf>
    <xf numFmtId="0" fontId="103" fillId="0" borderId="4" xfId="69" applyFont="1" applyFill="1" applyBorder="1" applyAlignment="1">
      <alignment horizontal="justify" vertical="center" wrapText="1"/>
    </xf>
    <xf numFmtId="0" fontId="71" fillId="4" borderId="4" xfId="69" applyFont="1" applyFill="1" applyBorder="1" applyAlignment="1">
      <alignment horizontal="justify" vertical="center" wrapText="1"/>
    </xf>
    <xf numFmtId="0" fontId="75" fillId="4" borderId="4" xfId="69" applyFont="1" applyFill="1" applyBorder="1" applyAlignment="1">
      <alignment horizontal="justify" vertical="center" wrapText="1"/>
    </xf>
    <xf numFmtId="2" fontId="75" fillId="4" borderId="4" xfId="69" applyNumberFormat="1" applyFont="1" applyFill="1" applyBorder="1" applyAlignment="1">
      <alignment horizontal="justify" vertical="center" wrapText="1"/>
    </xf>
    <xf numFmtId="2" fontId="71" fillId="0" borderId="4" xfId="69" applyNumberFormat="1" applyFont="1" applyFill="1" applyBorder="1" applyAlignment="1">
      <alignment horizontal="justify" vertical="center" wrapText="1"/>
    </xf>
    <xf numFmtId="0" fontId="42" fillId="4" borderId="4" xfId="72" applyFont="1" applyFill="1" applyBorder="1" applyAlignment="1">
      <alignment horizontal="justify" vertical="center" wrapText="1"/>
    </xf>
    <xf numFmtId="0" fontId="75" fillId="4" borderId="17" xfId="69" applyFont="1" applyFill="1" applyBorder="1" applyAlignment="1">
      <alignment horizontal="justify" vertical="center" wrapText="1"/>
    </xf>
    <xf numFmtId="0" fontId="116" fillId="0" borderId="4" xfId="69" applyFont="1" applyFill="1" applyBorder="1" applyAlignment="1">
      <alignment horizontal="justify" vertical="center" wrapText="1"/>
    </xf>
    <xf numFmtId="0" fontId="116" fillId="4" borderId="4" xfId="37" applyFont="1" applyFill="1" applyBorder="1" applyAlignment="1">
      <alignment horizontal="justify" vertical="center" wrapText="1"/>
    </xf>
    <xf numFmtId="0" fontId="115" fillId="4" borderId="4" xfId="37" applyFont="1" applyFill="1" applyBorder="1" applyAlignment="1">
      <alignment horizontal="justify" vertical="center" wrapText="1"/>
    </xf>
    <xf numFmtId="0" fontId="103" fillId="4" borderId="4" xfId="37" applyFont="1" applyFill="1" applyBorder="1" applyAlignment="1">
      <alignment horizontal="justify" vertical="center" wrapText="1"/>
    </xf>
    <xf numFmtId="3" fontId="115" fillId="4" borderId="4" xfId="70" applyNumberFormat="1" applyFont="1" applyFill="1" applyBorder="1" applyAlignment="1">
      <alignment horizontal="justify" wrapText="1"/>
    </xf>
    <xf numFmtId="0" fontId="115" fillId="4" borderId="4" xfId="69" applyFont="1" applyFill="1" applyBorder="1" applyAlignment="1">
      <alignment horizontal="justify" wrapText="1"/>
    </xf>
    <xf numFmtId="0" fontId="116" fillId="4" borderId="4" xfId="69" applyFont="1" applyFill="1" applyBorder="1" applyAlignment="1">
      <alignment horizontal="justify" vertical="center" wrapText="1"/>
    </xf>
    <xf numFmtId="3" fontId="103" fillId="4" borderId="4" xfId="69" applyNumberFormat="1" applyFont="1" applyFill="1" applyBorder="1" applyAlignment="1">
      <alignment horizontal="justify" vertical="center" wrapText="1"/>
    </xf>
    <xf numFmtId="3" fontId="103" fillId="4" borderId="4" xfId="69" applyNumberFormat="1" applyFont="1" applyFill="1" applyBorder="1" applyAlignment="1">
      <alignment horizontal="justify" vertical="center"/>
    </xf>
    <xf numFmtId="3" fontId="103" fillId="4" borderId="17" xfId="69" applyNumberFormat="1" applyFont="1" applyFill="1" applyBorder="1" applyAlignment="1">
      <alignment horizontal="justify" vertical="center" wrapText="1"/>
    </xf>
    <xf numFmtId="3" fontId="121" fillId="0" borderId="22" xfId="3" applyNumberFormat="1" applyFont="1" applyFill="1" applyBorder="1" applyAlignment="1">
      <alignment vertical="center" wrapText="1"/>
    </xf>
    <xf numFmtId="179" fontId="121" fillId="0" borderId="0" xfId="3" applyNumberFormat="1" applyFont="1" applyFill="1" applyBorder="1" applyAlignment="1">
      <alignment vertical="center" wrapText="1"/>
    </xf>
    <xf numFmtId="0" fontId="86" fillId="0" borderId="0" xfId="0" applyFont="1" applyAlignment="1">
      <alignment vertical="center"/>
    </xf>
    <xf numFmtId="0" fontId="86" fillId="0" borderId="0" xfId="0" applyFont="1" applyAlignment="1">
      <alignment horizontal="center" vertical="center"/>
    </xf>
    <xf numFmtId="0" fontId="83" fillId="0" borderId="1" xfId="0" applyFont="1" applyBorder="1" applyAlignment="1">
      <alignment horizontal="center" vertical="center"/>
    </xf>
    <xf numFmtId="0" fontId="86" fillId="0" borderId="1" xfId="0" applyFont="1" applyBorder="1" applyAlignment="1">
      <alignment vertical="center"/>
    </xf>
    <xf numFmtId="0" fontId="6" fillId="0" borderId="1" xfId="0" applyFont="1" applyFill="1" applyBorder="1" applyAlignment="1">
      <alignment horizontal="center" vertical="center" wrapText="1"/>
    </xf>
    <xf numFmtId="0" fontId="14" fillId="0" borderId="1" xfId="1" applyFont="1" applyBorder="1" applyAlignment="1">
      <alignment horizontal="center" vertical="center" wrapText="1"/>
    </xf>
    <xf numFmtId="0" fontId="17" fillId="0" borderId="1" xfId="0" applyFont="1" applyBorder="1" applyAlignment="1">
      <alignment horizontal="center" vertical="center"/>
    </xf>
    <xf numFmtId="0" fontId="86" fillId="0" borderId="1" xfId="0" applyFont="1" applyBorder="1" applyAlignment="1">
      <alignment horizontal="center" vertical="center"/>
    </xf>
    <xf numFmtId="0" fontId="0" fillId="0" borderId="0" xfId="0" applyAlignment="1">
      <alignment horizontal="center" vertical="center"/>
    </xf>
    <xf numFmtId="0" fontId="8" fillId="0" borderId="1" xfId="0" applyFont="1" applyBorder="1" applyAlignment="1">
      <alignment horizontal="justify" vertical="center" wrapText="1"/>
    </xf>
    <xf numFmtId="0" fontId="17" fillId="0" borderId="1" xfId="0" applyFont="1" applyBorder="1" applyAlignment="1">
      <alignment horizontal="justify" vertical="center"/>
    </xf>
    <xf numFmtId="0" fontId="69" fillId="0" borderId="1" xfId="61" applyFont="1" applyFill="1" applyBorder="1" applyAlignment="1">
      <alignment horizontal="center" vertical="center" wrapText="1"/>
    </xf>
    <xf numFmtId="0" fontId="69" fillId="0" borderId="1" xfId="61" applyNumberFormat="1" applyFont="1" applyFill="1" applyBorder="1" applyAlignment="1">
      <alignment horizontal="center" vertical="center" wrapText="1"/>
    </xf>
    <xf numFmtId="0" fontId="69" fillId="0" borderId="1" xfId="61" applyNumberFormat="1" applyFont="1" applyFill="1" applyBorder="1" applyAlignment="1">
      <alignment vertical="center" wrapText="1"/>
    </xf>
    <xf numFmtId="3" fontId="69" fillId="0" borderId="1" xfId="63" applyNumberFormat="1" applyFont="1" applyFill="1" applyBorder="1" applyAlignment="1">
      <alignment horizontal="right" vertical="center" wrapText="1"/>
    </xf>
    <xf numFmtId="181" fontId="69" fillId="0" borderId="1" xfId="63" applyNumberFormat="1" applyFont="1" applyFill="1" applyBorder="1" applyAlignment="1">
      <alignment horizontal="right" vertical="center" wrapText="1"/>
    </xf>
    <xf numFmtId="0" fontId="82" fillId="0" borderId="16" xfId="61" applyNumberFormat="1" applyFont="1" applyFill="1" applyBorder="1" applyAlignment="1">
      <alignment horizontal="center" vertical="center" wrapText="1"/>
    </xf>
    <xf numFmtId="0" fontId="82" fillId="0" borderId="16" xfId="61" applyNumberFormat="1" applyFont="1" applyFill="1" applyBorder="1" applyAlignment="1">
      <alignment vertical="center" wrapText="1"/>
    </xf>
    <xf numFmtId="166" fontId="82" fillId="0" borderId="16" xfId="62" applyNumberFormat="1" applyFont="1" applyFill="1" applyBorder="1" applyAlignment="1">
      <alignment horizontal="right" vertical="center" wrapText="1"/>
    </xf>
    <xf numFmtId="181" fontId="82" fillId="0" borderId="16" xfId="63" applyNumberFormat="1" applyFont="1" applyFill="1" applyBorder="1" applyAlignment="1">
      <alignment horizontal="right" vertical="center" wrapText="1"/>
    </xf>
    <xf numFmtId="166" fontId="84" fillId="0" borderId="4" xfId="62" applyNumberFormat="1" applyFont="1" applyFill="1" applyBorder="1" applyAlignment="1">
      <alignment horizontal="right" vertical="center" wrapText="1"/>
    </xf>
    <xf numFmtId="181" fontId="84" fillId="0" borderId="4" xfId="63" applyNumberFormat="1" applyFont="1" applyFill="1" applyBorder="1" applyAlignment="1">
      <alignment horizontal="right" vertical="center" wrapText="1"/>
    </xf>
    <xf numFmtId="43" fontId="29" fillId="0" borderId="0" xfId="62" applyFont="1" applyFill="1"/>
    <xf numFmtId="0" fontId="82" fillId="0" borderId="4" xfId="61" applyNumberFormat="1" applyFont="1" applyFill="1" applyBorder="1" applyAlignment="1">
      <alignment horizontal="center" vertical="center" wrapText="1"/>
    </xf>
    <xf numFmtId="0" fontId="82" fillId="0" borderId="4" xfId="61" applyNumberFormat="1" applyFont="1" applyFill="1" applyBorder="1" applyAlignment="1">
      <alignment vertical="center" wrapText="1"/>
    </xf>
    <xf numFmtId="166" fontId="82" fillId="0" borderId="4" xfId="62" applyNumberFormat="1" applyFont="1" applyFill="1" applyBorder="1" applyAlignment="1">
      <alignment horizontal="right" vertical="center" wrapText="1"/>
    </xf>
    <xf numFmtId="181" fontId="82" fillId="0" borderId="4" xfId="63" applyNumberFormat="1" applyFont="1" applyFill="1" applyBorder="1" applyAlignment="1">
      <alignment horizontal="right" vertical="center" wrapText="1"/>
    </xf>
    <xf numFmtId="166" fontId="86" fillId="0" borderId="0" xfId="76" applyNumberFormat="1" applyFont="1" applyFill="1"/>
    <xf numFmtId="0" fontId="82" fillId="0" borderId="20" xfId="61" applyNumberFormat="1" applyFont="1" applyFill="1" applyBorder="1" applyAlignment="1">
      <alignment horizontal="center" vertical="center" wrapText="1"/>
    </xf>
    <xf numFmtId="0" fontId="82" fillId="0" borderId="20" xfId="61" applyNumberFormat="1" applyFont="1" applyFill="1" applyBorder="1" applyAlignment="1">
      <alignment vertical="center" wrapText="1"/>
    </xf>
    <xf numFmtId="166" fontId="82" fillId="0" borderId="20" xfId="62" applyNumberFormat="1" applyFont="1" applyFill="1" applyBorder="1" applyAlignment="1">
      <alignment horizontal="right" vertical="center" wrapText="1"/>
    </xf>
    <xf numFmtId="181" fontId="82" fillId="0" borderId="20" xfId="63" applyNumberFormat="1" applyFont="1" applyFill="1" applyBorder="1" applyAlignment="1">
      <alignment horizontal="right" vertical="center" wrapText="1"/>
    </xf>
    <xf numFmtId="166" fontId="69" fillId="0" borderId="1" xfId="61" applyNumberFormat="1" applyFont="1" applyFill="1" applyBorder="1" applyAlignment="1">
      <alignment horizontal="center" vertical="center" wrapText="1"/>
    </xf>
    <xf numFmtId="166" fontId="69" fillId="0" borderId="1" xfId="62" applyNumberFormat="1" applyFont="1" applyFill="1" applyBorder="1" applyAlignment="1">
      <alignment horizontal="right" vertical="center" wrapText="1"/>
    </xf>
    <xf numFmtId="167" fontId="86" fillId="0" borderId="0" xfId="61" applyNumberFormat="1" applyFont="1"/>
    <xf numFmtId="166" fontId="29" fillId="0" borderId="0" xfId="61" applyNumberFormat="1" applyFont="1"/>
    <xf numFmtId="0" fontId="82" fillId="0" borderId="11" xfId="61" applyNumberFormat="1" applyFont="1" applyFill="1" applyBorder="1" applyAlignment="1">
      <alignment horizontal="center" vertical="center" wrapText="1"/>
    </xf>
    <xf numFmtId="0" fontId="82" fillId="0" borderId="11" xfId="61" applyNumberFormat="1" applyFont="1" applyFill="1" applyBorder="1" applyAlignment="1">
      <alignment vertical="center" wrapText="1"/>
    </xf>
    <xf numFmtId="166" fontId="82" fillId="0" borderId="11" xfId="61" applyNumberFormat="1" applyFont="1" applyFill="1" applyBorder="1" applyAlignment="1">
      <alignment horizontal="center" vertical="center" wrapText="1"/>
    </xf>
    <xf numFmtId="166" fontId="82" fillId="0" borderId="5" xfId="62" applyNumberFormat="1" applyFont="1" applyFill="1" applyBorder="1" applyAlignment="1">
      <alignment horizontal="right" vertical="center" wrapText="1"/>
    </xf>
    <xf numFmtId="181" fontId="82" fillId="0" borderId="5" xfId="63" applyNumberFormat="1" applyFont="1" applyFill="1" applyBorder="1" applyAlignment="1">
      <alignment horizontal="right" vertical="center" wrapText="1"/>
    </xf>
    <xf numFmtId="9" fontId="84" fillId="0" borderId="4" xfId="63" applyNumberFormat="1" applyFont="1" applyFill="1" applyBorder="1" applyAlignment="1">
      <alignment horizontal="right" vertical="center" wrapText="1"/>
    </xf>
    <xf numFmtId="181" fontId="69" fillId="0" borderId="4" xfId="63" applyNumberFormat="1" applyFont="1" applyFill="1" applyBorder="1" applyAlignment="1">
      <alignment horizontal="right" vertical="center" wrapText="1"/>
    </xf>
    <xf numFmtId="166" fontId="69" fillId="0" borderId="4" xfId="62" applyNumberFormat="1" applyFont="1" applyFill="1" applyBorder="1" applyAlignment="1">
      <alignment horizontal="right" vertical="center" wrapText="1"/>
    </xf>
    <xf numFmtId="166" fontId="82" fillId="0" borderId="4" xfId="61" applyNumberFormat="1" applyFont="1" applyFill="1" applyBorder="1" applyAlignment="1">
      <alignment horizontal="center" vertical="center" wrapText="1"/>
    </xf>
    <xf numFmtId="166" fontId="82" fillId="0" borderId="20" xfId="61" applyNumberFormat="1" applyFont="1" applyFill="1" applyBorder="1" applyAlignment="1">
      <alignment horizontal="center" vertical="center" wrapText="1"/>
    </xf>
    <xf numFmtId="166" fontId="82" fillId="0" borderId="16" xfId="61" applyNumberFormat="1" applyFont="1" applyFill="1" applyBorder="1" applyAlignment="1">
      <alignment horizontal="center" vertical="center" wrapText="1"/>
    </xf>
    <xf numFmtId="0" fontId="150" fillId="0" borderId="0" xfId="61" applyFont="1"/>
    <xf numFmtId="0" fontId="82" fillId="0" borderId="20" xfId="61" applyNumberFormat="1" applyFont="1" applyFill="1" applyBorder="1" applyAlignment="1">
      <alignment horizontal="justify" vertical="center" wrapText="1"/>
    </xf>
    <xf numFmtId="9" fontId="82" fillId="0" borderId="20" xfId="63" applyNumberFormat="1" applyFont="1" applyFill="1" applyBorder="1" applyAlignment="1">
      <alignment horizontal="right" vertical="center" wrapText="1"/>
    </xf>
    <xf numFmtId="166" fontId="84" fillId="0" borderId="1" xfId="61" applyNumberFormat="1" applyFont="1" applyFill="1" applyBorder="1" applyAlignment="1">
      <alignment horizontal="center" vertical="center" wrapText="1"/>
    </xf>
    <xf numFmtId="0" fontId="15" fillId="0" borderId="0" xfId="61" applyFont="1" applyFill="1" applyAlignment="1">
      <alignment vertical="center"/>
    </xf>
    <xf numFmtId="0" fontId="112" fillId="0" borderId="0" xfId="61" applyFont="1" applyFill="1" applyAlignment="1"/>
    <xf numFmtId="0" fontId="12" fillId="0" borderId="0" xfId="61" applyFont="1" applyAlignment="1">
      <alignment horizontal="left" vertical="center"/>
    </xf>
    <xf numFmtId="0" fontId="45" fillId="0" borderId="1" xfId="61" applyFont="1" applyBorder="1" applyAlignment="1">
      <alignment horizontal="center" vertical="center" wrapText="1"/>
    </xf>
    <xf numFmtId="0" fontId="45" fillId="0" borderId="1" xfId="61" applyFont="1" applyFill="1" applyBorder="1" applyAlignment="1">
      <alignment horizontal="center" vertical="center" wrapText="1"/>
    </xf>
    <xf numFmtId="0" fontId="56" fillId="0" borderId="1" xfId="61" applyFont="1" applyBorder="1" applyAlignment="1">
      <alignment horizontal="center" vertical="center" wrapText="1"/>
    </xf>
    <xf numFmtId="0" fontId="56" fillId="0" borderId="1" xfId="61" applyFont="1" applyFill="1" applyBorder="1" applyAlignment="1">
      <alignment horizontal="center" vertical="center" wrapText="1"/>
    </xf>
    <xf numFmtId="0" fontId="45" fillId="0" borderId="5" xfId="61" applyFont="1" applyBorder="1" applyAlignment="1">
      <alignment horizontal="center" vertical="center" wrapText="1"/>
    </xf>
    <xf numFmtId="0" fontId="45" fillId="0" borderId="5" xfId="61" applyFont="1" applyBorder="1" applyAlignment="1">
      <alignment horizontal="justify" vertical="center" wrapText="1"/>
    </xf>
    <xf numFmtId="166" fontId="45" fillId="0" borderId="5" xfId="62" applyNumberFormat="1" applyFont="1" applyFill="1" applyBorder="1" applyAlignment="1">
      <alignment horizontal="center" vertical="center" wrapText="1"/>
    </xf>
    <xf numFmtId="181" fontId="45" fillId="0" borderId="5" xfId="63" applyNumberFormat="1" applyFont="1" applyBorder="1" applyAlignment="1">
      <alignment horizontal="right" vertical="center" wrapText="1"/>
    </xf>
    <xf numFmtId="0" fontId="45" fillId="0" borderId="1" xfId="61" applyFont="1" applyBorder="1" applyAlignment="1">
      <alignment horizontal="justify" vertical="center" wrapText="1"/>
    </xf>
    <xf numFmtId="0" fontId="45" fillId="0" borderId="1" xfId="61" applyFont="1" applyBorder="1" applyAlignment="1">
      <alignment vertical="center" wrapText="1"/>
    </xf>
    <xf numFmtId="181" fontId="45" fillId="0" borderId="1" xfId="63" applyNumberFormat="1" applyFont="1" applyBorder="1" applyAlignment="1">
      <alignment horizontal="right" vertical="center" wrapText="1"/>
    </xf>
    <xf numFmtId="0" fontId="103" fillId="0" borderId="16" xfId="61" applyFont="1" applyBorder="1" applyAlignment="1">
      <alignment horizontal="center" vertical="center" wrapText="1"/>
    </xf>
    <xf numFmtId="0" fontId="103" fillId="0" borderId="16" xfId="61" applyFont="1" applyBorder="1" applyAlignment="1">
      <alignment horizontal="justify" vertical="center" wrapText="1"/>
    </xf>
    <xf numFmtId="0" fontId="103" fillId="0" borderId="16" xfId="61" applyFont="1" applyBorder="1" applyAlignment="1">
      <alignment vertical="center" wrapText="1"/>
    </xf>
    <xf numFmtId="166" fontId="103" fillId="0" borderId="16" xfId="62" applyNumberFormat="1" applyFont="1" applyFill="1" applyBorder="1" applyAlignment="1">
      <alignment horizontal="center" vertical="center" wrapText="1"/>
    </xf>
    <xf numFmtId="181" fontId="103" fillId="0" borderId="16" xfId="63" applyNumberFormat="1" applyFont="1" applyBorder="1" applyAlignment="1">
      <alignment horizontal="right" vertical="center" wrapText="1"/>
    </xf>
    <xf numFmtId="0" fontId="42" fillId="0" borderId="20" xfId="61" applyFont="1" applyBorder="1" applyAlignment="1">
      <alignment horizontal="center" vertical="center" wrapText="1"/>
    </xf>
    <xf numFmtId="0" fontId="42" fillId="0" borderId="4" xfId="61" applyFont="1" applyBorder="1" applyAlignment="1">
      <alignment horizontal="justify" vertical="center" wrapText="1"/>
    </xf>
    <xf numFmtId="0" fontId="42" fillId="0" borderId="4" xfId="61" applyFont="1" applyBorder="1" applyAlignment="1">
      <alignment vertical="center" wrapText="1"/>
    </xf>
    <xf numFmtId="181" fontId="42" fillId="0" borderId="4" xfId="63" applyNumberFormat="1" applyFont="1" applyBorder="1" applyAlignment="1">
      <alignment horizontal="right" vertical="center" wrapText="1"/>
    </xf>
    <xf numFmtId="0" fontId="42" fillId="4" borderId="4" xfId="64" applyFont="1" applyFill="1" applyBorder="1" applyAlignment="1">
      <alignment horizontal="center" vertical="center" wrapText="1"/>
    </xf>
    <xf numFmtId="0" fontId="42" fillId="4" borderId="4" xfId="64" applyFont="1" applyFill="1" applyBorder="1" applyAlignment="1">
      <alignment horizontal="justify" vertical="center" wrapText="1"/>
    </xf>
    <xf numFmtId="0" fontId="42" fillId="0" borderId="4" xfId="61" applyFont="1" applyBorder="1" applyAlignment="1">
      <alignment horizontal="center" vertical="center" wrapText="1"/>
    </xf>
    <xf numFmtId="0" fontId="56" fillId="0" borderId="4" xfId="61" applyFont="1" applyBorder="1" applyAlignment="1">
      <alignment horizontal="justify" vertical="center" wrapText="1"/>
    </xf>
    <xf numFmtId="0" fontId="56" fillId="0" borderId="4" xfId="61" applyFont="1" applyBorder="1" applyAlignment="1">
      <alignment vertical="center" wrapText="1"/>
    </xf>
    <xf numFmtId="181" fontId="42" fillId="0" borderId="4" xfId="62" applyNumberFormat="1" applyFont="1" applyFill="1" applyBorder="1" applyAlignment="1">
      <alignment horizontal="right" vertical="center" wrapText="1"/>
    </xf>
    <xf numFmtId="181" fontId="103" fillId="0" borderId="4" xfId="63" applyNumberFormat="1" applyFont="1" applyBorder="1" applyAlignment="1">
      <alignment horizontal="right" vertical="center" wrapText="1"/>
    </xf>
    <xf numFmtId="0" fontId="42" fillId="0" borderId="4" xfId="64" applyFont="1" applyFill="1" applyBorder="1" applyAlignment="1">
      <alignment horizontal="justify" vertical="center" wrapText="1"/>
    </xf>
    <xf numFmtId="181" fontId="42" fillId="0" borderId="4" xfId="62" applyNumberFormat="1" applyFont="1" applyFill="1" applyBorder="1" applyAlignment="1">
      <alignment horizontal="center" vertical="center" wrapText="1"/>
    </xf>
    <xf numFmtId="0" fontId="103" fillId="0" borderId="4" xfId="61" applyFont="1" applyBorder="1" applyAlignment="1">
      <alignment horizontal="center" vertical="center" wrapText="1"/>
    </xf>
    <xf numFmtId="0" fontId="103" fillId="0" borderId="4" xfId="61" applyFont="1" applyBorder="1" applyAlignment="1">
      <alignment horizontal="justify" vertical="center" wrapText="1"/>
    </xf>
    <xf numFmtId="0" fontId="103" fillId="0" borderId="4" xfId="61" applyFont="1" applyBorder="1" applyAlignment="1">
      <alignment vertical="center" wrapText="1"/>
    </xf>
    <xf numFmtId="166" fontId="103" fillId="0" borderId="4" xfId="62" applyNumberFormat="1" applyFont="1" applyFill="1" applyBorder="1" applyAlignment="1">
      <alignment horizontal="center" vertical="center" wrapText="1"/>
    </xf>
    <xf numFmtId="0" fontId="103" fillId="0" borderId="20" xfId="61" applyFont="1" applyBorder="1" applyAlignment="1">
      <alignment horizontal="center" vertical="center" wrapText="1"/>
    </xf>
    <xf numFmtId="0" fontId="103" fillId="0" borderId="20" xfId="61" applyFont="1" applyBorder="1" applyAlignment="1">
      <alignment horizontal="justify" vertical="center" wrapText="1"/>
    </xf>
    <xf numFmtId="0" fontId="103" fillId="0" borderId="20" xfId="61" applyFont="1" applyBorder="1" applyAlignment="1">
      <alignment vertical="center" wrapText="1"/>
    </xf>
    <xf numFmtId="166" fontId="103" fillId="0" borderId="20" xfId="62" applyNumberFormat="1" applyFont="1" applyFill="1" applyBorder="1" applyAlignment="1">
      <alignment horizontal="center" vertical="center" wrapText="1"/>
    </xf>
    <xf numFmtId="181" fontId="103" fillId="0" borderId="20" xfId="63" applyNumberFormat="1" applyFont="1" applyBorder="1" applyAlignment="1">
      <alignment horizontal="right" vertical="center" wrapText="1"/>
    </xf>
    <xf numFmtId="166" fontId="112" fillId="0" borderId="0" xfId="76" applyNumberFormat="1" applyFont="1" applyFill="1"/>
    <xf numFmtId="0" fontId="112" fillId="0" borderId="0" xfId="61" applyFont="1" applyFill="1" applyAlignment="1">
      <alignment horizontal="justify"/>
    </xf>
    <xf numFmtId="171" fontId="45" fillId="0" borderId="0" xfId="76" applyNumberFormat="1" applyFont="1" applyFill="1" applyBorder="1" applyAlignment="1">
      <alignment horizontal="center" vertical="center" wrapText="1"/>
    </xf>
    <xf numFmtId="166" fontId="45" fillId="0" borderId="1" xfId="76" applyNumberFormat="1" applyFont="1" applyFill="1" applyBorder="1" applyAlignment="1">
      <alignment horizontal="center" vertical="center" wrapText="1"/>
    </xf>
    <xf numFmtId="166" fontId="56" fillId="0" borderId="1" xfId="76" applyNumberFormat="1" applyFont="1" applyFill="1" applyBorder="1" applyAlignment="1">
      <alignment horizontal="center" vertical="center" wrapText="1"/>
    </xf>
    <xf numFmtId="37" fontId="56" fillId="0" borderId="1" xfId="76" applyNumberFormat="1" applyFont="1" applyFill="1" applyBorder="1" applyAlignment="1">
      <alignment horizontal="center" vertical="center" wrapText="1"/>
    </xf>
    <xf numFmtId="0" fontId="82" fillId="0" borderId="0" xfId="61" applyFont="1" applyFill="1"/>
    <xf numFmtId="166" fontId="69" fillId="0" borderId="0" xfId="61" applyNumberFormat="1" applyFont="1" applyFill="1" applyAlignment="1">
      <alignment horizontal="center" vertical="center"/>
    </xf>
    <xf numFmtId="0" fontId="69" fillId="0" borderId="0" xfId="61" applyFont="1" applyFill="1" applyAlignment="1">
      <alignment horizontal="center" vertical="center"/>
    </xf>
    <xf numFmtId="0" fontId="45" fillId="0" borderId="5" xfId="61" applyFont="1" applyFill="1" applyBorder="1" applyAlignment="1">
      <alignment horizontal="center" vertical="center" wrapText="1"/>
    </xf>
    <xf numFmtId="166" fontId="45" fillId="0" borderId="5" xfId="76" applyNumberFormat="1" applyFont="1" applyFill="1" applyBorder="1" applyAlignment="1">
      <alignment horizontal="center" vertical="center" wrapText="1"/>
    </xf>
    <xf numFmtId="181" fontId="45" fillId="0" borderId="5" xfId="63" applyNumberFormat="1" applyFont="1" applyFill="1" applyBorder="1" applyAlignment="1">
      <alignment horizontal="center" vertical="center" wrapText="1"/>
    </xf>
    <xf numFmtId="0" fontId="84" fillId="0" borderId="0" xfId="61" applyFont="1" applyFill="1"/>
    <xf numFmtId="166" fontId="84" fillId="0" borderId="0" xfId="61" applyNumberFormat="1" applyFont="1" applyFill="1"/>
    <xf numFmtId="0" fontId="45" fillId="0" borderId="1" xfId="61" applyFont="1" applyFill="1" applyBorder="1" applyAlignment="1">
      <alignment horizontal="justify" vertical="center" wrapText="1"/>
    </xf>
    <xf numFmtId="166" fontId="84" fillId="0" borderId="0" xfId="62" applyNumberFormat="1" applyFont="1" applyFill="1"/>
    <xf numFmtId="0" fontId="45" fillId="0" borderId="16" xfId="61" applyFont="1" applyFill="1" applyBorder="1" applyAlignment="1">
      <alignment horizontal="center" vertical="center" wrapText="1"/>
    </xf>
    <xf numFmtId="0" fontId="45" fillId="0" borderId="16" xfId="61" applyFont="1" applyFill="1" applyBorder="1" applyAlignment="1">
      <alignment horizontal="justify" vertical="center" wrapText="1"/>
    </xf>
    <xf numFmtId="166" fontId="45" fillId="0" borderId="16" xfId="76" applyNumberFormat="1" applyFont="1" applyFill="1" applyBorder="1" applyAlignment="1">
      <alignment horizontal="center" vertical="center" wrapText="1"/>
    </xf>
    <xf numFmtId="0" fontId="103" fillId="0" borderId="4" xfId="61" applyFont="1" applyFill="1" applyBorder="1" applyAlignment="1">
      <alignment horizontal="center" vertical="center" wrapText="1"/>
    </xf>
    <xf numFmtId="0" fontId="103" fillId="0" borderId="4" xfId="61" applyFont="1" applyFill="1" applyBorder="1" applyAlignment="1">
      <alignment horizontal="justify" vertical="center" wrapText="1"/>
    </xf>
    <xf numFmtId="166" fontId="103" fillId="0" borderId="4" xfId="76" applyNumberFormat="1" applyFont="1" applyFill="1" applyBorder="1" applyAlignment="1">
      <alignment horizontal="center" vertical="center" wrapText="1"/>
    </xf>
    <xf numFmtId="181" fontId="103" fillId="0" borderId="4" xfId="63" applyNumberFormat="1" applyFont="1" applyFill="1" applyBorder="1" applyAlignment="1">
      <alignment horizontal="center" vertical="center" wrapText="1"/>
    </xf>
    <xf numFmtId="181" fontId="45" fillId="0" borderId="4" xfId="63" applyNumberFormat="1" applyFont="1" applyFill="1" applyBorder="1" applyAlignment="1">
      <alignment horizontal="center" vertical="center" wrapText="1"/>
    </xf>
    <xf numFmtId="0" fontId="42" fillId="0" borderId="4" xfId="61" applyFont="1" applyFill="1" applyBorder="1" applyAlignment="1">
      <alignment horizontal="center" vertical="center" wrapText="1"/>
    </xf>
    <xf numFmtId="0" fontId="56" fillId="0" borderId="4" xfId="61" applyFont="1" applyFill="1" applyBorder="1" applyAlignment="1">
      <alignment horizontal="justify" vertical="center" wrapText="1"/>
    </xf>
    <xf numFmtId="166" fontId="42" fillId="0" borderId="4" xfId="76" applyNumberFormat="1" applyFont="1" applyFill="1" applyBorder="1" applyAlignment="1">
      <alignment horizontal="center" vertical="center" wrapText="1"/>
    </xf>
    <xf numFmtId="166" fontId="56" fillId="0" borderId="4" xfId="76" applyNumberFormat="1" applyFont="1" applyFill="1" applyBorder="1" applyAlignment="1">
      <alignment horizontal="center" vertical="center" wrapText="1"/>
    </xf>
    <xf numFmtId="0" fontId="69" fillId="0" borderId="0" xfId="61" applyFont="1" applyFill="1"/>
    <xf numFmtId="166" fontId="69" fillId="0" borderId="0" xfId="61" applyNumberFormat="1" applyFont="1" applyFill="1"/>
    <xf numFmtId="181" fontId="42" fillId="0" borderId="20" xfId="62" applyNumberFormat="1" applyFont="1" applyFill="1" applyBorder="1" applyAlignment="1">
      <alignment horizontal="center" vertical="center" wrapText="1"/>
    </xf>
    <xf numFmtId="181" fontId="103" fillId="0" borderId="4" xfId="62" applyNumberFormat="1" applyFont="1" applyFill="1" applyBorder="1" applyAlignment="1">
      <alignment horizontal="center" vertical="center" wrapText="1"/>
    </xf>
    <xf numFmtId="181" fontId="45" fillId="0" borderId="4" xfId="62" applyNumberFormat="1" applyFont="1" applyFill="1" applyBorder="1" applyAlignment="1">
      <alignment horizontal="center" vertical="center" wrapText="1"/>
    </xf>
    <xf numFmtId="181" fontId="45" fillId="0" borderId="20" xfId="62" applyNumberFormat="1" applyFont="1" applyFill="1" applyBorder="1" applyAlignment="1">
      <alignment horizontal="center" vertical="center" wrapText="1"/>
    </xf>
    <xf numFmtId="0" fontId="45" fillId="0" borderId="4" xfId="61" applyFont="1" applyFill="1" applyBorder="1" applyAlignment="1">
      <alignment horizontal="center" vertical="center" wrapText="1"/>
    </xf>
    <xf numFmtId="0" fontId="45" fillId="0" borderId="4" xfId="61" applyFont="1" applyFill="1" applyBorder="1" applyAlignment="1">
      <alignment horizontal="justify" vertical="center" wrapText="1"/>
    </xf>
    <xf numFmtId="166" fontId="45" fillId="0" borderId="4" xfId="76" applyNumberFormat="1" applyFont="1" applyFill="1" applyBorder="1" applyAlignment="1">
      <alignment horizontal="center" vertical="center" wrapText="1"/>
    </xf>
    <xf numFmtId="166" fontId="84" fillId="0" borderId="0" xfId="76" applyNumberFormat="1" applyFont="1" applyFill="1" applyAlignment="1">
      <alignment vertical="center"/>
    </xf>
    <xf numFmtId="166" fontId="84" fillId="0" borderId="0" xfId="62" applyNumberFormat="1" applyFont="1" applyFill="1" applyAlignment="1">
      <alignment vertical="center"/>
    </xf>
    <xf numFmtId="0" fontId="112" fillId="0" borderId="0" xfId="61" applyFont="1" applyFill="1" applyAlignment="1">
      <alignment horizontal="center" vertical="center"/>
    </xf>
    <xf numFmtId="181" fontId="56" fillId="0" borderId="4" xfId="62" applyNumberFormat="1" applyFont="1" applyFill="1" applyBorder="1" applyAlignment="1">
      <alignment horizontal="center" vertical="center" wrapText="1"/>
    </xf>
    <xf numFmtId="181" fontId="56" fillId="0" borderId="20" xfId="62" applyNumberFormat="1" applyFont="1" applyFill="1" applyBorder="1" applyAlignment="1">
      <alignment horizontal="center" vertical="center" wrapText="1"/>
    </xf>
    <xf numFmtId="0" fontId="45" fillId="0" borderId="20" xfId="61" applyFont="1" applyFill="1" applyBorder="1" applyAlignment="1">
      <alignment horizontal="center" vertical="center" wrapText="1"/>
    </xf>
    <xf numFmtId="0" fontId="45" fillId="0" borderId="20" xfId="61" applyFont="1" applyFill="1" applyBorder="1" applyAlignment="1">
      <alignment horizontal="justify" vertical="center" wrapText="1"/>
    </xf>
    <xf numFmtId="166" fontId="45" fillId="0" borderId="20" xfId="76" applyNumberFormat="1" applyFont="1" applyFill="1" applyBorder="1" applyAlignment="1">
      <alignment horizontal="center" vertical="center" wrapText="1"/>
    </xf>
    <xf numFmtId="166" fontId="42" fillId="0" borderId="20" xfId="76" applyNumberFormat="1" applyFont="1" applyFill="1" applyBorder="1" applyAlignment="1">
      <alignment horizontal="center" vertical="center" wrapText="1"/>
    </xf>
    <xf numFmtId="181" fontId="45" fillId="0" borderId="1" xfId="63" applyNumberFormat="1" applyFont="1" applyFill="1" applyBorder="1" applyAlignment="1">
      <alignment horizontal="center" vertical="center" wrapText="1"/>
    </xf>
    <xf numFmtId="3" fontId="103" fillId="0" borderId="4" xfId="61" applyNumberFormat="1" applyFont="1" applyFill="1" applyBorder="1" applyAlignment="1">
      <alignment horizontal="justify" vertical="center" wrapText="1"/>
    </xf>
    <xf numFmtId="3" fontId="42" fillId="0" borderId="4" xfId="61" applyNumberFormat="1" applyFont="1" applyFill="1" applyBorder="1" applyAlignment="1">
      <alignment horizontal="justify" vertical="center" wrapText="1"/>
    </xf>
    <xf numFmtId="0" fontId="42" fillId="0" borderId="4" xfId="61" applyFont="1" applyFill="1" applyBorder="1" applyAlignment="1">
      <alignment horizontal="justify" vertical="center" wrapText="1"/>
    </xf>
    <xf numFmtId="166" fontId="42" fillId="0" borderId="4" xfId="76" applyNumberFormat="1" applyFont="1" applyFill="1" applyBorder="1" applyAlignment="1">
      <alignment vertical="center" wrapText="1"/>
    </xf>
    <xf numFmtId="181" fontId="42" fillId="0" borderId="4" xfId="63" applyNumberFormat="1" applyFont="1" applyFill="1" applyBorder="1" applyAlignment="1">
      <alignment horizontal="center" vertical="center" wrapText="1"/>
    </xf>
    <xf numFmtId="0" fontId="56" fillId="0" borderId="4" xfId="61" applyFont="1" applyFill="1" applyBorder="1" applyAlignment="1">
      <alignment horizontal="center" vertical="center" wrapText="1"/>
    </xf>
    <xf numFmtId="3" fontId="56" fillId="0" borderId="4" xfId="61" applyNumberFormat="1" applyFont="1" applyFill="1" applyBorder="1" applyAlignment="1">
      <alignment horizontal="justify" vertical="center" wrapText="1"/>
    </xf>
    <xf numFmtId="3" fontId="56" fillId="0" borderId="4" xfId="61" applyNumberFormat="1" applyFont="1" applyFill="1" applyBorder="1" applyAlignment="1">
      <alignment horizontal="justify" vertical="center"/>
    </xf>
    <xf numFmtId="0" fontId="56" fillId="0" borderId="16" xfId="61" applyFont="1" applyFill="1" applyBorder="1" applyAlignment="1">
      <alignment horizontal="center" vertical="center" wrapText="1"/>
    </xf>
    <xf numFmtId="3" fontId="56" fillId="0" borderId="16" xfId="61" applyNumberFormat="1" applyFont="1" applyFill="1" applyBorder="1" applyAlignment="1">
      <alignment horizontal="justify" vertical="center"/>
    </xf>
    <xf numFmtId="166" fontId="56" fillId="0" borderId="16" xfId="76" applyNumberFormat="1" applyFont="1" applyFill="1" applyBorder="1" applyAlignment="1">
      <alignment horizontal="center" vertical="center" wrapText="1"/>
    </xf>
    <xf numFmtId="181" fontId="56" fillId="0" borderId="16" xfId="62" applyNumberFormat="1" applyFont="1" applyFill="1" applyBorder="1" applyAlignment="1">
      <alignment horizontal="center" vertical="center" wrapText="1"/>
    </xf>
    <xf numFmtId="3" fontId="42" fillId="0" borderId="4" xfId="61" applyNumberFormat="1" applyFont="1" applyFill="1" applyBorder="1" applyAlignment="1">
      <alignment horizontal="justify" vertical="center"/>
    </xf>
    <xf numFmtId="166" fontId="56" fillId="0" borderId="4" xfId="62" applyNumberFormat="1" applyFont="1" applyFill="1" applyBorder="1" applyAlignment="1">
      <alignment horizontal="center" vertical="center" wrapText="1"/>
    </xf>
    <xf numFmtId="0" fontId="56" fillId="4" borderId="4" xfId="64" applyFont="1" applyFill="1" applyBorder="1" applyAlignment="1">
      <alignment horizontal="justify" vertical="center" wrapText="1"/>
    </xf>
    <xf numFmtId="0" fontId="56" fillId="0" borderId="11" xfId="61" applyFont="1" applyFill="1" applyBorder="1" applyAlignment="1">
      <alignment horizontal="center" vertical="center" wrapText="1"/>
    </xf>
    <xf numFmtId="0" fontId="56" fillId="0" borderId="11" xfId="41" applyNumberFormat="1" applyFont="1" applyFill="1" applyBorder="1" applyAlignment="1">
      <alignment horizontal="justify" vertical="center" wrapText="1"/>
    </xf>
    <xf numFmtId="166" fontId="56" fillId="0" borderId="11" xfId="76" applyNumberFormat="1" applyFont="1" applyFill="1" applyBorder="1" applyAlignment="1">
      <alignment horizontal="center" vertical="center" wrapText="1"/>
    </xf>
    <xf numFmtId="181" fontId="56" fillId="0" borderId="11" xfId="62" applyNumberFormat="1" applyFont="1" applyFill="1" applyBorder="1" applyAlignment="1">
      <alignment horizontal="center" vertical="center" wrapText="1"/>
    </xf>
    <xf numFmtId="181" fontId="45" fillId="0" borderId="1" xfId="62" applyNumberFormat="1" applyFont="1" applyFill="1" applyBorder="1" applyAlignment="1">
      <alignment horizontal="center" vertical="center" wrapText="1"/>
    </xf>
    <xf numFmtId="0" fontId="56" fillId="0" borderId="4" xfId="64" applyFont="1" applyBorder="1" applyAlignment="1">
      <alignment horizontal="justify" vertical="center" wrapText="1"/>
    </xf>
    <xf numFmtId="167" fontId="126" fillId="0" borderId="0" xfId="62" applyNumberFormat="1" applyFont="1" applyFill="1"/>
    <xf numFmtId="166" fontId="12" fillId="0" borderId="1" xfId="61" applyNumberFormat="1" applyFont="1" applyFill="1" applyBorder="1" applyAlignment="1">
      <alignment horizontal="center" vertical="center" wrapText="1"/>
    </xf>
    <xf numFmtId="181" fontId="12" fillId="0" borderId="1" xfId="63" applyNumberFormat="1" applyFont="1" applyFill="1" applyBorder="1" applyAlignment="1">
      <alignment horizontal="center" vertical="center" wrapText="1"/>
    </xf>
    <xf numFmtId="0" fontId="14" fillId="0" borderId="0" xfId="61" applyFont="1" applyFill="1" applyAlignment="1">
      <alignment vertical="center"/>
    </xf>
    <xf numFmtId="166" fontId="14" fillId="0" borderId="0" xfId="61" applyNumberFormat="1" applyFont="1" applyFill="1" applyAlignment="1">
      <alignment vertical="center"/>
    </xf>
    <xf numFmtId="0" fontId="12" fillId="0" borderId="1" xfId="61" applyFont="1" applyFill="1" applyBorder="1" applyAlignment="1">
      <alignment horizontal="justify" vertical="center" wrapText="1"/>
    </xf>
    <xf numFmtId="166" fontId="12" fillId="0" borderId="1" xfId="76" applyNumberFormat="1" applyFont="1" applyFill="1" applyBorder="1" applyAlignment="1">
      <alignment horizontal="center" vertical="center" wrapText="1"/>
    </xf>
    <xf numFmtId="166" fontId="112" fillId="0" borderId="0" xfId="62" applyNumberFormat="1" applyFont="1" applyFill="1" applyAlignment="1">
      <alignment vertical="center"/>
    </xf>
    <xf numFmtId="0" fontId="12" fillId="0" borderId="16" xfId="61" applyFont="1" applyFill="1" applyBorder="1" applyAlignment="1">
      <alignment horizontal="center" vertical="center" wrapText="1"/>
    </xf>
    <xf numFmtId="0" fontId="12" fillId="0" borderId="16" xfId="61" applyFont="1" applyFill="1" applyBorder="1" applyAlignment="1">
      <alignment vertical="center" wrapText="1"/>
    </xf>
    <xf numFmtId="166" fontId="12" fillId="0" borderId="16" xfId="76" applyNumberFormat="1" applyFont="1" applyFill="1" applyBorder="1" applyAlignment="1">
      <alignment horizontal="center" vertical="center" wrapText="1"/>
    </xf>
    <xf numFmtId="166" fontId="12" fillId="0" borderId="16" xfId="61" applyNumberFormat="1" applyFont="1" applyFill="1" applyBorder="1" applyAlignment="1">
      <alignment horizontal="center" vertical="center" wrapText="1"/>
    </xf>
    <xf numFmtId="181" fontId="12" fillId="0" borderId="16" xfId="63" applyNumberFormat="1" applyFont="1" applyFill="1" applyBorder="1" applyAlignment="1">
      <alignment horizontal="center" vertical="center" wrapText="1"/>
    </xf>
    <xf numFmtId="166" fontId="69" fillId="0" borderId="0" xfId="76" applyNumberFormat="1" applyFont="1" applyFill="1"/>
    <xf numFmtId="171" fontId="84" fillId="0" borderId="0" xfId="61" applyNumberFormat="1" applyFont="1" applyFill="1"/>
    <xf numFmtId="0" fontId="15" fillId="0" borderId="4" xfId="61" applyFont="1" applyFill="1" applyBorder="1" applyAlignment="1">
      <alignment horizontal="center" vertical="center" wrapText="1"/>
    </xf>
    <xf numFmtId="0" fontId="15" fillId="0" borderId="4" xfId="61" applyFont="1" applyFill="1" applyBorder="1" applyAlignment="1">
      <alignment vertical="center" wrapText="1"/>
    </xf>
    <xf numFmtId="166" fontId="15" fillId="0" borderId="4" xfId="76" applyNumberFormat="1" applyFont="1" applyFill="1" applyBorder="1" applyAlignment="1">
      <alignment horizontal="center" vertical="center" wrapText="1"/>
    </xf>
    <xf numFmtId="166" fontId="15" fillId="0" borderId="4" xfId="61" applyNumberFormat="1" applyFont="1" applyFill="1" applyBorder="1" applyAlignment="1">
      <alignment horizontal="center" vertical="center" wrapText="1"/>
    </xf>
    <xf numFmtId="181" fontId="15" fillId="0" borderId="4" xfId="63" applyNumberFormat="1" applyFont="1" applyFill="1" applyBorder="1" applyAlignment="1">
      <alignment horizontal="center" vertical="center" wrapText="1"/>
    </xf>
    <xf numFmtId="166" fontId="14" fillId="0" borderId="4" xfId="76" applyNumberFormat="1" applyFont="1" applyFill="1" applyBorder="1" applyAlignment="1">
      <alignment horizontal="center" vertical="center" wrapText="1"/>
    </xf>
    <xf numFmtId="3" fontId="14" fillId="0" borderId="4" xfId="61" applyNumberFormat="1" applyFont="1" applyFill="1" applyBorder="1" applyAlignment="1">
      <alignment horizontal="right" vertical="center" wrapText="1"/>
    </xf>
    <xf numFmtId="166" fontId="14" fillId="0" borderId="4" xfId="61" applyNumberFormat="1" applyFont="1" applyFill="1" applyBorder="1" applyAlignment="1">
      <alignment horizontal="center" vertical="center" wrapText="1"/>
    </xf>
    <xf numFmtId="181" fontId="14" fillId="0" borderId="4" xfId="76" applyNumberFormat="1" applyFont="1" applyFill="1" applyBorder="1" applyAlignment="1">
      <alignment horizontal="center" vertical="center" wrapText="1"/>
    </xf>
    <xf numFmtId="43" fontId="14" fillId="0" borderId="4" xfId="62" applyFont="1" applyFill="1" applyBorder="1" applyAlignment="1">
      <alignment horizontal="right" vertical="center" wrapText="1"/>
    </xf>
    <xf numFmtId="166" fontId="14" fillId="0" borderId="4" xfId="76" applyNumberFormat="1" applyFont="1" applyFill="1" applyBorder="1" applyAlignment="1">
      <alignment horizontal="right" vertical="center" wrapText="1"/>
    </xf>
    <xf numFmtId="43" fontId="14" fillId="0" borderId="4" xfId="76" applyFont="1" applyFill="1" applyBorder="1" applyAlignment="1">
      <alignment horizontal="right" vertical="center" wrapText="1"/>
    </xf>
    <xf numFmtId="0" fontId="15" fillId="0" borderId="4" xfId="61" applyFont="1" applyFill="1" applyBorder="1" applyAlignment="1">
      <alignment horizontal="justify" vertical="center" wrapText="1"/>
    </xf>
    <xf numFmtId="166" fontId="15" fillId="0" borderId="4" xfId="76" applyNumberFormat="1" applyFont="1" applyFill="1" applyBorder="1" applyAlignment="1">
      <alignment horizontal="right" vertical="center" wrapText="1"/>
    </xf>
    <xf numFmtId="181" fontId="15" fillId="0" borderId="4" xfId="76" applyNumberFormat="1" applyFont="1" applyFill="1" applyBorder="1" applyAlignment="1">
      <alignment horizontal="center" vertical="center" wrapText="1"/>
    </xf>
    <xf numFmtId="43" fontId="15" fillId="0" borderId="4" xfId="76" applyFont="1" applyFill="1" applyBorder="1" applyAlignment="1">
      <alignment horizontal="center" vertical="center" wrapText="1"/>
    </xf>
    <xf numFmtId="166" fontId="12" fillId="0" borderId="4" xfId="61" applyNumberFormat="1" applyFont="1" applyFill="1" applyBorder="1" applyAlignment="1">
      <alignment horizontal="center" vertical="center" wrapText="1"/>
    </xf>
    <xf numFmtId="181" fontId="12" fillId="0" borderId="4" xfId="63" applyNumberFormat="1" applyFont="1" applyFill="1" applyBorder="1" applyAlignment="1">
      <alignment horizontal="center" vertical="center" wrapText="1"/>
    </xf>
    <xf numFmtId="0" fontId="14" fillId="0" borderId="4" xfId="61" applyFont="1" applyFill="1" applyBorder="1" applyAlignment="1">
      <alignment vertical="center"/>
    </xf>
    <xf numFmtId="181" fontId="14" fillId="0" borderId="4" xfId="63" applyNumberFormat="1" applyFont="1" applyFill="1" applyBorder="1" applyAlignment="1">
      <alignment horizontal="center" vertical="center" wrapText="1"/>
    </xf>
    <xf numFmtId="166" fontId="12" fillId="0" borderId="4" xfId="76" applyNumberFormat="1" applyFont="1" applyFill="1" applyBorder="1" applyAlignment="1">
      <alignment horizontal="center" vertical="center" wrapText="1"/>
    </xf>
    <xf numFmtId="181" fontId="12" fillId="0" borderId="4" xfId="76" applyNumberFormat="1" applyFont="1" applyFill="1" applyBorder="1" applyAlignment="1">
      <alignment horizontal="center" vertical="center" wrapText="1"/>
    </xf>
    <xf numFmtId="43" fontId="12" fillId="0" borderId="4" xfId="76" applyFont="1" applyFill="1" applyBorder="1" applyAlignment="1">
      <alignment horizontal="center" vertical="center" wrapText="1"/>
    </xf>
    <xf numFmtId="0" fontId="12" fillId="0" borderId="14" xfId="61" applyFont="1" applyFill="1" applyBorder="1" applyAlignment="1">
      <alignment horizontal="center" vertical="center" wrapText="1"/>
    </xf>
    <xf numFmtId="0" fontId="12" fillId="0" borderId="14" xfId="61" applyFont="1" applyFill="1" applyBorder="1" applyAlignment="1">
      <alignment vertical="center" wrapText="1"/>
    </xf>
    <xf numFmtId="166" fontId="12" fillId="0" borderId="14" xfId="76" applyNumberFormat="1" applyFont="1" applyFill="1" applyBorder="1" applyAlignment="1">
      <alignment horizontal="center" vertical="center" wrapText="1"/>
    </xf>
    <xf numFmtId="166" fontId="12" fillId="0" borderId="14" xfId="61" applyNumberFormat="1" applyFont="1" applyFill="1" applyBorder="1" applyAlignment="1">
      <alignment horizontal="center" vertical="center" wrapText="1"/>
    </xf>
    <xf numFmtId="181" fontId="12" fillId="0" borderId="14" xfId="76" applyNumberFormat="1" applyFont="1" applyFill="1" applyBorder="1" applyAlignment="1">
      <alignment horizontal="center" vertical="center" wrapText="1"/>
    </xf>
    <xf numFmtId="0" fontId="15" fillId="0" borderId="0" xfId="61" applyFont="1" applyFill="1" applyAlignment="1">
      <alignment horizontal="left" vertical="center"/>
    </xf>
    <xf numFmtId="0" fontId="14" fillId="4" borderId="4" xfId="73" applyFont="1" applyFill="1" applyBorder="1" applyAlignment="1">
      <alignment vertical="center" wrapText="1"/>
    </xf>
    <xf numFmtId="0" fontId="12" fillId="0" borderId="0" xfId="61" applyFont="1" applyFill="1"/>
    <xf numFmtId="171" fontId="112" fillId="0" borderId="0" xfId="61" applyNumberFormat="1" applyFont="1" applyFill="1"/>
    <xf numFmtId="43" fontId="151" fillId="0" borderId="0" xfId="61" applyNumberFormat="1" applyFont="1" applyFill="1"/>
    <xf numFmtId="0" fontId="125" fillId="0" borderId="0" xfId="61" applyFont="1" applyFill="1"/>
    <xf numFmtId="0" fontId="13" fillId="0" borderId="0" xfId="61" applyFont="1" applyFill="1" applyBorder="1" applyAlignment="1">
      <alignment vertical="center"/>
    </xf>
    <xf numFmtId="0" fontId="49" fillId="0" borderId="1" xfId="61" applyFont="1" applyFill="1" applyBorder="1" applyAlignment="1">
      <alignment horizontal="center" vertical="center" wrapText="1"/>
    </xf>
    <xf numFmtId="0" fontId="105" fillId="0" borderId="1" xfId="61" applyFont="1" applyFill="1" applyBorder="1" applyAlignment="1">
      <alignment horizontal="center" vertical="center" wrapText="1"/>
    </xf>
    <xf numFmtId="0" fontId="104" fillId="0" borderId="1" xfId="61" applyNumberFormat="1" applyFont="1" applyFill="1" applyBorder="1" applyAlignment="1">
      <alignment horizontal="center" vertical="center" wrapText="1"/>
    </xf>
    <xf numFmtId="0" fontId="49" fillId="0" borderId="1" xfId="61" applyFont="1" applyFill="1" applyBorder="1" applyAlignment="1">
      <alignment vertical="center" wrapText="1"/>
    </xf>
    <xf numFmtId="166" fontId="49" fillId="0" borderId="1" xfId="61" applyNumberFormat="1" applyFont="1" applyFill="1" applyBorder="1" applyAlignment="1">
      <alignment horizontal="center" vertical="center" wrapText="1"/>
    </xf>
    <xf numFmtId="181" fontId="49" fillId="0" borderId="1" xfId="63" applyNumberFormat="1" applyFont="1" applyFill="1" applyBorder="1" applyAlignment="1">
      <alignment horizontal="center" vertical="center" wrapText="1"/>
    </xf>
    <xf numFmtId="181" fontId="49" fillId="0" borderId="5" xfId="63" applyNumberFormat="1" applyFont="1" applyFill="1" applyBorder="1" applyAlignment="1">
      <alignment horizontal="center" vertical="center" wrapText="1"/>
    </xf>
    <xf numFmtId="181" fontId="49" fillId="0" borderId="1" xfId="63" applyNumberFormat="1" applyFont="1" applyFill="1" applyBorder="1" applyAlignment="1">
      <alignment vertical="center"/>
    </xf>
    <xf numFmtId="181" fontId="49" fillId="0" borderId="1" xfId="63" applyNumberFormat="1" applyFont="1" applyBorder="1" applyAlignment="1">
      <alignment vertical="center"/>
    </xf>
    <xf numFmtId="181" fontId="112" fillId="0" borderId="1" xfId="61" applyNumberFormat="1" applyFont="1" applyBorder="1"/>
    <xf numFmtId="0" fontId="49" fillId="0" borderId="1" xfId="61" applyFont="1" applyFill="1" applyBorder="1" applyAlignment="1">
      <alignment horizontal="justify" vertical="center" wrapText="1"/>
    </xf>
    <xf numFmtId="181" fontId="125" fillId="0" borderId="1" xfId="61" applyNumberFormat="1" applyFont="1" applyFill="1" applyBorder="1"/>
    <xf numFmtId="0" fontId="104" fillId="0" borderId="1" xfId="73" applyFont="1" applyFill="1" applyBorder="1" applyAlignment="1">
      <alignment horizontal="center" vertical="center"/>
    </xf>
    <xf numFmtId="0" fontId="104" fillId="0" borderId="1" xfId="73" applyFont="1" applyFill="1" applyBorder="1" applyAlignment="1">
      <alignment horizontal="justify" vertical="center"/>
    </xf>
    <xf numFmtId="166" fontId="104" fillId="0" borderId="1" xfId="76" applyNumberFormat="1" applyFont="1" applyFill="1" applyBorder="1" applyAlignment="1">
      <alignment horizontal="center" vertical="center" wrapText="1"/>
    </xf>
    <xf numFmtId="166" fontId="105" fillId="0" borderId="1" xfId="76" applyNumberFormat="1" applyFont="1" applyFill="1" applyBorder="1" applyAlignment="1">
      <alignment horizontal="center" vertical="center" wrapText="1"/>
    </xf>
    <xf numFmtId="166" fontId="104" fillId="0" borderId="1" xfId="61" applyNumberFormat="1" applyFont="1" applyFill="1" applyBorder="1" applyAlignment="1">
      <alignment horizontal="center" vertical="center" wrapText="1"/>
    </xf>
    <xf numFmtId="3" fontId="104" fillId="0" borderId="1" xfId="61" applyNumberFormat="1" applyFont="1" applyFill="1" applyBorder="1" applyAlignment="1">
      <alignment horizontal="right" vertical="center" wrapText="1"/>
    </xf>
    <xf numFmtId="181" fontId="104" fillId="0" borderId="1" xfId="63" applyNumberFormat="1" applyFont="1" applyFill="1" applyBorder="1" applyAlignment="1">
      <alignment horizontal="center" vertical="center" wrapText="1"/>
    </xf>
    <xf numFmtId="181" fontId="47" fillId="0" borderId="1" xfId="63" applyNumberFormat="1" applyFont="1" applyFill="1" applyBorder="1" applyAlignment="1">
      <alignment horizontal="center" vertical="center" wrapText="1"/>
    </xf>
    <xf numFmtId="0" fontId="47" fillId="0" borderId="11" xfId="73" applyFont="1" applyFill="1" applyBorder="1" applyAlignment="1">
      <alignment horizontal="center" vertical="center"/>
    </xf>
    <xf numFmtId="0" fontId="47" fillId="0" borderId="16" xfId="73" applyFont="1" applyFill="1" applyBorder="1" applyAlignment="1">
      <alignment vertical="center"/>
    </xf>
    <xf numFmtId="166" fontId="47" fillId="0" borderId="16" xfId="61" applyNumberFormat="1" applyFont="1" applyFill="1" applyBorder="1" applyAlignment="1">
      <alignment horizontal="center" vertical="center" wrapText="1"/>
    </xf>
    <xf numFmtId="166" fontId="47" fillId="0" borderId="11" xfId="76" applyNumberFormat="1" applyFont="1" applyFill="1" applyBorder="1" applyAlignment="1">
      <alignment horizontal="center" vertical="center" wrapText="1"/>
    </xf>
    <xf numFmtId="166" fontId="47" fillId="0" borderId="11" xfId="76" applyNumberFormat="1" applyFont="1" applyFill="1" applyBorder="1" applyAlignment="1">
      <alignment horizontal="center" vertical="center"/>
    </xf>
    <xf numFmtId="166" fontId="47" fillId="0" borderId="5" xfId="61" applyNumberFormat="1" applyFont="1" applyFill="1" applyBorder="1" applyAlignment="1">
      <alignment horizontal="center" vertical="center" wrapText="1"/>
    </xf>
    <xf numFmtId="0" fontId="47" fillId="0" borderId="11" xfId="61" applyFont="1" applyFill="1" applyBorder="1" applyAlignment="1">
      <alignment horizontal="right" vertical="center" wrapText="1"/>
    </xf>
    <xf numFmtId="0" fontId="47" fillId="0" borderId="11" xfId="61" applyFont="1" applyFill="1" applyBorder="1" applyAlignment="1">
      <alignment horizontal="center" vertical="center" wrapText="1"/>
    </xf>
    <xf numFmtId="166" fontId="47" fillId="0" borderId="11" xfId="61" applyNumberFormat="1" applyFont="1" applyFill="1" applyBorder="1" applyAlignment="1">
      <alignment horizontal="center" vertical="center" wrapText="1"/>
    </xf>
    <xf numFmtId="166" fontId="105" fillId="0" borderId="11" xfId="76" applyNumberFormat="1" applyFont="1" applyFill="1" applyBorder="1" applyAlignment="1">
      <alignment horizontal="center" vertical="center" wrapText="1"/>
    </xf>
    <xf numFmtId="181" fontId="47" fillId="0" borderId="16" xfId="63" applyNumberFormat="1" applyFont="1" applyFill="1" applyBorder="1" applyAlignment="1">
      <alignment horizontal="center" vertical="center" wrapText="1"/>
    </xf>
    <xf numFmtId="181" fontId="47" fillId="0" borderId="16" xfId="61" applyNumberFormat="1" applyFont="1" applyFill="1" applyBorder="1" applyAlignment="1">
      <alignment horizontal="center" vertical="center" wrapText="1"/>
    </xf>
    <xf numFmtId="181" fontId="125" fillId="0" borderId="11" xfId="61" applyNumberFormat="1" applyFont="1" applyFill="1" applyBorder="1"/>
    <xf numFmtId="181" fontId="112" fillId="0" borderId="16" xfId="61" applyNumberFormat="1" applyFont="1" applyBorder="1"/>
    <xf numFmtId="181" fontId="112" fillId="0" borderId="5" xfId="61" applyNumberFormat="1" applyFont="1" applyBorder="1"/>
    <xf numFmtId="3" fontId="47" fillId="0" borderId="4" xfId="73" applyNumberFormat="1" applyFont="1" applyFill="1" applyBorder="1" applyAlignment="1">
      <alignment horizontal="center" vertical="center"/>
    </xf>
    <xf numFmtId="3" fontId="47" fillId="0" borderId="4" xfId="73" applyNumberFormat="1" applyFont="1" applyFill="1" applyBorder="1" applyAlignment="1">
      <alignment vertical="center"/>
    </xf>
    <xf numFmtId="166" fontId="47" fillId="0" borderId="4" xfId="76" applyNumberFormat="1" applyFont="1" applyFill="1" applyBorder="1" applyAlignment="1">
      <alignment horizontal="center" vertical="center" wrapText="1"/>
    </xf>
    <xf numFmtId="166" fontId="47" fillId="0" borderId="4" xfId="61" applyNumberFormat="1" applyFont="1" applyFill="1" applyBorder="1" applyAlignment="1">
      <alignment horizontal="center" vertical="center" wrapText="1"/>
    </xf>
    <xf numFmtId="0" fontId="47" fillId="0" borderId="4" xfId="61" applyFont="1" applyFill="1" applyBorder="1" applyAlignment="1">
      <alignment horizontal="right" vertical="center" wrapText="1"/>
    </xf>
    <xf numFmtId="0" fontId="47" fillId="0" borderId="4" xfId="61" applyFont="1" applyFill="1" applyBorder="1" applyAlignment="1">
      <alignment horizontal="center" vertical="center" wrapText="1"/>
    </xf>
    <xf numFmtId="166" fontId="105" fillId="0" borderId="4" xfId="76" applyNumberFormat="1" applyFont="1" applyFill="1" applyBorder="1" applyAlignment="1">
      <alignment horizontal="center" vertical="center" wrapText="1"/>
    </xf>
    <xf numFmtId="181" fontId="47" fillId="0" borderId="4" xfId="61" applyNumberFormat="1" applyFont="1" applyFill="1" applyBorder="1" applyAlignment="1">
      <alignment horizontal="center" vertical="center" wrapText="1"/>
    </xf>
    <xf numFmtId="181" fontId="125" fillId="0" borderId="4" xfId="61" applyNumberFormat="1" applyFont="1" applyFill="1" applyBorder="1"/>
    <xf numFmtId="181" fontId="112" fillId="0" borderId="4" xfId="61" applyNumberFormat="1" applyFont="1" applyBorder="1"/>
    <xf numFmtId="0" fontId="47" fillId="0" borderId="4" xfId="73" applyFont="1" applyFill="1" applyBorder="1" applyAlignment="1">
      <alignment horizontal="center" vertical="center"/>
    </xf>
    <xf numFmtId="0" fontId="47" fillId="0" borderId="4" xfId="73" applyFont="1" applyFill="1" applyBorder="1" applyAlignment="1">
      <alignment vertical="center"/>
    </xf>
    <xf numFmtId="166" fontId="47" fillId="0" borderId="4" xfId="76" applyNumberFormat="1" applyFont="1" applyFill="1" applyBorder="1" applyAlignment="1">
      <alignment horizontal="center" vertical="center"/>
    </xf>
    <xf numFmtId="3" fontId="47" fillId="0" borderId="4" xfId="61" applyNumberFormat="1" applyFont="1" applyFill="1" applyBorder="1" applyAlignment="1">
      <alignment horizontal="right" vertical="center" wrapText="1"/>
    </xf>
    <xf numFmtId="166" fontId="47" fillId="0" borderId="4" xfId="61" applyNumberFormat="1" applyFont="1" applyFill="1" applyBorder="1" applyAlignment="1">
      <alignment horizontal="right" vertical="center" wrapText="1"/>
    </xf>
    <xf numFmtId="181" fontId="47" fillId="0" borderId="4" xfId="63" applyNumberFormat="1" applyFont="1" applyFill="1" applyBorder="1" applyAlignment="1">
      <alignment vertical="center"/>
    </xf>
    <xf numFmtId="0" fontId="47" fillId="0" borderId="4" xfId="73" applyFont="1" applyFill="1" applyBorder="1" applyAlignment="1">
      <alignment vertical="center" wrapText="1"/>
    </xf>
    <xf numFmtId="166" fontId="96" fillId="0" borderId="4" xfId="76" applyNumberFormat="1" applyFont="1" applyFill="1" applyBorder="1" applyAlignment="1">
      <alignment horizontal="center" vertical="center"/>
    </xf>
    <xf numFmtId="0" fontId="47" fillId="0" borderId="4" xfId="73" applyFont="1" applyFill="1" applyBorder="1" applyAlignment="1">
      <alignment horizontal="justify" vertical="center" wrapText="1"/>
    </xf>
    <xf numFmtId="166" fontId="47" fillId="0" borderId="4" xfId="76" applyNumberFormat="1" applyFont="1" applyFill="1" applyBorder="1" applyAlignment="1">
      <alignment horizontal="right" vertical="center" wrapText="1"/>
    </xf>
    <xf numFmtId="0" fontId="47" fillId="0" borderId="20" xfId="73" applyFont="1" applyFill="1" applyBorder="1" applyAlignment="1">
      <alignment horizontal="center" vertical="center"/>
    </xf>
    <xf numFmtId="3" fontId="47" fillId="0" borderId="20" xfId="73" applyNumberFormat="1" applyFont="1" applyFill="1" applyBorder="1" applyAlignment="1">
      <alignment horizontal="left" vertical="center" wrapText="1"/>
    </xf>
    <xf numFmtId="166" fontId="47" fillId="0" borderId="20" xfId="76" applyNumberFormat="1" applyFont="1" applyFill="1" applyBorder="1" applyAlignment="1">
      <alignment horizontal="center" vertical="center" wrapText="1"/>
    </xf>
    <xf numFmtId="166" fontId="47" fillId="0" borderId="20" xfId="76" applyNumberFormat="1" applyFont="1" applyFill="1" applyBorder="1" applyAlignment="1">
      <alignment horizontal="center" vertical="center"/>
    </xf>
    <xf numFmtId="3" fontId="47" fillId="0" borderId="20" xfId="61" applyNumberFormat="1" applyFont="1" applyFill="1" applyBorder="1" applyAlignment="1">
      <alignment horizontal="right" vertical="center" wrapText="1"/>
    </xf>
    <xf numFmtId="0" fontId="47" fillId="0" borderId="20" xfId="61" applyFont="1" applyFill="1" applyBorder="1" applyAlignment="1">
      <alignment horizontal="center" vertical="center" wrapText="1"/>
    </xf>
    <xf numFmtId="166" fontId="105" fillId="0" borderId="20" xfId="76" applyNumberFormat="1" applyFont="1" applyFill="1" applyBorder="1" applyAlignment="1">
      <alignment horizontal="center" vertical="center" wrapText="1"/>
    </xf>
    <xf numFmtId="181" fontId="125" fillId="0" borderId="20" xfId="61" applyNumberFormat="1" applyFont="1" applyFill="1" applyBorder="1"/>
    <xf numFmtId="181" fontId="112" fillId="0" borderId="20" xfId="61" applyNumberFormat="1" applyFont="1" applyBorder="1"/>
    <xf numFmtId="0" fontId="47" fillId="0" borderId="17" xfId="73" applyFont="1" applyFill="1" applyBorder="1" applyAlignment="1">
      <alignment horizontal="center" vertical="center"/>
    </xf>
    <xf numFmtId="3" fontId="47" fillId="0" borderId="17" xfId="73" applyNumberFormat="1" applyFont="1" applyFill="1" applyBorder="1" applyAlignment="1">
      <alignment horizontal="left" vertical="center" wrapText="1"/>
    </xf>
    <xf numFmtId="166" fontId="47" fillId="0" borderId="17" xfId="76" applyNumberFormat="1" applyFont="1" applyFill="1" applyBorder="1" applyAlignment="1">
      <alignment horizontal="center" vertical="center" wrapText="1"/>
    </xf>
    <xf numFmtId="166" fontId="47" fillId="0" borderId="17" xfId="76" applyNumberFormat="1" applyFont="1" applyFill="1" applyBorder="1" applyAlignment="1">
      <alignment horizontal="center" vertical="center"/>
    </xf>
    <xf numFmtId="3" fontId="47" fillId="0" borderId="17" xfId="61" applyNumberFormat="1" applyFont="1" applyFill="1" applyBorder="1" applyAlignment="1">
      <alignment horizontal="right" vertical="center" wrapText="1"/>
    </xf>
    <xf numFmtId="0" fontId="47" fillId="0" borderId="17" xfId="61" applyFont="1" applyFill="1" applyBorder="1" applyAlignment="1">
      <alignment horizontal="center" vertical="center" wrapText="1"/>
    </xf>
    <xf numFmtId="166" fontId="47" fillId="0" borderId="17" xfId="61" applyNumberFormat="1" applyFont="1" applyFill="1" applyBorder="1" applyAlignment="1">
      <alignment horizontal="center" vertical="center" wrapText="1"/>
    </xf>
    <xf numFmtId="166" fontId="105" fillId="0" borderId="17" xfId="76" applyNumberFormat="1" applyFont="1" applyFill="1" applyBorder="1" applyAlignment="1">
      <alignment horizontal="center" vertical="center" wrapText="1"/>
    </xf>
    <xf numFmtId="181" fontId="47" fillId="0" borderId="17" xfId="61" applyNumberFormat="1" applyFont="1" applyFill="1" applyBorder="1" applyAlignment="1">
      <alignment horizontal="center" vertical="center" wrapText="1"/>
    </xf>
    <xf numFmtId="181" fontId="125" fillId="0" borderId="17" xfId="61" applyNumberFormat="1" applyFont="1" applyFill="1" applyBorder="1"/>
    <xf numFmtId="181" fontId="112" fillId="0" borderId="17" xfId="61" applyNumberFormat="1" applyFont="1" applyBorder="1"/>
    <xf numFmtId="181" fontId="112" fillId="0" borderId="14" xfId="61" applyNumberFormat="1" applyFont="1" applyBorder="1"/>
    <xf numFmtId="0" fontId="104" fillId="0" borderId="1" xfId="73" applyFont="1" applyFill="1" applyBorder="1" applyAlignment="1">
      <alignment horizontal="justify" vertical="center" wrapText="1"/>
    </xf>
    <xf numFmtId="166" fontId="104" fillId="0" borderId="1" xfId="76" applyNumberFormat="1" applyFont="1" applyFill="1" applyBorder="1" applyAlignment="1">
      <alignment horizontal="center" vertical="center"/>
    </xf>
    <xf numFmtId="0" fontId="47" fillId="0" borderId="1" xfId="61" applyFont="1" applyFill="1" applyBorder="1" applyAlignment="1">
      <alignment horizontal="center" vertical="center" wrapText="1"/>
    </xf>
    <xf numFmtId="166" fontId="104" fillId="0" borderId="1" xfId="76" applyNumberFormat="1" applyFont="1" applyFill="1" applyBorder="1" applyAlignment="1">
      <alignment horizontal="right" vertical="center" wrapText="1"/>
    </xf>
    <xf numFmtId="0" fontId="47" fillId="0" borderId="16" xfId="73" applyFont="1" applyFill="1" applyBorder="1" applyAlignment="1">
      <alignment horizontal="center" vertical="center"/>
    </xf>
    <xf numFmtId="0" fontId="47" fillId="0" borderId="16" xfId="73" applyFont="1" applyFill="1" applyBorder="1" applyAlignment="1">
      <alignment horizontal="justify" vertical="center"/>
    </xf>
    <xf numFmtId="166" fontId="47" fillId="0" borderId="16" xfId="76" applyNumberFormat="1" applyFont="1" applyFill="1" applyBorder="1" applyAlignment="1">
      <alignment horizontal="center" vertical="center" wrapText="1"/>
    </xf>
    <xf numFmtId="166" fontId="47" fillId="0" borderId="16" xfId="76" applyNumberFormat="1" applyFont="1" applyFill="1" applyBorder="1" applyAlignment="1">
      <alignment horizontal="center" vertical="center"/>
    </xf>
    <xf numFmtId="3" fontId="47" fillId="0" borderId="16" xfId="61" applyNumberFormat="1" applyFont="1" applyFill="1" applyBorder="1" applyAlignment="1">
      <alignment horizontal="right" vertical="center" wrapText="1"/>
    </xf>
    <xf numFmtId="0" fontId="47" fillId="0" borderId="16" xfId="61" applyFont="1" applyFill="1" applyBorder="1" applyAlignment="1">
      <alignment horizontal="center" vertical="center" wrapText="1"/>
    </xf>
    <xf numFmtId="166" fontId="104" fillId="0" borderId="16" xfId="61" applyNumberFormat="1" applyFont="1" applyFill="1" applyBorder="1" applyAlignment="1">
      <alignment horizontal="center" vertical="center" wrapText="1"/>
    </xf>
    <xf numFmtId="166" fontId="47" fillId="0" borderId="16" xfId="76" applyNumberFormat="1" applyFont="1" applyFill="1" applyBorder="1" applyAlignment="1">
      <alignment horizontal="right" vertical="center" wrapText="1"/>
    </xf>
    <xf numFmtId="181" fontId="104" fillId="0" borderId="5" xfId="63" applyNumberFormat="1" applyFont="1" applyFill="1" applyBorder="1" applyAlignment="1">
      <alignment horizontal="center" vertical="center" wrapText="1"/>
    </xf>
    <xf numFmtId="181" fontId="47" fillId="0" borderId="5" xfId="63" applyNumberFormat="1" applyFont="1" applyFill="1" applyBorder="1" applyAlignment="1">
      <alignment horizontal="center" vertical="center" wrapText="1"/>
    </xf>
    <xf numFmtId="181" fontId="125" fillId="0" borderId="16" xfId="61" applyNumberFormat="1" applyFont="1" applyFill="1" applyBorder="1"/>
    <xf numFmtId="0" fontId="47" fillId="0" borderId="20" xfId="73" applyFont="1" applyFill="1" applyBorder="1" applyAlignment="1">
      <alignment horizontal="justify" vertical="center"/>
    </xf>
    <xf numFmtId="166" fontId="104" fillId="0" borderId="20" xfId="61" applyNumberFormat="1" applyFont="1" applyFill="1" applyBorder="1" applyAlignment="1">
      <alignment horizontal="center" vertical="center" wrapText="1"/>
    </xf>
    <xf numFmtId="43" fontId="47" fillId="0" borderId="20" xfId="76" applyFont="1" applyFill="1" applyBorder="1" applyAlignment="1">
      <alignment horizontal="right" vertical="center" wrapText="1"/>
    </xf>
    <xf numFmtId="181" fontId="104" fillId="0" borderId="17" xfId="63" applyNumberFormat="1" applyFont="1" applyFill="1" applyBorder="1" applyAlignment="1">
      <alignment horizontal="center" vertical="center" wrapText="1"/>
    </xf>
    <xf numFmtId="181" fontId="47" fillId="0" borderId="17" xfId="63" applyNumberFormat="1" applyFont="1" applyFill="1" applyBorder="1" applyAlignment="1">
      <alignment horizontal="center" vertical="center" wrapText="1"/>
    </xf>
    <xf numFmtId="43" fontId="47" fillId="0" borderId="1" xfId="76" applyFont="1" applyFill="1" applyBorder="1" applyAlignment="1">
      <alignment horizontal="center" vertical="center" wrapText="1"/>
    </xf>
    <xf numFmtId="181" fontId="47" fillId="0" borderId="1" xfId="61" applyNumberFormat="1" applyFont="1" applyFill="1" applyBorder="1" applyAlignment="1">
      <alignment horizontal="center" vertical="center" wrapText="1"/>
    </xf>
    <xf numFmtId="43" fontId="47" fillId="0" borderId="16" xfId="62" applyFont="1" applyFill="1" applyBorder="1" applyAlignment="1">
      <alignment horizontal="center" vertical="center" wrapText="1"/>
    </xf>
    <xf numFmtId="0" fontId="47" fillId="0" borderId="4" xfId="73" applyFont="1" applyFill="1" applyBorder="1" applyAlignment="1">
      <alignment horizontal="justify" vertical="center"/>
    </xf>
    <xf numFmtId="166" fontId="104" fillId="0" borderId="4" xfId="61" applyNumberFormat="1" applyFont="1" applyFill="1" applyBorder="1" applyAlignment="1">
      <alignment horizontal="center" vertical="center" wrapText="1"/>
    </xf>
    <xf numFmtId="43" fontId="47" fillId="0" borderId="4" xfId="62" applyFont="1" applyFill="1" applyBorder="1" applyAlignment="1">
      <alignment horizontal="center" vertical="center" wrapText="1"/>
    </xf>
    <xf numFmtId="166" fontId="47" fillId="0" borderId="14" xfId="61" applyNumberFormat="1" applyFont="1" applyFill="1" applyBorder="1" applyAlignment="1">
      <alignment horizontal="center" vertical="center" wrapText="1"/>
    </xf>
    <xf numFmtId="181" fontId="47" fillId="0" borderId="20" xfId="61" applyNumberFormat="1" applyFont="1" applyFill="1" applyBorder="1" applyAlignment="1">
      <alignment horizontal="center" vertical="center" wrapText="1"/>
    </xf>
    <xf numFmtId="0" fontId="47" fillId="0" borderId="16" xfId="73" applyFont="1" applyFill="1" applyBorder="1" applyAlignment="1">
      <alignment horizontal="center" vertical="center" wrapText="1"/>
    </xf>
    <xf numFmtId="0" fontId="47" fillId="0" borderId="16" xfId="73" applyFont="1" applyFill="1" applyBorder="1" applyAlignment="1">
      <alignment horizontal="justify" vertical="center" wrapText="1"/>
    </xf>
    <xf numFmtId="181" fontId="47" fillId="0" borderId="4" xfId="61" applyNumberFormat="1" applyFont="1" applyFill="1" applyBorder="1" applyAlignment="1">
      <alignment vertical="center"/>
    </xf>
    <xf numFmtId="0" fontId="47" fillId="0" borderId="4" xfId="73" applyFont="1" applyFill="1" applyBorder="1" applyAlignment="1">
      <alignment horizontal="center" vertical="center" wrapText="1"/>
    </xf>
    <xf numFmtId="0" fontId="47" fillId="0" borderId="20" xfId="73" applyFont="1" applyFill="1" applyBorder="1" applyAlignment="1">
      <alignment horizontal="justify" vertical="center" wrapText="1"/>
    </xf>
    <xf numFmtId="166" fontId="47" fillId="0" borderId="20" xfId="76" applyNumberFormat="1" applyFont="1" applyFill="1" applyBorder="1" applyAlignment="1">
      <alignment horizontal="right" vertical="center" wrapText="1"/>
    </xf>
    <xf numFmtId="0" fontId="105" fillId="0" borderId="16" xfId="61" applyFont="1" applyFill="1" applyBorder="1" applyAlignment="1">
      <alignment horizontal="right" vertical="center" wrapText="1"/>
    </xf>
    <xf numFmtId="43" fontId="47" fillId="0" borderId="16" xfId="76" applyFont="1" applyFill="1" applyBorder="1" applyAlignment="1">
      <alignment horizontal="center" vertical="center" wrapText="1"/>
    </xf>
    <xf numFmtId="166" fontId="104" fillId="0" borderId="1" xfId="61" applyNumberFormat="1" applyFont="1" applyFill="1" applyBorder="1" applyAlignment="1">
      <alignment horizontal="right" vertical="center" wrapText="1"/>
    </xf>
    <xf numFmtId="0" fontId="47" fillId="0" borderId="5" xfId="61" applyFont="1" applyFill="1" applyBorder="1" applyAlignment="1">
      <alignment horizontal="justify" vertical="center" wrapText="1"/>
    </xf>
    <xf numFmtId="43" fontId="47" fillId="0" borderId="16" xfId="76" applyFont="1" applyFill="1" applyBorder="1" applyAlignment="1">
      <alignment horizontal="right" vertical="center" wrapText="1"/>
    </xf>
    <xf numFmtId="0" fontId="47" fillId="0" borderId="4" xfId="61" applyFont="1" applyFill="1" applyBorder="1" applyAlignment="1">
      <alignment horizontal="justify" vertical="center" wrapText="1"/>
    </xf>
    <xf numFmtId="43" fontId="47" fillId="0" borderId="4" xfId="76" applyFont="1" applyFill="1" applyBorder="1" applyAlignment="1">
      <alignment horizontal="right" vertical="center" wrapText="1"/>
    </xf>
    <xf numFmtId="181" fontId="47" fillId="0" borderId="4" xfId="63" applyNumberFormat="1" applyFont="1" applyFill="1" applyBorder="1" applyAlignment="1">
      <alignment horizontal="center" vertical="center" wrapText="1"/>
    </xf>
    <xf numFmtId="3" fontId="47" fillId="0" borderId="4" xfId="64" applyNumberFormat="1" applyFont="1" applyFill="1" applyBorder="1" applyAlignment="1">
      <alignment horizontal="justify" vertical="center" wrapText="1"/>
    </xf>
    <xf numFmtId="3" fontId="47" fillId="0" borderId="20" xfId="64" applyNumberFormat="1" applyFont="1" applyFill="1" applyBorder="1" applyAlignment="1">
      <alignment horizontal="justify" vertical="center" wrapText="1"/>
    </xf>
    <xf numFmtId="166" fontId="47" fillId="0" borderId="20" xfId="61" applyNumberFormat="1" applyFont="1" applyFill="1" applyBorder="1" applyAlignment="1">
      <alignment horizontal="center" vertical="center" wrapText="1"/>
    </xf>
    <xf numFmtId="0" fontId="47" fillId="0" borderId="23" xfId="61" applyFont="1" applyFill="1" applyBorder="1" applyAlignment="1">
      <alignment horizontal="justify" vertical="center" wrapText="1"/>
    </xf>
    <xf numFmtId="166" fontId="104" fillId="0" borderId="17" xfId="61" applyNumberFormat="1" applyFont="1" applyFill="1" applyBorder="1" applyAlignment="1">
      <alignment horizontal="center" vertical="center" wrapText="1"/>
    </xf>
    <xf numFmtId="43" fontId="47" fillId="0" borderId="17" xfId="76" applyFont="1" applyFill="1" applyBorder="1" applyAlignment="1">
      <alignment horizontal="right" vertical="center" wrapText="1"/>
    </xf>
    <xf numFmtId="0" fontId="104" fillId="0" borderId="1" xfId="61" applyFont="1" applyFill="1" applyBorder="1" applyAlignment="1">
      <alignment horizontal="justify" vertical="center" wrapText="1"/>
    </xf>
    <xf numFmtId="166" fontId="47" fillId="0" borderId="1" xfId="76" applyNumberFormat="1" applyFont="1" applyFill="1" applyBorder="1" applyAlignment="1">
      <alignment horizontal="center" vertical="center" wrapText="1"/>
    </xf>
    <xf numFmtId="0" fontId="47" fillId="0" borderId="16" xfId="61" applyFont="1" applyFill="1" applyBorder="1" applyAlignment="1">
      <alignment horizontal="justify" vertical="center" wrapText="1"/>
    </xf>
    <xf numFmtId="0" fontId="47" fillId="0" borderId="20" xfId="61" applyFont="1" applyFill="1" applyBorder="1" applyAlignment="1">
      <alignment horizontal="justify" vertical="center" wrapText="1"/>
    </xf>
    <xf numFmtId="166" fontId="47" fillId="0" borderId="1" xfId="76" applyNumberFormat="1" applyFont="1" applyFill="1" applyBorder="1" applyAlignment="1">
      <alignment horizontal="center" vertical="center"/>
    </xf>
    <xf numFmtId="166" fontId="104" fillId="0" borderId="5" xfId="61" applyNumberFormat="1" applyFont="1" applyFill="1" applyBorder="1" applyAlignment="1">
      <alignment horizontal="center" vertical="center" wrapText="1"/>
    </xf>
    <xf numFmtId="3" fontId="47" fillId="0" borderId="1" xfId="61" applyNumberFormat="1" applyFont="1" applyFill="1" applyBorder="1" applyAlignment="1">
      <alignment horizontal="right" vertical="center" wrapText="1"/>
    </xf>
    <xf numFmtId="0" fontId="104" fillId="4" borderId="1" xfId="61" applyFont="1" applyFill="1" applyBorder="1" applyAlignment="1">
      <alignment horizontal="justify" vertical="center"/>
    </xf>
    <xf numFmtId="43" fontId="105" fillId="0" borderId="1" xfId="62" applyFont="1" applyFill="1" applyBorder="1" applyAlignment="1">
      <alignment horizontal="right" vertical="center" wrapText="1"/>
    </xf>
    <xf numFmtId="0" fontId="104" fillId="0" borderId="1" xfId="61" applyFont="1" applyFill="1" applyBorder="1" applyAlignment="1">
      <alignment horizontal="center" vertical="center" wrapText="1"/>
    </xf>
    <xf numFmtId="181" fontId="104" fillId="0" borderId="1" xfId="61" applyNumberFormat="1" applyFont="1" applyFill="1" applyBorder="1" applyAlignment="1">
      <alignment horizontal="center" vertical="center" wrapText="1"/>
    </xf>
    <xf numFmtId="181" fontId="146" fillId="0" borderId="1" xfId="61" applyNumberFormat="1" applyFont="1" applyFill="1" applyBorder="1"/>
    <xf numFmtId="0" fontId="103" fillId="0" borderId="1" xfId="73" applyFont="1" applyFill="1" applyBorder="1" applyAlignment="1">
      <alignment horizontal="justify" vertical="center" wrapText="1"/>
    </xf>
    <xf numFmtId="181" fontId="47" fillId="0" borderId="1" xfId="63" applyNumberFormat="1" applyFont="1" applyFill="1" applyBorder="1" applyAlignment="1">
      <alignment vertical="center"/>
    </xf>
    <xf numFmtId="166" fontId="47" fillId="0" borderId="1" xfId="61" applyNumberFormat="1" applyFont="1" applyFill="1" applyBorder="1" applyAlignment="1">
      <alignment horizontal="center" vertical="center" wrapText="1"/>
    </xf>
    <xf numFmtId="181" fontId="49" fillId="0" borderId="1" xfId="61" applyNumberFormat="1" applyFont="1" applyFill="1" applyBorder="1" applyAlignment="1">
      <alignment horizontal="center" vertical="center" wrapText="1"/>
    </xf>
    <xf numFmtId="166" fontId="104" fillId="0" borderId="15" xfId="61" applyNumberFormat="1" applyFont="1" applyFill="1" applyBorder="1" applyAlignment="1">
      <alignment horizontal="center" vertical="center" wrapText="1"/>
    </xf>
    <xf numFmtId="166" fontId="104" fillId="0" borderId="1" xfId="62" applyNumberFormat="1" applyFont="1" applyFill="1" applyBorder="1" applyAlignment="1">
      <alignment horizontal="center" vertical="center" wrapText="1"/>
    </xf>
    <xf numFmtId="181" fontId="47" fillId="0" borderId="1" xfId="63" applyNumberFormat="1" applyFont="1" applyBorder="1" applyAlignment="1">
      <alignment horizontal="right" vertical="center"/>
    </xf>
    <xf numFmtId="0" fontId="12" fillId="0" borderId="0" xfId="61" applyFont="1" applyBorder="1" applyAlignment="1">
      <alignment horizontal="center" vertical="center" wrapText="1"/>
    </xf>
    <xf numFmtId="0" fontId="12" fillId="0" borderId="0" xfId="61" applyFont="1" applyBorder="1" applyAlignment="1">
      <alignment vertical="center" wrapText="1"/>
    </xf>
    <xf numFmtId="166" fontId="12" fillId="0" borderId="0" xfId="61" applyNumberFormat="1" applyFont="1" applyBorder="1" applyAlignment="1">
      <alignment horizontal="center" vertical="center" wrapText="1"/>
    </xf>
    <xf numFmtId="43" fontId="14" fillId="0" borderId="0" xfId="76" applyFont="1" applyBorder="1" applyAlignment="1">
      <alignment horizontal="center" vertical="center" wrapText="1"/>
    </xf>
    <xf numFmtId="166" fontId="14" fillId="0" borderId="0" xfId="76" applyNumberFormat="1" applyFont="1" applyBorder="1" applyAlignment="1">
      <alignment horizontal="center" vertical="center" wrapText="1"/>
    </xf>
    <xf numFmtId="0" fontId="14" fillId="0" borderId="0" xfId="61" applyFont="1" applyBorder="1" applyAlignment="1">
      <alignment horizontal="center" vertical="center" wrapText="1"/>
    </xf>
    <xf numFmtId="0" fontId="112" fillId="0" borderId="0" xfId="61" applyFont="1" applyBorder="1"/>
    <xf numFmtId="0" fontId="112" fillId="0" borderId="0" xfId="61" applyFont="1" applyAlignment="1">
      <alignment horizontal="left"/>
    </xf>
    <xf numFmtId="0" fontId="19" fillId="0" borderId="0" xfId="72"/>
    <xf numFmtId="0" fontId="152" fillId="0" borderId="0" xfId="72" applyFont="1"/>
    <xf numFmtId="0" fontId="19" fillId="0" borderId="0" xfId="72" applyFont="1"/>
    <xf numFmtId="0" fontId="19" fillId="3" borderId="0" xfId="72" applyFont="1" applyFill="1"/>
    <xf numFmtId="0" fontId="96" fillId="0" borderId="0" xfId="72" applyFont="1"/>
    <xf numFmtId="0" fontId="49" fillId="3" borderId="1" xfId="72" applyFont="1" applyFill="1" applyBorder="1" applyAlignment="1">
      <alignment horizontal="center" vertical="center" wrapText="1"/>
    </xf>
    <xf numFmtId="0" fontId="49" fillId="0" borderId="1" xfId="72" applyFont="1" applyBorder="1" applyAlignment="1">
      <alignment horizontal="center" vertical="center" wrapText="1"/>
    </xf>
    <xf numFmtId="0" fontId="47" fillId="0" borderId="1" xfId="72" applyFont="1" applyBorder="1" applyAlignment="1">
      <alignment horizontal="center" vertical="center" wrapText="1"/>
    </xf>
    <xf numFmtId="0" fontId="47" fillId="3" borderId="1" xfId="72" applyFont="1" applyFill="1" applyBorder="1" applyAlignment="1">
      <alignment horizontal="center" vertical="center" wrapText="1"/>
    </xf>
    <xf numFmtId="0" fontId="153" fillId="0" borderId="0" xfId="72" applyFont="1"/>
    <xf numFmtId="0" fontId="49" fillId="0" borderId="15" xfId="72" applyFont="1" applyBorder="1" applyAlignment="1">
      <alignment vertical="center" wrapText="1"/>
    </xf>
    <xf numFmtId="0" fontId="49" fillId="0" borderId="15" xfId="72" applyFont="1" applyBorder="1" applyAlignment="1">
      <alignment horizontal="center" vertical="center" wrapText="1"/>
    </xf>
    <xf numFmtId="166" fontId="49" fillId="0" borderId="15" xfId="82" applyNumberFormat="1" applyFont="1" applyBorder="1" applyAlignment="1">
      <alignment vertical="center" wrapText="1"/>
    </xf>
    <xf numFmtId="166" fontId="49" fillId="0" borderId="15" xfId="82" applyNumberFormat="1" applyFont="1" applyFill="1" applyBorder="1" applyAlignment="1">
      <alignment vertical="center" wrapText="1"/>
    </xf>
    <xf numFmtId="166" fontId="49" fillId="3" borderId="15" xfId="82" applyNumberFormat="1" applyFont="1" applyFill="1" applyBorder="1" applyAlignment="1">
      <alignment vertical="center" wrapText="1"/>
    </xf>
    <xf numFmtId="9" fontId="49" fillId="0" borderId="15" xfId="59" applyFont="1" applyBorder="1" applyAlignment="1">
      <alignment vertical="center" wrapText="1"/>
    </xf>
    <xf numFmtId="0" fontId="97" fillId="0" borderId="0" xfId="72" applyFont="1"/>
    <xf numFmtId="0" fontId="47" fillId="0" borderId="4" xfId="72" applyFont="1" applyFill="1" applyBorder="1" applyAlignment="1">
      <alignment horizontal="center" vertical="center" wrapText="1"/>
    </xf>
    <xf numFmtId="0" fontId="47" fillId="0" borderId="4" xfId="72" applyFont="1" applyFill="1" applyBorder="1" applyAlignment="1">
      <alignment vertical="center" wrapText="1"/>
    </xf>
    <xf numFmtId="166" fontId="47" fillId="0" borderId="4" xfId="82" applyNumberFormat="1" applyFont="1" applyFill="1" applyBorder="1" applyAlignment="1">
      <alignment vertical="center" wrapText="1"/>
    </xf>
    <xf numFmtId="166" fontId="47" fillId="3" borderId="4" xfId="82" applyNumberFormat="1" applyFont="1" applyFill="1" applyBorder="1" applyAlignment="1">
      <alignment vertical="center" wrapText="1"/>
    </xf>
    <xf numFmtId="0" fontId="96" fillId="0" borderId="0" xfId="72" applyFont="1" applyFill="1"/>
    <xf numFmtId="166" fontId="47" fillId="4" borderId="4" xfId="82" applyNumberFormat="1" applyFont="1" applyFill="1" applyBorder="1" applyAlignment="1">
      <alignment vertical="center" wrapText="1"/>
    </xf>
    <xf numFmtId="0" fontId="47" fillId="0" borderId="17" xfId="72" applyFont="1" applyFill="1" applyBorder="1" applyAlignment="1">
      <alignment horizontal="center" vertical="center" wrapText="1"/>
    </xf>
    <xf numFmtId="0" fontId="47" fillId="0" borderId="17" xfId="72" applyFont="1" applyFill="1" applyBorder="1" applyAlignment="1">
      <alignment vertical="center" wrapText="1"/>
    </xf>
    <xf numFmtId="166" fontId="47" fillId="0" borderId="17" xfId="82" applyNumberFormat="1" applyFont="1" applyFill="1" applyBorder="1" applyAlignment="1">
      <alignment vertical="center" wrapText="1"/>
    </xf>
    <xf numFmtId="166" fontId="47" fillId="3" borderId="17" xfId="82" applyNumberFormat="1" applyFont="1" applyFill="1" applyBorder="1" applyAlignment="1">
      <alignment vertical="center" wrapText="1"/>
    </xf>
    <xf numFmtId="0" fontId="9" fillId="0" borderId="0" xfId="72" applyFont="1" applyAlignment="1">
      <alignment vertical="center"/>
    </xf>
    <xf numFmtId="9" fontId="65" fillId="0" borderId="0" xfId="59" applyFont="1" applyFill="1" applyBorder="1" applyAlignment="1">
      <alignment vertical="center" wrapText="1"/>
    </xf>
    <xf numFmtId="0" fontId="19" fillId="0" borderId="0" xfId="72" applyFont="1" applyAlignment="1"/>
    <xf numFmtId="0" fontId="19" fillId="0" borderId="0" xfId="73" applyFont="1" applyFill="1"/>
    <xf numFmtId="0" fontId="19" fillId="0" borderId="0" xfId="73" applyFill="1"/>
    <xf numFmtId="0" fontId="20" fillId="0" borderId="0" xfId="73" applyFont="1" applyFill="1"/>
    <xf numFmtId="0" fontId="56" fillId="0" borderId="1" xfId="73" applyFont="1" applyFill="1" applyBorder="1" applyAlignment="1">
      <alignment horizontal="center" vertical="center" wrapText="1"/>
    </xf>
    <xf numFmtId="0" fontId="103" fillId="0" borderId="1" xfId="73" applyFont="1" applyFill="1" applyBorder="1" applyAlignment="1">
      <alignment horizontal="center" vertical="center" wrapText="1"/>
    </xf>
    <xf numFmtId="0" fontId="103" fillId="0" borderId="1" xfId="73" applyFont="1" applyFill="1" applyBorder="1" applyAlignment="1">
      <alignment horizontal="center" vertical="center"/>
    </xf>
    <xf numFmtId="0" fontId="32" fillId="0" borderId="0" xfId="73" applyFont="1" applyFill="1"/>
    <xf numFmtId="0" fontId="45" fillId="0" borderId="5" xfId="73" applyFont="1" applyFill="1" applyBorder="1" applyAlignment="1">
      <alignment horizontal="center" vertical="center" wrapText="1"/>
    </xf>
    <xf numFmtId="166" fontId="45" fillId="0" borderId="5" xfId="73" applyNumberFormat="1" applyFont="1" applyFill="1" applyBorder="1" applyAlignment="1">
      <alignment horizontal="center" vertical="center" wrapText="1"/>
    </xf>
    <xf numFmtId="9" fontId="45" fillId="0" borderId="1" xfId="63" applyFont="1" applyFill="1" applyBorder="1" applyAlignment="1">
      <alignment horizontal="center" vertical="center"/>
    </xf>
    <xf numFmtId="0" fontId="103" fillId="0" borderId="5" xfId="73" applyFont="1" applyFill="1" applyBorder="1" applyAlignment="1">
      <alignment horizontal="center" vertical="center" wrapText="1"/>
    </xf>
    <xf numFmtId="0" fontId="103" fillId="0" borderId="5" xfId="73" applyFont="1" applyFill="1" applyBorder="1" applyAlignment="1">
      <alignment horizontal="left" vertical="center" wrapText="1"/>
    </xf>
    <xf numFmtId="166" fontId="103" fillId="0" borderId="5" xfId="76" applyNumberFormat="1" applyFont="1" applyFill="1" applyBorder="1" applyAlignment="1">
      <alignment horizontal="center" vertical="center" wrapText="1"/>
    </xf>
    <xf numFmtId="166" fontId="103" fillId="0" borderId="5" xfId="73" applyNumberFormat="1" applyFont="1" applyFill="1" applyBorder="1" applyAlignment="1">
      <alignment horizontal="center" vertical="center" wrapText="1"/>
    </xf>
    <xf numFmtId="43" fontId="103" fillId="0" borderId="5" xfId="76" applyFont="1" applyFill="1" applyBorder="1" applyAlignment="1">
      <alignment horizontal="center" vertical="center" wrapText="1"/>
    </xf>
    <xf numFmtId="0" fontId="103" fillId="0" borderId="1" xfId="73" applyFont="1" applyFill="1" applyBorder="1" applyAlignment="1">
      <alignment vertical="center"/>
    </xf>
    <xf numFmtId="0" fontId="42" fillId="0" borderId="5" xfId="73" applyFont="1" applyFill="1" applyBorder="1" applyAlignment="1">
      <alignment horizontal="center" vertical="center" wrapText="1"/>
    </xf>
    <xf numFmtId="0" fontId="42" fillId="0" borderId="5" xfId="73" applyFont="1" applyFill="1" applyBorder="1" applyAlignment="1">
      <alignment horizontal="justify" vertical="center" wrapText="1"/>
    </xf>
    <xf numFmtId="166" fontId="42" fillId="0" borderId="5" xfId="76" applyNumberFormat="1" applyFont="1" applyFill="1" applyBorder="1" applyAlignment="1">
      <alignment horizontal="center" vertical="center" wrapText="1"/>
    </xf>
    <xf numFmtId="43" fontId="42" fillId="0" borderId="5" xfId="76" applyFont="1" applyFill="1" applyBorder="1" applyAlignment="1">
      <alignment horizontal="center" vertical="center" wrapText="1"/>
    </xf>
    <xf numFmtId="166" fontId="42" fillId="0" borderId="5" xfId="73" applyNumberFormat="1" applyFont="1" applyFill="1" applyBorder="1" applyAlignment="1">
      <alignment horizontal="center" vertical="center" wrapText="1"/>
    </xf>
    <xf numFmtId="0" fontId="56" fillId="0" borderId="5" xfId="73" applyFont="1" applyFill="1" applyBorder="1" applyAlignment="1">
      <alignment horizontal="center" vertical="center" wrapText="1"/>
    </xf>
    <xf numFmtId="43" fontId="56" fillId="0" borderId="5" xfId="62" applyFont="1" applyFill="1" applyBorder="1" applyAlignment="1">
      <alignment horizontal="center" vertical="center" wrapText="1"/>
    </xf>
    <xf numFmtId="9" fontId="42" fillId="0" borderId="5" xfId="63" applyFont="1" applyFill="1" applyBorder="1" applyAlignment="1">
      <alignment vertical="center"/>
    </xf>
    <xf numFmtId="167" fontId="42" fillId="0" borderId="5" xfId="76" applyNumberFormat="1" applyFont="1" applyFill="1" applyBorder="1" applyAlignment="1">
      <alignment vertical="center"/>
    </xf>
    <xf numFmtId="0" fontId="42" fillId="0" borderId="4" xfId="73" applyFont="1" applyFill="1" applyBorder="1" applyAlignment="1">
      <alignment horizontal="center" vertical="center" wrapText="1"/>
    </xf>
    <xf numFmtId="0" fontId="42" fillId="0" borderId="4" xfId="73" applyFont="1" applyFill="1" applyBorder="1" applyAlignment="1">
      <alignment horizontal="justify" vertical="center" wrapText="1"/>
    </xf>
    <xf numFmtId="43" fontId="42" fillId="0" borderId="4" xfId="76" applyFont="1" applyFill="1" applyBorder="1" applyAlignment="1">
      <alignment horizontal="center" vertical="center" wrapText="1"/>
    </xf>
    <xf numFmtId="166" fontId="42" fillId="0" borderId="4" xfId="73" applyNumberFormat="1" applyFont="1" applyFill="1" applyBorder="1" applyAlignment="1">
      <alignment horizontal="center" vertical="center" wrapText="1"/>
    </xf>
    <xf numFmtId="0" fontId="45" fillId="0" borderId="4" xfId="73" applyFont="1" applyFill="1" applyBorder="1" applyAlignment="1">
      <alignment horizontal="center" vertical="center" wrapText="1"/>
    </xf>
    <xf numFmtId="9" fontId="42" fillId="0" borderId="4" xfId="63" applyFont="1" applyFill="1" applyBorder="1" applyAlignment="1">
      <alignment vertical="center"/>
    </xf>
    <xf numFmtId="167" fontId="42" fillId="0" borderId="4" xfId="76" applyNumberFormat="1" applyFont="1" applyFill="1" applyBorder="1" applyAlignment="1">
      <alignment vertical="center"/>
    </xf>
    <xf numFmtId="0" fontId="56" fillId="0" borderId="4" xfId="73" applyFont="1" applyFill="1" applyBorder="1" applyAlignment="1">
      <alignment horizontal="center" vertical="center" wrapText="1"/>
    </xf>
    <xf numFmtId="43" fontId="56" fillId="0" borderId="4" xfId="62" applyFont="1" applyFill="1" applyBorder="1" applyAlignment="1">
      <alignment horizontal="center" vertical="center" wrapText="1"/>
    </xf>
    <xf numFmtId="0" fontId="56" fillId="0" borderId="4" xfId="73" applyFont="1" applyFill="1" applyBorder="1" applyAlignment="1">
      <alignment horizontal="right" vertical="center" wrapText="1"/>
    </xf>
    <xf numFmtId="43" fontId="42" fillId="0" borderId="4" xfId="62" applyFont="1" applyFill="1" applyBorder="1" applyAlignment="1">
      <alignment horizontal="center" vertical="center" wrapText="1"/>
    </xf>
    <xf numFmtId="43" fontId="45" fillId="0" borderId="4" xfId="62" applyFont="1" applyFill="1" applyBorder="1" applyAlignment="1">
      <alignment horizontal="center" vertical="center" wrapText="1"/>
    </xf>
    <xf numFmtId="0" fontId="42" fillId="0" borderId="4" xfId="73" applyFont="1" applyFill="1" applyBorder="1" applyAlignment="1">
      <alignment horizontal="right" vertical="center" wrapText="1"/>
    </xf>
    <xf numFmtId="0" fontId="42" fillId="0" borderId="11" xfId="73" applyFont="1" applyFill="1" applyBorder="1" applyAlignment="1">
      <alignment horizontal="center" vertical="center" wrapText="1"/>
    </xf>
    <xf numFmtId="0" fontId="42" fillId="0" borderId="11" xfId="73" applyFont="1" applyFill="1" applyBorder="1" applyAlignment="1">
      <alignment horizontal="justify" vertical="center" wrapText="1"/>
    </xf>
    <xf numFmtId="166" fontId="42" fillId="0" borderId="11" xfId="76" applyNumberFormat="1" applyFont="1" applyFill="1" applyBorder="1" applyAlignment="1">
      <alignment horizontal="center" vertical="center" wrapText="1"/>
    </xf>
    <xf numFmtId="43" fontId="42" fillId="0" borderId="11" xfId="76" applyFont="1" applyFill="1" applyBorder="1" applyAlignment="1">
      <alignment horizontal="center" vertical="center" wrapText="1"/>
    </xf>
    <xf numFmtId="166" fontId="42" fillId="0" borderId="11" xfId="73" applyNumberFormat="1" applyFont="1" applyFill="1" applyBorder="1" applyAlignment="1">
      <alignment horizontal="center" vertical="center" wrapText="1"/>
    </xf>
    <xf numFmtId="0" fontId="45" fillId="0" borderId="11" xfId="73" applyFont="1" applyFill="1" applyBorder="1" applyAlignment="1">
      <alignment horizontal="center" vertical="center" wrapText="1"/>
    </xf>
    <xf numFmtId="43" fontId="42" fillId="0" borderId="11" xfId="62" applyFont="1" applyFill="1" applyBorder="1" applyAlignment="1">
      <alignment horizontal="center" vertical="center" wrapText="1"/>
    </xf>
    <xf numFmtId="167" fontId="42" fillId="0" borderId="11" xfId="76" applyNumberFormat="1" applyFont="1" applyFill="1" applyBorder="1" applyAlignment="1">
      <alignment vertical="center"/>
    </xf>
    <xf numFmtId="9" fontId="42" fillId="0" borderId="11" xfId="63" applyFont="1" applyFill="1" applyBorder="1" applyAlignment="1">
      <alignment vertical="center"/>
    </xf>
    <xf numFmtId="0" fontId="103" fillId="0" borderId="1" xfId="73" applyFont="1" applyFill="1" applyBorder="1" applyAlignment="1">
      <alignment horizontal="left" vertical="center" wrapText="1"/>
    </xf>
    <xf numFmtId="166" fontId="103" fillId="0" borderId="1" xfId="73" applyNumberFormat="1" applyFont="1" applyFill="1" applyBorder="1" applyAlignment="1">
      <alignment horizontal="center" vertical="center" wrapText="1"/>
    </xf>
    <xf numFmtId="166" fontId="103" fillId="0" borderId="1" xfId="3" applyNumberFormat="1" applyFont="1" applyFill="1" applyBorder="1" applyAlignment="1">
      <alignment horizontal="center" vertical="center" wrapText="1"/>
    </xf>
    <xf numFmtId="9" fontId="103" fillId="0" borderId="1" xfId="63" applyFont="1" applyFill="1" applyBorder="1" applyAlignment="1">
      <alignment vertical="center"/>
    </xf>
    <xf numFmtId="0" fontId="36" fillId="0" borderId="0" xfId="73" applyFont="1" applyFill="1"/>
    <xf numFmtId="0" fontId="42" fillId="0" borderId="11" xfId="73" applyFont="1" applyFill="1" applyBorder="1" applyAlignment="1">
      <alignment horizontal="left" vertical="center" wrapText="1"/>
    </xf>
    <xf numFmtId="166" fontId="42" fillId="0" borderId="11" xfId="73" applyNumberFormat="1" applyFont="1" applyFill="1" applyBorder="1" applyAlignment="1">
      <alignment horizontal="left" vertical="center" wrapText="1"/>
    </xf>
    <xf numFmtId="166" fontId="42" fillId="0" borderId="11" xfId="76" applyNumberFormat="1" applyFont="1" applyFill="1" applyBorder="1" applyAlignment="1">
      <alignment horizontal="left" vertical="center" wrapText="1"/>
    </xf>
    <xf numFmtId="166" fontId="42" fillId="0" borderId="11" xfId="3" applyNumberFormat="1" applyFont="1" applyFill="1" applyBorder="1" applyAlignment="1">
      <alignment horizontal="center" vertical="center" wrapText="1"/>
    </xf>
    <xf numFmtId="9" fontId="42" fillId="0" borderId="11" xfId="63" applyFont="1" applyFill="1" applyBorder="1" applyAlignment="1">
      <alignment horizontal="center" vertical="center"/>
    </xf>
    <xf numFmtId="0" fontId="42" fillId="0" borderId="4" xfId="73" applyFont="1" applyFill="1" applyBorder="1" applyAlignment="1">
      <alignment horizontal="left" vertical="center" wrapText="1"/>
    </xf>
    <xf numFmtId="166" fontId="42" fillId="0" borderId="4" xfId="73" applyNumberFormat="1" applyFont="1" applyFill="1" applyBorder="1" applyAlignment="1">
      <alignment horizontal="left" vertical="center" wrapText="1"/>
    </xf>
    <xf numFmtId="166" fontId="42" fillId="0" borderId="4" xfId="76" applyNumberFormat="1" applyFont="1" applyFill="1" applyBorder="1" applyAlignment="1">
      <alignment horizontal="left" vertical="center" wrapText="1"/>
    </xf>
    <xf numFmtId="166" fontId="42" fillId="0" borderId="4" xfId="3" applyNumberFormat="1" applyFont="1" applyFill="1" applyBorder="1" applyAlignment="1">
      <alignment horizontal="center" vertical="center" wrapText="1"/>
    </xf>
    <xf numFmtId="9" fontId="42" fillId="0" borderId="4" xfId="63" applyFont="1" applyFill="1" applyBorder="1" applyAlignment="1">
      <alignment horizontal="center" vertical="center"/>
    </xf>
    <xf numFmtId="0" fontId="42" fillId="0" borderId="17" xfId="73" applyFont="1" applyFill="1" applyBorder="1" applyAlignment="1">
      <alignment horizontal="center" vertical="center" wrapText="1"/>
    </xf>
    <xf numFmtId="0" fontId="42" fillId="0" borderId="17" xfId="73" applyFont="1" applyFill="1" applyBorder="1" applyAlignment="1">
      <alignment horizontal="left" vertical="center" wrapText="1"/>
    </xf>
    <xf numFmtId="166" fontId="42" fillId="0" borderId="17" xfId="73" applyNumberFormat="1" applyFont="1" applyFill="1" applyBorder="1" applyAlignment="1">
      <alignment horizontal="left" vertical="center" wrapText="1"/>
    </xf>
    <xf numFmtId="166" fontId="42" fillId="0" borderId="17" xfId="76" applyNumberFormat="1" applyFont="1" applyFill="1" applyBorder="1" applyAlignment="1">
      <alignment horizontal="left" vertical="center" wrapText="1"/>
    </xf>
    <xf numFmtId="166" fontId="42" fillId="0" borderId="17" xfId="3" applyNumberFormat="1" applyFont="1" applyFill="1" applyBorder="1" applyAlignment="1">
      <alignment horizontal="center" vertical="center" wrapText="1"/>
    </xf>
    <xf numFmtId="9" fontId="42" fillId="0" borderId="14" xfId="63" applyFont="1" applyFill="1" applyBorder="1" applyAlignment="1">
      <alignment horizontal="center" vertical="center"/>
    </xf>
    <xf numFmtId="0" fontId="30" fillId="0" borderId="0" xfId="73" applyFont="1" applyFill="1"/>
    <xf numFmtId="0" fontId="31" fillId="0" borderId="0" xfId="73" applyFont="1" applyFill="1"/>
    <xf numFmtId="0" fontId="6" fillId="0" borderId="3" xfId="0" applyFont="1" applyBorder="1" applyAlignment="1">
      <alignment horizontal="center" vertical="center" wrapText="1"/>
    </xf>
    <xf numFmtId="166" fontId="15" fillId="0" borderId="0" xfId="62" applyNumberFormat="1" applyFont="1" applyFill="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166" fontId="103" fillId="0" borderId="3" xfId="62" applyNumberFormat="1" applyFont="1" applyFill="1" applyBorder="1" applyAlignment="1">
      <alignment horizontal="center" vertical="center"/>
    </xf>
    <xf numFmtId="0" fontId="13" fillId="0" borderId="0" xfId="0" applyFont="1" applyFill="1" applyAlignment="1">
      <alignment horizontal="center" vertical="center" wrapText="1"/>
    </xf>
    <xf numFmtId="166" fontId="13" fillId="0" borderId="0" xfId="62" applyNumberFormat="1" applyFont="1" applyFill="1" applyAlignment="1">
      <alignment horizontal="center" vertical="center" wrapText="1"/>
    </xf>
    <xf numFmtId="0" fontId="12" fillId="0" borderId="0" xfId="0" applyFont="1" applyFill="1" applyAlignment="1">
      <alignment horizontal="center" vertical="center" wrapText="1"/>
    </xf>
    <xf numFmtId="166" fontId="12" fillId="0" borderId="0" xfId="62" applyNumberFormat="1" applyFont="1" applyFill="1" applyAlignment="1">
      <alignment horizontal="center" vertical="center" wrapText="1"/>
    </xf>
    <xf numFmtId="0" fontId="12" fillId="0" borderId="0" xfId="64" applyFont="1" applyFill="1" applyAlignment="1">
      <alignment horizontal="center" vertical="center"/>
    </xf>
    <xf numFmtId="0" fontId="15" fillId="0" borderId="0" xfId="64" applyFont="1" applyFill="1" applyAlignment="1">
      <alignment horizontal="center" vertical="center"/>
    </xf>
    <xf numFmtId="0" fontId="13" fillId="0" borderId="0" xfId="64" applyFont="1" applyFill="1" applyAlignment="1">
      <alignment horizontal="center" vertical="center" wrapText="1"/>
    </xf>
    <xf numFmtId="0" fontId="45" fillId="0" borderId="5" xfId="64" applyFont="1" applyFill="1" applyBorder="1" applyAlignment="1">
      <alignment horizontal="center" vertical="center" wrapText="1"/>
    </xf>
    <xf numFmtId="0" fontId="45" fillId="0" borderId="14" xfId="64" applyFont="1" applyFill="1" applyBorder="1" applyAlignment="1">
      <alignment horizontal="center" vertical="center" wrapText="1"/>
    </xf>
    <xf numFmtId="0" fontId="12" fillId="0" borderId="0" xfId="64" applyFont="1" applyFill="1" applyAlignment="1">
      <alignment horizontal="center" vertical="center" wrapText="1"/>
    </xf>
    <xf numFmtId="0" fontId="13" fillId="0" borderId="0" xfId="64" applyFont="1" applyFill="1" applyAlignment="1">
      <alignment horizontal="center" vertical="center"/>
    </xf>
    <xf numFmtId="0" fontId="45" fillId="0" borderId="1" xfId="64" applyFont="1" applyFill="1" applyBorder="1" applyAlignment="1">
      <alignment horizontal="center" vertical="center" wrapText="1"/>
    </xf>
    <xf numFmtId="0" fontId="45" fillId="0" borderId="8" xfId="64" applyFont="1" applyFill="1" applyBorder="1" applyAlignment="1">
      <alignment horizontal="center" vertical="center" wrapText="1"/>
    </xf>
    <xf numFmtId="0" fontId="45" fillId="0" borderId="9" xfId="64" applyFont="1" applyFill="1" applyBorder="1" applyAlignment="1">
      <alignment horizontal="center" vertical="center" wrapText="1"/>
    </xf>
    <xf numFmtId="0" fontId="45" fillId="0" borderId="10" xfId="64" applyFont="1" applyFill="1" applyBorder="1" applyAlignment="1">
      <alignment horizontal="center" vertical="center" wrapText="1"/>
    </xf>
    <xf numFmtId="0" fontId="7" fillId="0" borderId="0" xfId="64" applyFont="1" applyAlignment="1">
      <alignment horizontal="center" vertical="center" wrapText="1"/>
    </xf>
    <xf numFmtId="166" fontId="7" fillId="0" borderId="0" xfId="62" applyNumberFormat="1" applyFont="1" applyAlignment="1">
      <alignment horizontal="center" vertical="center" wrapText="1"/>
    </xf>
    <xf numFmtId="0" fontId="7" fillId="0" borderId="4" xfId="64" applyFont="1" applyBorder="1" applyAlignment="1">
      <alignment horizontal="center" vertical="center" wrapText="1"/>
    </xf>
    <xf numFmtId="0" fontId="6" fillId="0" borderId="0" xfId="64" applyFont="1" applyAlignment="1">
      <alignment horizontal="center" vertical="center" wrapText="1"/>
    </xf>
    <xf numFmtId="166" fontId="6" fillId="0" borderId="0" xfId="62" applyNumberFormat="1" applyFont="1" applyAlignment="1">
      <alignment horizontal="center" vertical="center" wrapText="1"/>
    </xf>
    <xf numFmtId="0" fontId="9" fillId="0" borderId="0" xfId="64" applyFont="1" applyAlignment="1">
      <alignment horizontal="center" vertical="center"/>
    </xf>
    <xf numFmtId="0" fontId="139" fillId="0" borderId="0" xfId="64" applyFont="1" applyAlignment="1">
      <alignment horizontal="center" vertical="center"/>
    </xf>
    <xf numFmtId="0" fontId="7" fillId="0" borderId="0" xfId="64" applyFont="1" applyAlignment="1">
      <alignment horizontal="center" vertical="center"/>
    </xf>
    <xf numFmtId="0" fontId="6" fillId="0" borderId="1" xfId="64" applyFont="1" applyBorder="1" applyAlignment="1">
      <alignment horizontal="center" vertical="center" wrapText="1"/>
    </xf>
    <xf numFmtId="166" fontId="6" fillId="0" borderId="1" xfId="62" applyNumberFormat="1" applyFont="1" applyBorder="1" applyAlignment="1">
      <alignment horizontal="center" vertical="center" wrapText="1"/>
    </xf>
    <xf numFmtId="0" fontId="86" fillId="0" borderId="0" xfId="61" applyFont="1" applyFill="1" applyAlignment="1">
      <alignment horizontal="left"/>
    </xf>
    <xf numFmtId="0" fontId="12" fillId="0" borderId="0" xfId="61" applyFont="1" applyFill="1" applyAlignment="1">
      <alignment horizontal="center" vertical="center" wrapText="1"/>
    </xf>
    <xf numFmtId="0" fontId="12" fillId="0" borderId="0" xfId="61" applyFont="1" applyFill="1" applyAlignment="1">
      <alignment horizontal="left" vertical="center"/>
    </xf>
    <xf numFmtId="0" fontId="13" fillId="0" borderId="0" xfId="61" applyFont="1" applyFill="1" applyAlignment="1">
      <alignment horizontal="center" vertical="center" wrapText="1"/>
    </xf>
    <xf numFmtId="0" fontId="15" fillId="0" borderId="3" xfId="61" applyFont="1" applyFill="1" applyBorder="1" applyAlignment="1">
      <alignment horizontal="center" vertical="center"/>
    </xf>
    <xf numFmtId="0" fontId="12" fillId="0" borderId="1" xfId="61" applyFont="1" applyFill="1" applyBorder="1" applyAlignment="1">
      <alignment horizontal="center" vertical="center" wrapText="1"/>
    </xf>
    <xf numFmtId="0" fontId="12" fillId="0" borderId="8" xfId="61" applyFont="1" applyFill="1" applyBorder="1" applyAlignment="1">
      <alignment horizontal="center" wrapText="1"/>
    </xf>
    <xf numFmtId="0" fontId="12" fillId="0" borderId="10" xfId="61" applyFont="1" applyFill="1" applyBorder="1" applyAlignment="1">
      <alignment horizontal="center" wrapText="1"/>
    </xf>
    <xf numFmtId="0" fontId="15" fillId="0" borderId="0" xfId="61" applyFont="1" applyFill="1" applyAlignment="1">
      <alignment horizontal="right" vertical="center"/>
    </xf>
    <xf numFmtId="0" fontId="7" fillId="0" borderId="0" xfId="0" applyFont="1" applyAlignment="1">
      <alignment horizontal="center" vertical="center" wrapText="1"/>
    </xf>
    <xf numFmtId="0" fontId="12" fillId="0" borderId="0" xfId="0" applyFont="1" applyFill="1" applyAlignment="1">
      <alignment horizontal="left" vertical="center"/>
    </xf>
    <xf numFmtId="0" fontId="15" fillId="0" borderId="0" xfId="0" applyFont="1" applyFill="1" applyAlignment="1">
      <alignment horizontal="center" vertical="center"/>
    </xf>
    <xf numFmtId="0" fontId="7" fillId="0" borderId="0" xfId="0" applyFont="1" applyBorder="1" applyAlignment="1">
      <alignment horizontal="center" vertical="center" wrapText="1"/>
    </xf>
    <xf numFmtId="0" fontId="6" fillId="0" borderId="0" xfId="0" applyFont="1" applyAlignment="1">
      <alignment horizontal="center" vertical="center" wrapText="1"/>
    </xf>
    <xf numFmtId="0" fontId="15" fillId="0" borderId="3" xfId="61" applyFont="1" applyBorder="1" applyAlignment="1">
      <alignment horizontal="center" vertical="center"/>
    </xf>
    <xf numFmtId="0" fontId="45" fillId="0" borderId="1" xfId="61" applyFont="1" applyBorder="1" applyAlignment="1">
      <alignment horizontal="center" vertical="center" wrapText="1"/>
    </xf>
    <xf numFmtId="0" fontId="45" fillId="0" borderId="1" xfId="61" applyFont="1" applyFill="1" applyBorder="1" applyAlignment="1">
      <alignment horizontal="center" vertical="center" wrapText="1"/>
    </xf>
    <xf numFmtId="0" fontId="12" fillId="0" borderId="0" xfId="61" applyFont="1" applyAlignment="1">
      <alignment horizontal="center" vertical="center" wrapText="1"/>
    </xf>
    <xf numFmtId="0" fontId="12" fillId="0" borderId="0" xfId="61" applyFont="1" applyAlignment="1">
      <alignment horizontal="left" vertical="center"/>
    </xf>
    <xf numFmtId="0" fontId="13" fillId="0" borderId="0" xfId="61" applyFont="1" applyAlignment="1">
      <alignment horizontal="center" vertical="center"/>
    </xf>
    <xf numFmtId="0" fontId="13" fillId="0" borderId="0" xfId="0" applyFont="1" applyFill="1" applyBorder="1" applyAlignment="1">
      <alignment horizontal="center" vertical="center" wrapText="1"/>
    </xf>
    <xf numFmtId="166" fontId="45" fillId="0" borderId="1" xfId="76" applyNumberFormat="1" applyFont="1" applyFill="1" applyBorder="1" applyAlignment="1">
      <alignment horizontal="center" vertical="center" wrapText="1"/>
    </xf>
    <xf numFmtId="0" fontId="15" fillId="0" borderId="3" xfId="61" applyFont="1" applyFill="1" applyBorder="1" applyAlignment="1">
      <alignment horizontal="right" vertical="center"/>
    </xf>
    <xf numFmtId="0" fontId="45" fillId="0" borderId="5" xfId="61" applyFont="1" applyFill="1" applyBorder="1" applyAlignment="1">
      <alignment horizontal="center" vertical="center" wrapText="1"/>
    </xf>
    <xf numFmtId="0" fontId="45" fillId="0" borderId="14" xfId="61" applyFont="1" applyFill="1" applyBorder="1" applyAlignment="1">
      <alignment horizontal="center" vertical="center" wrapText="1"/>
    </xf>
    <xf numFmtId="0" fontId="13" fillId="0" borderId="2" xfId="0" applyFont="1" applyFill="1" applyBorder="1" applyAlignment="1">
      <alignment horizontal="center" wrapText="1"/>
    </xf>
    <xf numFmtId="0" fontId="45" fillId="0" borderId="1" xfId="0" applyFont="1" applyFill="1" applyBorder="1" applyAlignment="1">
      <alignment horizontal="center" vertical="center" wrapText="1"/>
    </xf>
    <xf numFmtId="0" fontId="45" fillId="0" borderId="5" xfId="0" applyFont="1" applyFill="1" applyBorder="1" applyAlignment="1">
      <alignment horizontal="center" vertical="center" wrapText="1"/>
    </xf>
    <xf numFmtId="0" fontId="45" fillId="0" borderId="14" xfId="0" applyFont="1" applyFill="1" applyBorder="1" applyAlignment="1">
      <alignment horizontal="center" vertical="center" wrapText="1"/>
    </xf>
    <xf numFmtId="166" fontId="45" fillId="0" borderId="1" xfId="40" applyNumberFormat="1" applyFont="1" applyFill="1" applyBorder="1" applyAlignment="1">
      <alignment horizontal="center" vertical="center" wrapText="1"/>
    </xf>
    <xf numFmtId="0" fontId="12" fillId="0" borderId="0" xfId="61" applyFont="1" applyFill="1" applyAlignment="1">
      <alignment horizontal="center" vertical="center"/>
    </xf>
    <xf numFmtId="166" fontId="13" fillId="0" borderId="0" xfId="76" applyNumberFormat="1" applyFont="1" applyFill="1" applyAlignment="1">
      <alignment horizontal="center" vertical="center" wrapText="1"/>
    </xf>
    <xf numFmtId="0" fontId="49" fillId="0" borderId="1" xfId="61" applyFont="1" applyFill="1" applyBorder="1" applyAlignment="1">
      <alignment horizontal="center" vertical="center" wrapText="1"/>
    </xf>
    <xf numFmtId="0" fontId="49" fillId="0" borderId="8" xfId="61" applyFont="1" applyFill="1" applyBorder="1" applyAlignment="1">
      <alignment horizontal="center" vertical="center" wrapText="1"/>
    </xf>
    <xf numFmtId="0" fontId="49" fillId="0" borderId="9" xfId="61" applyFont="1" applyFill="1" applyBorder="1" applyAlignment="1">
      <alignment horizontal="center" vertical="center" wrapText="1"/>
    </xf>
    <xf numFmtId="0" fontId="49" fillId="0" borderId="10" xfId="61" applyFont="1" applyFill="1" applyBorder="1" applyAlignment="1">
      <alignment horizontal="center" vertical="center" wrapText="1"/>
    </xf>
    <xf numFmtId="0" fontId="104" fillId="0" borderId="1" xfId="61" applyFont="1" applyFill="1" applyBorder="1" applyAlignment="1">
      <alignment horizontal="center" vertical="center" wrapText="1"/>
    </xf>
    <xf numFmtId="0" fontId="104" fillId="0" borderId="5" xfId="61" applyFont="1" applyFill="1" applyBorder="1" applyAlignment="1">
      <alignment horizontal="center" vertical="center" wrapText="1"/>
    </xf>
    <xf numFmtId="0" fontId="104" fillId="0" borderId="14" xfId="61" applyFont="1" applyFill="1" applyBorder="1" applyAlignment="1">
      <alignment horizontal="center" vertical="center" wrapText="1"/>
    </xf>
    <xf numFmtId="0" fontId="104" fillId="0" borderId="1" xfId="61" applyFont="1" applyBorder="1" applyAlignment="1">
      <alignment horizontal="center" vertical="center" wrapText="1"/>
    </xf>
    <xf numFmtId="0" fontId="104" fillId="0" borderId="11" xfId="61" applyFont="1" applyFill="1" applyBorder="1" applyAlignment="1">
      <alignment horizontal="center" vertical="center" wrapText="1"/>
    </xf>
    <xf numFmtId="0" fontId="49" fillId="0" borderId="14" xfId="61" applyFont="1" applyFill="1" applyBorder="1" applyAlignment="1">
      <alignment horizontal="center" vertical="center" wrapText="1"/>
    </xf>
    <xf numFmtId="0" fontId="145" fillId="4" borderId="8" xfId="0" applyFont="1" applyFill="1" applyBorder="1" applyAlignment="1">
      <alignment horizontal="center" vertical="center"/>
    </xf>
    <xf numFmtId="0" fontId="145" fillId="4" borderId="10" xfId="0" applyFont="1" applyFill="1" applyBorder="1" applyAlignment="1">
      <alignment horizontal="center" vertical="center"/>
    </xf>
    <xf numFmtId="0" fontId="15" fillId="0" borderId="0" xfId="0" applyFont="1" applyFill="1" applyAlignment="1">
      <alignment horizontal="right" vertical="center"/>
    </xf>
    <xf numFmtId="0" fontId="7" fillId="4" borderId="0" xfId="0" applyFont="1" applyFill="1" applyBorder="1" applyAlignment="1">
      <alignment horizontal="center" vertical="center" wrapText="1"/>
    </xf>
    <xf numFmtId="0" fontId="6" fillId="4" borderId="0" xfId="0" applyFont="1" applyFill="1" applyAlignment="1">
      <alignment horizontal="center" vertical="center" wrapText="1"/>
    </xf>
    <xf numFmtId="0" fontId="35" fillId="0" borderId="1" xfId="0" applyFont="1" applyFill="1" applyBorder="1" applyAlignment="1">
      <alignment horizontal="center" vertical="center" wrapText="1"/>
    </xf>
    <xf numFmtId="0" fontId="7" fillId="4" borderId="0" xfId="0" applyFont="1" applyFill="1" applyAlignment="1">
      <alignment horizontal="center" vertical="center" wrapText="1"/>
    </xf>
    <xf numFmtId="1" fontId="15" fillId="0" borderId="0" xfId="2" applyNumberFormat="1" applyFont="1" applyFill="1" applyAlignment="1">
      <alignment horizontal="center" vertical="center"/>
    </xf>
    <xf numFmtId="0" fontId="13" fillId="0" borderId="3" xfId="2" applyFont="1" applyFill="1" applyBorder="1" applyAlignment="1">
      <alignment horizontal="center"/>
    </xf>
    <xf numFmtId="3" fontId="45" fillId="0" borderId="1" xfId="2" applyNumberFormat="1" applyFont="1" applyFill="1" applyBorder="1" applyAlignment="1">
      <alignment horizontal="center" vertical="center" wrapText="1"/>
    </xf>
    <xf numFmtId="167" fontId="45" fillId="0" borderId="1" xfId="40" applyNumberFormat="1" applyFont="1" applyFill="1" applyBorder="1" applyAlignment="1">
      <alignment horizontal="center" vertical="center" wrapText="1"/>
    </xf>
    <xf numFmtId="1" fontId="45" fillId="0" borderId="1" xfId="2" applyNumberFormat="1" applyFont="1" applyFill="1" applyBorder="1" applyAlignment="1">
      <alignment horizontal="center" vertical="center" wrapText="1"/>
    </xf>
    <xf numFmtId="1" fontId="127" fillId="0" borderId="1" xfId="2" applyNumberFormat="1" applyFont="1" applyFill="1" applyBorder="1" applyAlignment="1">
      <alignment horizontal="center" vertical="center" wrapText="1"/>
    </xf>
    <xf numFmtId="3" fontId="12" fillId="0" borderId="0" xfId="2" applyNumberFormat="1" applyFont="1" applyFill="1" applyAlignment="1">
      <alignment horizontal="center" vertical="center"/>
    </xf>
    <xf numFmtId="0" fontId="12" fillId="0" borderId="0" xfId="2" applyFont="1" applyFill="1" applyAlignment="1">
      <alignment horizontal="center" vertical="center"/>
    </xf>
    <xf numFmtId="3" fontId="13" fillId="0" borderId="0" xfId="2" applyNumberFormat="1" applyFont="1" applyFill="1" applyAlignment="1">
      <alignment horizontal="center" vertical="center"/>
    </xf>
    <xf numFmtId="0" fontId="45" fillId="0" borderId="5" xfId="2" applyFont="1" applyFill="1" applyBorder="1" applyAlignment="1">
      <alignment horizontal="center" vertical="center"/>
    </xf>
    <xf numFmtId="0" fontId="45" fillId="0" borderId="11" xfId="2" applyFont="1" applyFill="1" applyBorder="1" applyAlignment="1">
      <alignment horizontal="center" vertical="center"/>
    </xf>
    <xf numFmtId="0" fontId="45" fillId="0" borderId="14" xfId="2" applyFont="1" applyFill="1" applyBorder="1" applyAlignment="1">
      <alignment horizontal="center" vertical="center"/>
    </xf>
    <xf numFmtId="0" fontId="45" fillId="0" borderId="5" xfId="2" applyFont="1" applyFill="1" applyBorder="1" applyAlignment="1">
      <alignment horizontal="center" vertical="center" wrapText="1"/>
    </xf>
    <xf numFmtId="0" fontId="45" fillId="0" borderId="11" xfId="2" applyFont="1" applyFill="1" applyBorder="1" applyAlignment="1">
      <alignment horizontal="center" vertical="center" wrapText="1"/>
    </xf>
    <xf numFmtId="0" fontId="45" fillId="0" borderId="14" xfId="2" applyFont="1" applyFill="1" applyBorder="1" applyAlignment="1">
      <alignment horizontal="center" vertical="center" wrapText="1"/>
    </xf>
    <xf numFmtId="3" fontId="45" fillId="0" borderId="5" xfId="2" applyNumberFormat="1" applyFont="1" applyFill="1" applyBorder="1" applyAlignment="1">
      <alignment horizontal="center" vertical="center" wrapText="1"/>
    </xf>
    <xf numFmtId="3" fontId="45" fillId="0" borderId="11" xfId="2" applyNumberFormat="1" applyFont="1" applyFill="1" applyBorder="1" applyAlignment="1">
      <alignment horizontal="center" vertical="center" wrapText="1"/>
    </xf>
    <xf numFmtId="3" fontId="45" fillId="0" borderId="14" xfId="2" applyNumberFormat="1" applyFont="1" applyFill="1" applyBorder="1" applyAlignment="1">
      <alignment horizontal="center" vertical="center" wrapText="1"/>
    </xf>
    <xf numFmtId="0" fontId="45" fillId="0" borderId="1" xfId="2" applyNumberFormat="1" applyFont="1" applyFill="1" applyBorder="1" applyAlignment="1">
      <alignment horizontal="center" vertical="center"/>
    </xf>
    <xf numFmtId="0" fontId="21" fillId="0" borderId="1" xfId="2" applyFont="1" applyFill="1" applyBorder="1" applyAlignment="1">
      <alignment horizontal="center" vertical="center"/>
    </xf>
    <xf numFmtId="1" fontId="45" fillId="0" borderId="5" xfId="2" applyNumberFormat="1" applyFont="1" applyFill="1" applyBorder="1" applyAlignment="1">
      <alignment horizontal="center" vertical="center" wrapText="1"/>
    </xf>
    <xf numFmtId="1" fontId="45" fillId="0" borderId="14" xfId="2" applyNumberFormat="1" applyFont="1" applyFill="1" applyBorder="1" applyAlignment="1">
      <alignment horizontal="center" vertical="center" wrapText="1"/>
    </xf>
    <xf numFmtId="1" fontId="45" fillId="0" borderId="6" xfId="2" applyNumberFormat="1" applyFont="1" applyFill="1" applyBorder="1" applyAlignment="1">
      <alignment horizontal="center" vertical="center" wrapText="1"/>
    </xf>
    <xf numFmtId="1" fontId="45" fillId="0" borderId="12" xfId="2" applyNumberFormat="1" applyFont="1" applyFill="1" applyBorder="1" applyAlignment="1">
      <alignment horizontal="center" vertical="center" wrapText="1"/>
    </xf>
    <xf numFmtId="0" fontId="12" fillId="0" borderId="0" xfId="2" applyFont="1" applyFill="1" applyAlignment="1">
      <alignment horizontal="center" vertical="center" wrapText="1"/>
    </xf>
    <xf numFmtId="0" fontId="13" fillId="0" borderId="3" xfId="2" applyFont="1" applyFill="1" applyBorder="1" applyAlignment="1">
      <alignment horizontal="center" vertical="center"/>
    </xf>
    <xf numFmtId="0" fontId="12" fillId="0" borderId="1" xfId="2" applyFont="1" applyFill="1" applyBorder="1" applyAlignment="1">
      <alignment horizontal="center" vertical="center" wrapText="1"/>
    </xf>
    <xf numFmtId="0" fontId="12" fillId="0" borderId="5" xfId="2" applyFont="1" applyFill="1" applyBorder="1" applyAlignment="1">
      <alignment horizontal="center" vertical="center" wrapText="1"/>
    </xf>
    <xf numFmtId="3" fontId="12" fillId="0" borderId="1" xfId="2" applyNumberFormat="1" applyFont="1" applyFill="1" applyBorder="1" applyAlignment="1">
      <alignment horizontal="center" vertical="center" wrapText="1"/>
    </xf>
    <xf numFmtId="3" fontId="12" fillId="0" borderId="5" xfId="2" applyNumberFormat="1" applyFont="1" applyFill="1" applyBorder="1" applyAlignment="1">
      <alignment horizontal="center" vertical="center" wrapText="1"/>
    </xf>
    <xf numFmtId="0" fontId="12" fillId="0" borderId="8" xfId="2" applyFont="1" applyFill="1" applyBorder="1" applyAlignment="1">
      <alignment horizontal="center" vertical="center" wrapText="1"/>
    </xf>
    <xf numFmtId="0" fontId="12" fillId="0" borderId="9" xfId="2" applyFont="1" applyFill="1" applyBorder="1" applyAlignment="1">
      <alignment horizontal="center" vertical="center" wrapText="1"/>
    </xf>
    <xf numFmtId="0" fontId="12" fillId="0" borderId="10" xfId="2" applyFont="1" applyFill="1" applyBorder="1" applyAlignment="1">
      <alignment horizontal="center" vertical="center" wrapText="1"/>
    </xf>
    <xf numFmtId="2" fontId="15" fillId="0" borderId="0" xfId="2" applyNumberFormat="1" applyFont="1" applyFill="1" applyAlignment="1">
      <alignment horizontal="right" vertical="center"/>
    </xf>
    <xf numFmtId="0" fontId="13" fillId="0" borderId="0" xfId="2" applyFont="1" applyFill="1" applyAlignment="1">
      <alignment horizontal="center" vertical="center" wrapText="1"/>
    </xf>
    <xf numFmtId="0" fontId="69" fillId="0" borderId="8" xfId="54" applyFont="1" applyFill="1" applyBorder="1" applyAlignment="1">
      <alignment horizontal="center" vertical="center" wrapText="1"/>
    </xf>
    <xf numFmtId="0" fontId="69" fillId="0" borderId="9" xfId="54" applyFont="1" applyFill="1" applyBorder="1" applyAlignment="1">
      <alignment horizontal="center" vertical="center" wrapText="1"/>
    </xf>
    <xf numFmtId="0" fontId="69" fillId="0" borderId="10" xfId="54" applyFont="1" applyFill="1" applyBorder="1" applyAlignment="1">
      <alignment horizontal="center" vertical="center" wrapText="1"/>
    </xf>
    <xf numFmtId="0" fontId="7" fillId="0" borderId="0" xfId="54" applyFont="1" applyAlignment="1">
      <alignment horizontal="center" vertical="center" wrapText="1"/>
    </xf>
    <xf numFmtId="0" fontId="69" fillId="0" borderId="1" xfId="54" applyFont="1" applyFill="1" applyBorder="1" applyAlignment="1">
      <alignment horizontal="center" vertical="center" wrapText="1"/>
    </xf>
    <xf numFmtId="0" fontId="69" fillId="0" borderId="5" xfId="54" applyFont="1" applyFill="1" applyBorder="1" applyAlignment="1">
      <alignment horizontal="center" vertical="center" wrapText="1"/>
    </xf>
    <xf numFmtId="0" fontId="69" fillId="0" borderId="11" xfId="54" applyFont="1" applyFill="1" applyBorder="1" applyAlignment="1">
      <alignment horizontal="center" vertical="center" wrapText="1"/>
    </xf>
    <xf numFmtId="0" fontId="69" fillId="0" borderId="14" xfId="54" applyFont="1" applyFill="1" applyBorder="1" applyAlignment="1">
      <alignment horizontal="center" vertical="center" wrapText="1"/>
    </xf>
    <xf numFmtId="0" fontId="9" fillId="0" borderId="0" xfId="54" applyFont="1" applyAlignment="1">
      <alignment horizontal="center" vertical="center"/>
    </xf>
    <xf numFmtId="0" fontId="13" fillId="0" borderId="3" xfId="54" applyFont="1" applyFill="1" applyBorder="1" applyAlignment="1">
      <alignment horizontal="center" vertical="center"/>
    </xf>
    <xf numFmtId="0" fontId="6" fillId="0" borderId="0" xfId="54" applyFont="1" applyAlignment="1">
      <alignment horizontal="center" vertical="center" wrapText="1"/>
    </xf>
    <xf numFmtId="0" fontId="18" fillId="0" borderId="0" xfId="0" applyFont="1" applyAlignment="1">
      <alignment horizontal="center" vertical="center"/>
    </xf>
    <xf numFmtId="0" fontId="12" fillId="0" borderId="0" xfId="72" applyFont="1" applyAlignment="1">
      <alignment horizontal="center" vertical="center" wrapText="1"/>
    </xf>
    <xf numFmtId="0" fontId="13" fillId="0" borderId="0" xfId="72" applyFont="1" applyAlignment="1">
      <alignment horizontal="center" vertical="center" wrapText="1"/>
    </xf>
    <xf numFmtId="0" fontId="15" fillId="0" borderId="3" xfId="72" applyFont="1" applyBorder="1" applyAlignment="1">
      <alignment horizontal="right" vertical="center"/>
    </xf>
    <xf numFmtId="0" fontId="49" fillId="0" borderId="1" xfId="72" applyFont="1" applyBorder="1" applyAlignment="1">
      <alignment horizontal="center" vertical="center" wrapText="1"/>
    </xf>
    <xf numFmtId="0" fontId="12" fillId="0" borderId="1" xfId="54" applyFont="1" applyFill="1" applyBorder="1" applyAlignment="1">
      <alignment horizontal="center" vertical="center" wrapText="1"/>
    </xf>
    <xf numFmtId="0" fontId="9" fillId="0" borderId="0" xfId="54" applyFont="1" applyAlignment="1">
      <alignment horizontal="right" vertical="center"/>
    </xf>
    <xf numFmtId="0" fontId="45" fillId="0" borderId="5" xfId="73" applyFont="1" applyFill="1" applyBorder="1" applyAlignment="1">
      <alignment horizontal="center" vertical="center" wrapText="1"/>
    </xf>
    <xf numFmtId="0" fontId="45" fillId="0" borderId="11" xfId="73" applyFont="1" applyFill="1" applyBorder="1" applyAlignment="1">
      <alignment horizontal="center" vertical="center" wrapText="1"/>
    </xf>
    <xf numFmtId="0" fontId="45" fillId="0" borderId="14" xfId="73" applyFont="1" applyFill="1" applyBorder="1" applyAlignment="1">
      <alignment horizontal="center" vertical="center" wrapText="1"/>
    </xf>
    <xf numFmtId="0" fontId="45" fillId="0" borderId="1" xfId="73" applyFont="1" applyFill="1" applyBorder="1" applyAlignment="1">
      <alignment horizontal="center" vertical="center" wrapText="1"/>
    </xf>
    <xf numFmtId="0" fontId="45" fillId="0" borderId="8" xfId="73" applyFont="1" applyFill="1" applyBorder="1" applyAlignment="1">
      <alignment horizontal="center" vertical="center"/>
    </xf>
    <xf numFmtId="0" fontId="45" fillId="0" borderId="9" xfId="73" applyFont="1" applyFill="1" applyBorder="1" applyAlignment="1">
      <alignment horizontal="center" vertical="center"/>
    </xf>
    <xf numFmtId="0" fontId="45" fillId="0" borderId="10" xfId="73" applyFont="1" applyFill="1" applyBorder="1" applyAlignment="1">
      <alignment horizontal="center" vertical="center"/>
    </xf>
    <xf numFmtId="0" fontId="103" fillId="0" borderId="5" xfId="73" applyFont="1" applyFill="1" applyBorder="1" applyAlignment="1">
      <alignment horizontal="center" vertical="center" wrapText="1"/>
    </xf>
    <xf numFmtId="0" fontId="103" fillId="0" borderId="11" xfId="73" applyFont="1" applyFill="1" applyBorder="1" applyAlignment="1">
      <alignment horizontal="center" vertical="center" wrapText="1"/>
    </xf>
    <xf numFmtId="0" fontId="103" fillId="0" borderId="14" xfId="73" applyFont="1" applyFill="1" applyBorder="1" applyAlignment="1">
      <alignment horizontal="center" vertical="center" wrapText="1"/>
    </xf>
    <xf numFmtId="0" fontId="103" fillId="0" borderId="1" xfId="73" applyFont="1" applyFill="1" applyBorder="1" applyAlignment="1">
      <alignment horizontal="center" vertical="center" wrapText="1"/>
    </xf>
    <xf numFmtId="0" fontId="12" fillId="0" borderId="0" xfId="73" applyFont="1" applyFill="1" applyAlignment="1">
      <alignment horizontal="center"/>
    </xf>
    <xf numFmtId="0" fontId="12" fillId="0" borderId="0" xfId="73" applyFont="1" applyFill="1" applyAlignment="1">
      <alignment horizontal="center" vertical="center" wrapText="1"/>
    </xf>
    <xf numFmtId="0" fontId="13" fillId="0" borderId="0" xfId="73" applyFont="1" applyFill="1" applyAlignment="1">
      <alignment horizontal="center" vertical="center" wrapText="1"/>
    </xf>
    <xf numFmtId="0" fontId="15" fillId="0" borderId="3" xfId="73" applyFont="1" applyFill="1" applyBorder="1" applyAlignment="1">
      <alignment horizontal="right" vertical="center"/>
    </xf>
    <xf numFmtId="0" fontId="56" fillId="0" borderId="1" xfId="73" applyFont="1" applyFill="1" applyBorder="1" applyAlignment="1">
      <alignment horizontal="center" vertical="center" wrapText="1"/>
    </xf>
    <xf numFmtId="0" fontId="45" fillId="0" borderId="8" xfId="73" applyFont="1" applyFill="1" applyBorder="1" applyAlignment="1">
      <alignment horizontal="center" vertical="center" wrapText="1"/>
    </xf>
    <xf numFmtId="0" fontId="45" fillId="0" borderId="9" xfId="73" applyFont="1" applyFill="1" applyBorder="1" applyAlignment="1">
      <alignment horizontal="center" vertical="center" wrapText="1"/>
    </xf>
    <xf numFmtId="0" fontId="45" fillId="0" borderId="10" xfId="73" applyFont="1" applyFill="1" applyBorder="1" applyAlignment="1">
      <alignment horizontal="center" vertical="center" wrapText="1"/>
    </xf>
    <xf numFmtId="0" fontId="45" fillId="0" borderId="6" xfId="73" applyFont="1" applyFill="1" applyBorder="1" applyAlignment="1">
      <alignment horizontal="center" vertical="center" wrapText="1"/>
    </xf>
    <xf numFmtId="0" fontId="45" fillId="0" borderId="7" xfId="73" applyFont="1" applyFill="1" applyBorder="1" applyAlignment="1">
      <alignment horizontal="center" vertical="center" wrapText="1"/>
    </xf>
    <xf numFmtId="0" fontId="45" fillId="0" borderId="12" xfId="73" applyFont="1" applyFill="1" applyBorder="1" applyAlignment="1">
      <alignment horizontal="center" vertical="center" wrapText="1"/>
    </xf>
    <xf numFmtId="0" fontId="45" fillId="0" borderId="13" xfId="73" applyFont="1" applyFill="1" applyBorder="1" applyAlignment="1">
      <alignment horizontal="center" vertical="center" wrapText="1"/>
    </xf>
    <xf numFmtId="0" fontId="63" fillId="0" borderId="1" xfId="54" applyFont="1" applyBorder="1" applyAlignment="1">
      <alignment horizontal="center" vertical="center" wrapText="1"/>
    </xf>
    <xf numFmtId="3" fontId="63" fillId="4" borderId="6" xfId="54" applyNumberFormat="1" applyFont="1" applyFill="1" applyBorder="1" applyAlignment="1">
      <alignment horizontal="center" vertical="center" wrapText="1"/>
    </xf>
    <xf numFmtId="3" fontId="63" fillId="4" borderId="2" xfId="54" applyNumberFormat="1" applyFont="1" applyFill="1" applyBorder="1" applyAlignment="1">
      <alignment horizontal="center" vertical="center" wrapText="1"/>
    </xf>
    <xf numFmtId="3" fontId="63" fillId="4" borderId="7" xfId="54" applyNumberFormat="1" applyFont="1" applyFill="1" applyBorder="1" applyAlignment="1">
      <alignment horizontal="center" vertical="center" wrapText="1"/>
    </xf>
    <xf numFmtId="0" fontId="63" fillId="4" borderId="1" xfId="54" applyFont="1" applyFill="1" applyBorder="1" applyAlignment="1">
      <alignment horizontal="center" vertical="center" wrapText="1"/>
    </xf>
    <xf numFmtId="166" fontId="63" fillId="4" borderId="1" xfId="40" applyNumberFormat="1" applyFont="1" applyFill="1" applyBorder="1" applyAlignment="1">
      <alignment horizontal="center" vertical="center" wrapText="1"/>
    </xf>
    <xf numFmtId="0" fontId="13" fillId="4" borderId="3" xfId="54" applyFont="1" applyFill="1" applyBorder="1" applyAlignment="1">
      <alignment horizontal="center" vertical="center"/>
    </xf>
    <xf numFmtId="0" fontId="53" fillId="0" borderId="1" xfId="41" applyNumberFormat="1" applyFont="1" applyFill="1" applyBorder="1" applyAlignment="1">
      <alignment horizontal="center" vertical="center" wrapText="1"/>
    </xf>
    <xf numFmtId="0" fontId="53" fillId="0" borderId="1" xfId="41" applyNumberFormat="1" applyFont="1" applyFill="1" applyBorder="1" applyAlignment="1">
      <alignment horizontal="center" vertical="center"/>
    </xf>
    <xf numFmtId="0" fontId="54" fillId="0" borderId="1" xfId="41" applyFont="1" applyFill="1" applyBorder="1" applyAlignment="1">
      <alignment horizontal="center" vertical="center"/>
    </xf>
    <xf numFmtId="0" fontId="53" fillId="0" borderId="1" xfId="41" applyFont="1" applyFill="1" applyBorder="1" applyAlignment="1">
      <alignment horizontal="center" vertical="center"/>
    </xf>
    <xf numFmtId="0" fontId="45" fillId="0" borderId="0" xfId="41" applyNumberFormat="1" applyFont="1" applyFill="1" applyAlignment="1">
      <alignment horizontal="center" vertical="center"/>
    </xf>
    <xf numFmtId="0" fontId="55" fillId="0" borderId="1" xfId="41" applyFont="1" applyFill="1" applyBorder="1" applyAlignment="1">
      <alignment horizontal="center" vertical="center"/>
    </xf>
    <xf numFmtId="0" fontId="53" fillId="0" borderId="5" xfId="41" applyNumberFormat="1" applyFont="1" applyFill="1" applyBorder="1" applyAlignment="1">
      <alignment horizontal="center" vertical="center" wrapText="1"/>
    </xf>
    <xf numFmtId="0" fontId="54" fillId="0" borderId="11" xfId="41" applyFont="1" applyFill="1" applyBorder="1" applyAlignment="1">
      <alignment horizontal="center" vertical="center" wrapText="1"/>
    </xf>
    <xf numFmtId="0" fontId="54" fillId="0" borderId="14" xfId="41" applyFont="1" applyFill="1" applyBorder="1" applyAlignment="1">
      <alignment horizontal="center" vertical="center" wrapText="1"/>
    </xf>
    <xf numFmtId="0" fontId="121" fillId="4" borderId="1" xfId="0" applyFont="1" applyFill="1" applyBorder="1" applyAlignment="1">
      <alignment horizontal="center" vertical="center" wrapText="1"/>
    </xf>
    <xf numFmtId="0" fontId="15" fillId="4" borderId="0" xfId="0" applyFont="1" applyFill="1" applyAlignment="1">
      <alignment horizontal="center" vertical="center"/>
    </xf>
    <xf numFmtId="0" fontId="15" fillId="4" borderId="3" xfId="0" applyFont="1" applyFill="1" applyBorder="1" applyAlignment="1">
      <alignment horizontal="center" vertical="center"/>
    </xf>
    <xf numFmtId="0" fontId="12" fillId="4" borderId="0" xfId="0" applyFont="1" applyFill="1" applyAlignment="1">
      <alignment horizontal="center" vertical="center" wrapText="1"/>
    </xf>
    <xf numFmtId="0" fontId="12" fillId="4" borderId="0" xfId="0" applyFont="1" applyFill="1" applyAlignment="1">
      <alignment horizontal="center" vertical="center"/>
    </xf>
    <xf numFmtId="1" fontId="121" fillId="4" borderId="1" xfId="0" applyNumberFormat="1" applyFont="1" applyFill="1" applyBorder="1" applyAlignment="1">
      <alignment horizontal="center" vertical="center" wrapText="1"/>
    </xf>
    <xf numFmtId="0" fontId="13" fillId="4" borderId="0" xfId="0" applyFont="1" applyFill="1" applyAlignment="1">
      <alignment horizontal="center" vertical="center" wrapText="1"/>
    </xf>
    <xf numFmtId="0" fontId="121" fillId="4" borderId="15" xfId="0" applyFont="1" applyFill="1" applyBorder="1" applyAlignment="1">
      <alignment horizontal="center" vertical="center" wrapText="1"/>
    </xf>
    <xf numFmtId="0" fontId="121" fillId="4" borderId="4" xfId="0" applyFont="1" applyFill="1" applyBorder="1" applyAlignment="1">
      <alignment horizontal="center" vertical="center" wrapText="1"/>
    </xf>
    <xf numFmtId="0" fontId="18" fillId="0" borderId="0" xfId="0" applyFont="1" applyAlignment="1">
      <alignment horizontal="left" vertical="center"/>
    </xf>
    <xf numFmtId="0" fontId="9" fillId="0" borderId="0" xfId="0" applyFont="1" applyAlignment="1">
      <alignment horizontal="right" vertical="center"/>
    </xf>
    <xf numFmtId="0" fontId="6" fillId="0" borderId="0" xfId="0" applyFont="1" applyAlignment="1">
      <alignment horizontal="center" vertical="center"/>
    </xf>
    <xf numFmtId="0" fontId="7" fillId="0" borderId="0" xfId="0" applyFont="1" applyAlignment="1">
      <alignment horizontal="center" vertical="center"/>
    </xf>
    <xf numFmtId="0" fontId="53" fillId="4" borderId="1" xfId="41" applyNumberFormat="1" applyFont="1" applyFill="1" applyBorder="1" applyAlignment="1">
      <alignment horizontal="center" vertical="center"/>
    </xf>
    <xf numFmtId="0" fontId="55" fillId="4" borderId="1" xfId="41" applyFont="1" applyFill="1" applyBorder="1" applyAlignment="1">
      <alignment horizontal="center" vertical="center"/>
    </xf>
    <xf numFmtId="0" fontId="54" fillId="4" borderId="1" xfId="41" applyFont="1" applyFill="1" applyBorder="1" applyAlignment="1">
      <alignment horizontal="center" vertical="center"/>
    </xf>
    <xf numFmtId="0" fontId="53" fillId="4" borderId="5" xfId="41" applyNumberFormat="1" applyFont="1" applyFill="1" applyBorder="1" applyAlignment="1">
      <alignment horizontal="center" vertical="center" wrapText="1"/>
    </xf>
    <xf numFmtId="0" fontId="54" fillId="4" borderId="11" xfId="41" applyFont="1" applyFill="1" applyBorder="1" applyAlignment="1">
      <alignment horizontal="center" vertical="center" wrapText="1"/>
    </xf>
    <xf numFmtId="0" fontId="54" fillId="4" borderId="14" xfId="41" applyFont="1" applyFill="1" applyBorder="1" applyAlignment="1">
      <alignment horizontal="center" vertical="center" wrapText="1"/>
    </xf>
    <xf numFmtId="0" fontId="53" fillId="4" borderId="2" xfId="41" applyNumberFormat="1" applyFont="1" applyFill="1" applyBorder="1" applyAlignment="1">
      <alignment horizontal="center" vertical="center" wrapText="1"/>
    </xf>
    <xf numFmtId="0" fontId="53" fillId="4" borderId="7" xfId="41" applyNumberFormat="1" applyFont="1" applyFill="1" applyBorder="1" applyAlignment="1">
      <alignment horizontal="center" vertical="center" wrapText="1"/>
    </xf>
    <xf numFmtId="0" fontId="53" fillId="3" borderId="6" xfId="41" applyNumberFormat="1" applyFont="1" applyFill="1" applyBorder="1" applyAlignment="1">
      <alignment horizontal="center" vertical="center" wrapText="1"/>
    </xf>
    <xf numFmtId="0" fontId="53" fillId="3" borderId="2" xfId="41" applyNumberFormat="1" applyFont="1" applyFill="1" applyBorder="1" applyAlignment="1">
      <alignment horizontal="center" vertical="center" wrapText="1"/>
    </xf>
    <xf numFmtId="0" fontId="53" fillId="3" borderId="7" xfId="41" applyNumberFormat="1" applyFont="1" applyFill="1" applyBorder="1" applyAlignment="1">
      <alignment horizontal="center" vertical="center" wrapText="1"/>
    </xf>
    <xf numFmtId="0" fontId="53" fillId="3" borderId="12" xfId="41" applyNumberFormat="1" applyFont="1" applyFill="1" applyBorder="1" applyAlignment="1">
      <alignment horizontal="center" vertical="center" wrapText="1"/>
    </xf>
    <xf numFmtId="0" fontId="53" fillId="3" borderId="3" xfId="41" applyNumberFormat="1" applyFont="1" applyFill="1" applyBorder="1" applyAlignment="1">
      <alignment horizontal="center" vertical="center" wrapText="1"/>
    </xf>
    <xf numFmtId="0" fontId="53" fillId="3" borderId="13" xfId="41" applyNumberFormat="1" applyFont="1" applyFill="1" applyBorder="1" applyAlignment="1">
      <alignment horizontal="center" vertical="center" wrapText="1"/>
    </xf>
    <xf numFmtId="0" fontId="53" fillId="4" borderId="8" xfId="41" applyFont="1" applyFill="1" applyBorder="1" applyAlignment="1">
      <alignment horizontal="center" vertical="center"/>
    </xf>
    <xf numFmtId="0" fontId="53" fillId="4" borderId="9" xfId="41" applyFont="1" applyFill="1" applyBorder="1" applyAlignment="1">
      <alignment horizontal="center" vertical="center"/>
    </xf>
    <xf numFmtId="0" fontId="53" fillId="4" borderId="10" xfId="41" applyFont="1" applyFill="1" applyBorder="1" applyAlignment="1">
      <alignment horizontal="center" vertical="center"/>
    </xf>
    <xf numFmtId="0" fontId="53" fillId="4" borderId="1" xfId="41" applyFont="1" applyFill="1" applyBorder="1" applyAlignment="1">
      <alignment horizontal="center" vertical="center"/>
    </xf>
    <xf numFmtId="0" fontId="53" fillId="3" borderId="5" xfId="41" applyNumberFormat="1" applyFont="1" applyFill="1" applyBorder="1" applyAlignment="1">
      <alignment horizontal="center" vertical="center"/>
    </xf>
    <xf numFmtId="0" fontId="53" fillId="3" borderId="14" xfId="41" applyNumberFormat="1" applyFont="1" applyFill="1" applyBorder="1" applyAlignment="1">
      <alignment horizontal="center" vertical="center"/>
    </xf>
    <xf numFmtId="0" fontId="53" fillId="3" borderId="8" xfId="41" applyNumberFormat="1" applyFont="1" applyFill="1" applyBorder="1" applyAlignment="1">
      <alignment horizontal="center" vertical="center" wrapText="1"/>
    </xf>
    <xf numFmtId="0" fontId="53" fillId="3" borderId="10" xfId="41" applyNumberFormat="1" applyFont="1" applyFill="1" applyBorder="1" applyAlignment="1">
      <alignment horizontal="center" vertical="center" wrapText="1"/>
    </xf>
    <xf numFmtId="0" fontId="53" fillId="4" borderId="5" xfId="41" applyNumberFormat="1" applyFont="1" applyFill="1" applyBorder="1" applyAlignment="1">
      <alignment horizontal="center" vertical="center"/>
    </xf>
    <xf numFmtId="0" fontId="53" fillId="4" borderId="14" xfId="41" applyNumberFormat="1" applyFont="1" applyFill="1" applyBorder="1" applyAlignment="1">
      <alignment horizontal="center" vertical="center"/>
    </xf>
    <xf numFmtId="0" fontId="54" fillId="4" borderId="8" xfId="41" applyFont="1" applyFill="1" applyBorder="1" applyAlignment="1">
      <alignment horizontal="center" vertical="center"/>
    </xf>
    <xf numFmtId="0" fontId="54" fillId="4" borderId="9" xfId="41" applyFont="1" applyFill="1" applyBorder="1" applyAlignment="1">
      <alignment horizontal="center" vertical="center"/>
    </xf>
    <xf numFmtId="0" fontId="54" fillId="4" borderId="10" xfId="41" applyFont="1" applyFill="1" applyBorder="1" applyAlignment="1">
      <alignment horizontal="center" vertical="center"/>
    </xf>
    <xf numFmtId="0" fontId="52" fillId="4" borderId="1" xfId="41" applyFont="1" applyFill="1" applyBorder="1" applyAlignment="1">
      <alignment horizontal="center" vertical="center"/>
    </xf>
    <xf numFmtId="3" fontId="13" fillId="0" borderId="0" xfId="2" applyNumberFormat="1" applyFont="1" applyFill="1" applyAlignment="1">
      <alignment horizontal="center" vertical="center" wrapText="1"/>
    </xf>
    <xf numFmtId="3" fontId="13" fillId="0" borderId="0" xfId="2" applyNumberFormat="1" applyFont="1" applyFill="1" applyBorder="1" applyAlignment="1">
      <alignment horizontal="right" vertical="center"/>
    </xf>
    <xf numFmtId="3" fontId="13" fillId="0" borderId="0" xfId="2" applyNumberFormat="1" applyFont="1" applyFill="1" applyBorder="1" applyAlignment="1">
      <alignment horizontal="center" vertical="center"/>
    </xf>
    <xf numFmtId="0" fontId="8" fillId="0" borderId="0" xfId="64" applyFont="1" applyAlignment="1">
      <alignment vertical="center" wrapText="1"/>
    </xf>
    <xf numFmtId="0" fontId="6" fillId="0" borderId="0" xfId="64" applyFont="1" applyAlignment="1">
      <alignment horizontal="center" vertical="center"/>
    </xf>
    <xf numFmtId="3" fontId="7" fillId="0" borderId="0" xfId="64" applyNumberFormat="1" applyFont="1" applyAlignment="1">
      <alignment horizontal="center" vertical="center"/>
    </xf>
    <xf numFmtId="0" fontId="78" fillId="0" borderId="1" xfId="64" applyFont="1" applyBorder="1" applyAlignment="1">
      <alignment horizontal="center" vertical="center" wrapText="1"/>
    </xf>
    <xf numFmtId="166" fontId="78" fillId="0" borderId="1" xfId="62" applyNumberFormat="1" applyFont="1" applyBorder="1" applyAlignment="1">
      <alignment horizontal="center" vertical="center" wrapText="1"/>
    </xf>
    <xf numFmtId="166" fontId="78" fillId="0" borderId="6" xfId="62" applyNumberFormat="1" applyFont="1" applyBorder="1" applyAlignment="1">
      <alignment horizontal="center" vertical="center" wrapText="1"/>
    </xf>
    <xf numFmtId="166" fontId="78" fillId="0" borderId="2" xfId="62" applyNumberFormat="1" applyFont="1" applyBorder="1" applyAlignment="1">
      <alignment horizontal="center" vertical="center" wrapText="1"/>
    </xf>
    <xf numFmtId="166" fontId="78" fillId="0" borderId="7" xfId="62" applyNumberFormat="1" applyFont="1" applyBorder="1" applyAlignment="1">
      <alignment horizontal="center" vertical="center" wrapText="1"/>
    </xf>
    <xf numFmtId="166" fontId="78" fillId="0" borderId="12" xfId="62" applyNumberFormat="1" applyFont="1" applyBorder="1" applyAlignment="1">
      <alignment horizontal="center" vertical="center" wrapText="1"/>
    </xf>
    <xf numFmtId="166" fontId="78" fillId="0" borderId="3" xfId="62" applyNumberFormat="1" applyFont="1" applyBorder="1" applyAlignment="1">
      <alignment horizontal="center" vertical="center" wrapText="1"/>
    </xf>
    <xf numFmtId="166" fontId="78" fillId="0" borderId="13" xfId="62" applyNumberFormat="1" applyFont="1" applyBorder="1" applyAlignment="1">
      <alignment horizontal="center" vertical="center" wrapText="1"/>
    </xf>
    <xf numFmtId="171" fontId="15" fillId="0" borderId="0" xfId="3" applyNumberFormat="1" applyFont="1" applyFill="1" applyAlignment="1">
      <alignment horizontal="right" wrapText="1"/>
    </xf>
    <xf numFmtId="3" fontId="110" fillId="4" borderId="0" xfId="69" applyNumberFormat="1" applyFont="1" applyFill="1" applyAlignment="1">
      <alignment horizontal="center" vertical="center" wrapText="1"/>
    </xf>
    <xf numFmtId="3" fontId="13" fillId="4" borderId="0" xfId="69" applyNumberFormat="1" applyFont="1" applyFill="1" applyAlignment="1">
      <alignment horizontal="center" vertical="center" wrapText="1"/>
    </xf>
    <xf numFmtId="0" fontId="13" fillId="4" borderId="0" xfId="69" applyFont="1" applyFill="1" applyAlignment="1">
      <alignment horizontal="center" vertical="center" wrapText="1"/>
    </xf>
    <xf numFmtId="171" fontId="13" fillId="0" borderId="3" xfId="3" applyNumberFormat="1" applyFont="1" applyFill="1" applyBorder="1" applyAlignment="1">
      <alignment horizontal="right" vertical="center"/>
    </xf>
    <xf numFmtId="3" fontId="12" fillId="4" borderId="1" xfId="69" applyNumberFormat="1" applyFont="1" applyFill="1" applyBorder="1" applyAlignment="1">
      <alignment horizontal="center" vertical="center"/>
    </xf>
    <xf numFmtId="3" fontId="12" fillId="4" borderId="1" xfId="69" applyNumberFormat="1" applyFont="1" applyFill="1" applyBorder="1" applyAlignment="1">
      <alignment horizontal="center" vertical="center" wrapText="1"/>
    </xf>
    <xf numFmtId="171" fontId="12" fillId="4" borderId="1" xfId="3" applyNumberFormat="1" applyFont="1" applyFill="1" applyBorder="1" applyAlignment="1">
      <alignment horizontal="center" vertical="center" wrapText="1"/>
    </xf>
    <xf numFmtId="171" fontId="45" fillId="0" borderId="1" xfId="3" applyNumberFormat="1" applyFont="1" applyFill="1" applyBorder="1" applyAlignment="1">
      <alignment horizontal="center" vertical="center" wrapText="1"/>
    </xf>
    <xf numFmtId="3" fontId="118" fillId="4" borderId="0" xfId="69" applyNumberFormat="1" applyFont="1" applyFill="1" applyAlignment="1">
      <alignment horizontal="center"/>
    </xf>
    <xf numFmtId="3" fontId="110" fillId="0" borderId="0" xfId="73" applyNumberFormat="1" applyFont="1" applyAlignment="1">
      <alignment horizontal="center" vertical="center"/>
    </xf>
    <xf numFmtId="3" fontId="12" fillId="0" borderId="0" xfId="73" applyNumberFormat="1" applyFont="1" applyAlignment="1">
      <alignment horizontal="center"/>
    </xf>
    <xf numFmtId="0" fontId="12" fillId="0" borderId="0" xfId="69" applyFont="1" applyAlignment="1">
      <alignment horizontal="center"/>
    </xf>
    <xf numFmtId="3" fontId="103" fillId="0" borderId="0" xfId="72" applyNumberFormat="1" applyFont="1" applyFill="1" applyAlignment="1">
      <alignment horizontal="right"/>
    </xf>
    <xf numFmtId="3" fontId="121" fillId="0" borderId="8" xfId="3" applyNumberFormat="1" applyFont="1" applyFill="1" applyBorder="1" applyAlignment="1">
      <alignment horizontal="center" vertical="center"/>
    </xf>
    <xf numFmtId="3" fontId="121" fillId="0" borderId="9" xfId="3" applyNumberFormat="1" applyFont="1" applyFill="1" applyBorder="1" applyAlignment="1">
      <alignment horizontal="center" vertical="center"/>
    </xf>
    <xf numFmtId="3" fontId="121" fillId="0" borderId="10" xfId="3" applyNumberFormat="1" applyFont="1" applyFill="1" applyBorder="1" applyAlignment="1">
      <alignment horizontal="center" vertical="center"/>
    </xf>
    <xf numFmtId="0" fontId="12" fillId="0" borderId="0" xfId="72" applyFont="1" applyFill="1" applyAlignment="1">
      <alignment horizontal="center"/>
    </xf>
    <xf numFmtId="3" fontId="13" fillId="0" borderId="0" xfId="72" applyNumberFormat="1" applyFont="1" applyFill="1" applyAlignment="1">
      <alignment horizontal="center" vertical="center"/>
    </xf>
    <xf numFmtId="0" fontId="13" fillId="0" borderId="0" xfId="72" applyFont="1" applyFill="1" applyAlignment="1">
      <alignment horizontal="center" vertical="center"/>
    </xf>
    <xf numFmtId="3" fontId="57" fillId="0" borderId="3" xfId="72" applyNumberFormat="1" applyFont="1" applyFill="1" applyBorder="1" applyAlignment="1">
      <alignment horizontal="center"/>
    </xf>
    <xf numFmtId="3" fontId="121" fillId="0" borderId="1" xfId="72" applyNumberFormat="1" applyFont="1" applyFill="1" applyBorder="1" applyAlignment="1">
      <alignment horizontal="center" vertical="center" wrapText="1"/>
    </xf>
    <xf numFmtId="3" fontId="121" fillId="0" borderId="8" xfId="3" applyNumberFormat="1" applyFont="1" applyFill="1" applyBorder="1" applyAlignment="1">
      <alignment horizontal="center" vertical="center" wrapText="1"/>
    </xf>
    <xf numFmtId="3" fontId="121" fillId="0" borderId="10" xfId="3" applyNumberFormat="1" applyFont="1" applyFill="1" applyBorder="1" applyAlignment="1">
      <alignment horizontal="center" vertical="center" wrapText="1"/>
    </xf>
  </cellXfs>
  <cellStyles count="83">
    <cellStyle name="??" xfId="4"/>
    <cellStyle name="?? [0.00]_PRODUCT DETAIL Q1" xfId="5"/>
    <cellStyle name="?? [0]" xfId="6"/>
    <cellStyle name="???? [0.00]_PRODUCT DETAIL Q1" xfId="7"/>
    <cellStyle name="????_PRODUCT DETAIL Q1" xfId="8"/>
    <cellStyle name="???_HOBONG" xfId="9"/>
    <cellStyle name="??_(????)??????" xfId="10"/>
    <cellStyle name="Bình thường 2" xfId="11"/>
    <cellStyle name="Comma" xfId="40" builtinId="3"/>
    <cellStyle name="Comma [0] 2" xfId="12"/>
    <cellStyle name="Comma [0] 3" xfId="13"/>
    <cellStyle name="Comma [0] 4" xfId="46"/>
    <cellStyle name="Comma [0] 4 2" xfId="52"/>
    <cellStyle name="Comma [0] 5" xfId="55"/>
    <cellStyle name="Comma 10" xfId="14"/>
    <cellStyle name="Comma 10 10" xfId="44"/>
    <cellStyle name="Comma 11" xfId="15"/>
    <cellStyle name="Comma 12" xfId="45"/>
    <cellStyle name="Comma 13" xfId="16"/>
    <cellStyle name="Comma 14" xfId="56"/>
    <cellStyle name="Comma 14 2" xfId="82"/>
    <cellStyle name="Comma 15" xfId="62"/>
    <cellStyle name="Comma 16" xfId="67"/>
    <cellStyle name="Comma 17" xfId="76"/>
    <cellStyle name="Comma 2" xfId="3"/>
    <cellStyle name="Comma 3" xfId="17"/>
    <cellStyle name="Comma 4" xfId="18"/>
    <cellStyle name="Comma 5" xfId="19"/>
    <cellStyle name="Comma 6" xfId="20"/>
    <cellStyle name="Comma 7" xfId="21"/>
    <cellStyle name="Comma 8" xfId="22"/>
    <cellStyle name="Comma 9" xfId="23"/>
    <cellStyle name="Comma0" xfId="24"/>
    <cellStyle name="Currency0" xfId="25"/>
    <cellStyle name="Date" xfId="26"/>
    <cellStyle name="Fixed" xfId="27"/>
    <cellStyle name="Header1" xfId="28"/>
    <cellStyle name="Header2" xfId="29"/>
    <cellStyle name="Heading 1 2" xfId="30"/>
    <cellStyle name="Heading 2 2" xfId="31"/>
    <cellStyle name="Hyperlink" xfId="1" builtinId="8"/>
    <cellStyle name="Ledger 17 x 11 in" xfId="32"/>
    <cellStyle name="Normal" xfId="0" builtinId="0"/>
    <cellStyle name="Normal 10" xfId="77"/>
    <cellStyle name="Normal 17" xfId="72"/>
    <cellStyle name="Normal 17 2" xfId="58"/>
    <cellStyle name="Normal 2" xfId="2"/>
    <cellStyle name="Normal 2 2" xfId="33"/>
    <cellStyle name="Normal 2 2 2" xfId="73"/>
    <cellStyle name="Normal 2 2 3" xfId="78"/>
    <cellStyle name="Normal 2 3" xfId="49"/>
    <cellStyle name="Normal 2 3 2" xfId="50"/>
    <cellStyle name="Normal 2 4" xfId="61"/>
    <cellStyle name="Normal 2 5" xfId="74"/>
    <cellStyle name="Normal 2 6" xfId="75"/>
    <cellStyle name="Normal 2 6 2" xfId="79"/>
    <cellStyle name="Normal 3" xfId="34"/>
    <cellStyle name="Normal 3 2" xfId="35"/>
    <cellStyle name="Normal 3 3" xfId="69"/>
    <cellStyle name="Normal 4" xfId="36"/>
    <cellStyle name="Normal 5" xfId="37"/>
    <cellStyle name="Normal 5 2" xfId="57"/>
    <cellStyle name="Normal 6" xfId="53"/>
    <cellStyle name="Normal 6 2" xfId="70"/>
    <cellStyle name="Normal 7" xfId="54"/>
    <cellStyle name="Normal 7 2" xfId="71"/>
    <cellStyle name="Normal 7 3" xfId="80"/>
    <cellStyle name="Normal 8" xfId="64"/>
    <cellStyle name="Normal 9" xfId="68"/>
    <cellStyle name="Normal_Bieu 4-7" xfId="48"/>
    <cellStyle name="Normal_Biểu các CTMTQG Chợ Đồn" xfId="42"/>
    <cellStyle name="Normal_Bieu mau (CV ) 2" xfId="43"/>
    <cellStyle name="Normal_pl6Bieu so 45" xfId="41"/>
    <cellStyle name="Normal_pl6Bieu so 51" xfId="66"/>
    <cellStyle name="Normal_Sheet1" xfId="60"/>
    <cellStyle name="Normal_Sheet1 2" xfId="47"/>
    <cellStyle name="Normal_Tong hop KH XS 2014" xfId="51"/>
    <cellStyle name="Percent" xfId="65" builtinId="5"/>
    <cellStyle name="Percent 2" xfId="59"/>
    <cellStyle name="Percent 3" xfId="63"/>
    <cellStyle name="Percent 4" xfId="81"/>
    <cellStyle name="Style 1" xfId="38"/>
    <cellStyle name="Total 2" xfId="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externalLink" Target="externalLinks/externalLink6.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externalLink" Target="externalLinks/externalLink9.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externalLink" Target="externalLinks/externalLink7.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5.xml"/><Relationship Id="rId38" Type="http://schemas.openxmlformats.org/officeDocument/2006/relationships/externalLink" Target="externalLinks/externalLink10.xml"/><Relationship Id="rId20" Type="http://schemas.openxmlformats.org/officeDocument/2006/relationships/worksheet" Target="worksheets/sheet20.xml"/><Relationship Id="rId4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T&#7893;ng%20h&#7907;p%20&#273;&#7889;i%20chi&#7871;u%20ngu&#7891;n%20201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272;&#7847;u%20t&#432;/Phong%20&#272;&#7847;u%20t&#432;.%20Bi&#7875;u%20theo%20N&#272;%2031%20(l&#7847;n%20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u%20lieu%20cong%20tac%20cam%20xoa/1.%20C&#244;ng%20t&#225;c%20qu&#7843;n%20l&#253;%20ng&#226;n%20s&#225;ch/5.%20Quy&#7871;t%20to&#225;n%20ng&#226;n%20s&#225;ch%20&#273;&#7883;a%20ph&#432;&#417;ng/Quy&#7871;t%20to&#225;n%20n&#259;m%202018/QT%20n&#259;m%202018/Bi&#7875;u%20quy&#7871;t%20to&#225;n%20NS&#272;P%20n&#259;m%202018/QT%20n&#259;m%202018%20g&#7917;i%20H&#272;ND%20t&#7881;nh/Bi&#7875;u%20QT%20NS&#272;P%20n&#259;m%202018%20(H&#272;ND%20t&#7881;n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QT%20NS%20huy&#7879;n%20x&#227;%20(hoa)/QT%20thu%202017%20(l&#7847;n%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272;&#7847;u%20t&#432;/Phong%20&#272;&#7847;u%20t&#432;.%20Bi&#7875;u%20theo%20N&#272;%203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Ph&#242;ng%20HCSN/Ng&#224;y%2020-9%20&#273;&#7889;i%20chi&#7871;u%20quy&#7871;t%20to&#225;n%202017-2%20-%20Cop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u%20lieu%20cong%20tac%20cam%20xoa/C&#244;ng%20t&#225;c%20qu&#7843;n%20l&#253;%20ng&#226;n%20s&#225;ch/Quy&#7871;t%20to&#225;n%20NSNN/Quy&#7871;t%20to&#225;n%20n&#259;m%202017/Quy&#7871;t%20to&#225;n%202017/Quy&#7871;t%20to&#225;n%202017%20(H&#7843;i)/QT%20NS%20huy&#7879;n%20x&#227;%20(hoa)/Quy&#7871;t%20to&#225;n%20NS%20huy&#7879;n%20-%20x&#227;%202017%20(l&#7847;n%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QLNS/H&#7890;NG%20NG&#7884;C/TABMIS/2018/B&#7843;n%20&#273;ung%20C&#225;c%20Bi&#7875;u%20m&#7851;u%20k&#232;m%20theo%20Q&#272;%202088%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u%20lieu%20cong%20tac%20cam%20xoa/1.%20C&#244;ng%20t&#225;c%20qu&#7843;n%20l&#253;%20ng&#226;n%20s&#225;ch/5.%20Quy&#7871;t%20to&#225;n%20ng&#226;n%20s&#225;ch%20&#273;&#7883;a%20ph&#432;&#417;ng/Quy&#7871;t%20to&#225;n%20n&#259;m%202018/QT%20n&#259;m%202018/QT%20Ng&#226;n%20s&#225;ch%20huy&#7879;n%20x&#227;/QT%20C&#193;C%20CT,%20NHI&#7878;M%20V&#7908;%202018.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N&#259;m%202018/Quy&#7871;t%20to&#225;n%202018/Quy&#7871;t%20to&#225;n%20thu/QT%20thu%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TW"/>
      <sheetName val="Nguồn TW BS trong năm"/>
      <sheetName val="Minh tuấn"/>
      <sheetName val="Mã đơn vị"/>
      <sheetName val="Số bổ sung trong năm"/>
      <sheetName val="Đối chiếu KP toàn tỉnh "/>
      <sheetName val="Doichieu KP toan tinh 2016"/>
      <sheetName val="CT MTQG "/>
      <sheetName val="Pb1. TƯ BS "/>
    </sheetNames>
    <sheetDataSet>
      <sheetData sheetId="0"/>
      <sheetData sheetId="1"/>
      <sheetData sheetId="2">
        <row r="4">
          <cell r="A4" t="str">
            <v>hdnd</v>
          </cell>
          <cell r="B4" t="str">
            <v>Văn phòng ĐĐBQH và HĐND</v>
          </cell>
        </row>
        <row r="5">
          <cell r="A5" t="str">
            <v>ubnd</v>
          </cell>
          <cell r="B5" t="str">
            <v>Văn phòng UBND tỉnh</v>
          </cell>
        </row>
        <row r="6">
          <cell r="A6" t="str">
            <v>batgt</v>
          </cell>
          <cell r="B6" t="str">
            <v xml:space="preserve"> Ban ATGT</v>
          </cell>
        </row>
        <row r="7">
          <cell r="A7" t="str">
            <v>bqldactgt</v>
          </cell>
          <cell r="B7" t="str">
            <v>Ban QLDA ĐTXDCT giao thông</v>
          </cell>
        </row>
        <row r="8">
          <cell r="A8" t="str">
            <v>snv</v>
          </cell>
          <cell r="B8" t="str">
            <v>Sở Nội vụ</v>
          </cell>
        </row>
        <row r="9">
          <cell r="A9" t="str">
            <v>hnncddc</v>
          </cell>
          <cell r="B9" t="str">
            <v>Hội nạn nhân chất độc da cam /DIOXIN</v>
          </cell>
        </row>
        <row r="10">
          <cell r="A10" t="str">
            <v>ttt</v>
          </cell>
          <cell r="B10" t="str">
            <v>Thanh tra tỉnh</v>
          </cell>
        </row>
        <row r="11">
          <cell r="A11" t="str">
            <v>hdc</v>
          </cell>
          <cell r="B11" t="str">
            <v>Hội nạn nhân chất độc da cam /DIOXIN</v>
          </cell>
        </row>
        <row r="12">
          <cell r="A12" t="str">
            <v>skh</v>
          </cell>
          <cell r="B12" t="str">
            <v>Sở Kế hoạch và Đầu tư</v>
          </cell>
        </row>
        <row r="13">
          <cell r="A13" t="str">
            <v>stc</v>
          </cell>
          <cell r="B13" t="str">
            <v>Sở Tài chính</v>
          </cell>
        </row>
        <row r="14">
          <cell r="A14" t="str">
            <v>stp</v>
          </cell>
          <cell r="B14" t="str">
            <v>Sở Tư pháp</v>
          </cell>
        </row>
        <row r="15">
          <cell r="A15" t="str">
            <v>sgt</v>
          </cell>
          <cell r="B15" t="str">
            <v xml:space="preserve"> Sở Giao thông - Vận tải</v>
          </cell>
        </row>
        <row r="16">
          <cell r="A16" t="str">
            <v>sxd</v>
          </cell>
          <cell r="B16" t="str">
            <v xml:space="preserve"> Sở Xây dựng</v>
          </cell>
        </row>
        <row r="17">
          <cell r="A17" t="str">
            <v>sct</v>
          </cell>
          <cell r="B17" t="str">
            <v xml:space="preserve"> Sở Công thương</v>
          </cell>
        </row>
        <row r="18">
          <cell r="A18" t="str">
            <v>svh</v>
          </cell>
          <cell r="B18" t="str">
            <v xml:space="preserve"> Sở Văn hoá Thể thao &amp; Du lịch</v>
          </cell>
        </row>
        <row r="19">
          <cell r="A19" t="str">
            <v>sld</v>
          </cell>
          <cell r="B19" t="str">
            <v xml:space="preserve"> Sở Lao động - Thương binh &amp; XH</v>
          </cell>
        </row>
        <row r="20">
          <cell r="A20" t="str">
            <v>skhcn</v>
          </cell>
          <cell r="B20" t="str">
            <v xml:space="preserve"> Sở Khoa học - Công nghệ</v>
          </cell>
        </row>
        <row r="21">
          <cell r="A21" t="str">
            <v>snn</v>
          </cell>
          <cell r="B21" t="str">
            <v xml:space="preserve"> Sở Nông nghiệp &amp; PTNT</v>
          </cell>
        </row>
        <row r="22">
          <cell r="A22" t="str">
            <v>daj</v>
          </cell>
          <cell r="B22" t="str">
            <v>Ban quản lý DA JICA</v>
          </cell>
        </row>
        <row r="23">
          <cell r="A23" t="str">
            <v>stn</v>
          </cell>
          <cell r="B23" t="str">
            <v xml:space="preserve"> Sở Tài nguyên &amp; MT</v>
          </cell>
        </row>
        <row r="24">
          <cell r="A24" t="str">
            <v>vqg</v>
          </cell>
          <cell r="B24" t="str">
            <v>Vườn Quốc gia Ba Bể</v>
          </cell>
        </row>
        <row r="25">
          <cell r="A25" t="str">
            <v>ccqltt</v>
          </cell>
          <cell r="B25" t="str">
            <v>Chi cục Quản lý thị trường</v>
          </cell>
        </row>
        <row r="26">
          <cell r="A26" t="str">
            <v>dpt</v>
          </cell>
          <cell r="B26" t="str">
            <v>Đài Phát thanh truyền hình</v>
          </cell>
        </row>
        <row r="27">
          <cell r="A27" t="str">
            <v>syt</v>
          </cell>
          <cell r="B27" t="str">
            <v xml:space="preserve"> Sở Y tế</v>
          </cell>
        </row>
        <row r="28">
          <cell r="A28" t="str">
            <v>tcd</v>
          </cell>
          <cell r="B28" t="str">
            <v>Trường Cao đẳng Cộng đồng</v>
          </cell>
        </row>
        <row r="29">
          <cell r="A29" t="str">
            <v>bdt</v>
          </cell>
          <cell r="B29" t="str">
            <v xml:space="preserve">Ban Dân tộc </v>
          </cell>
        </row>
        <row r="30">
          <cell r="A30" t="str">
            <v>bqlda</v>
          </cell>
          <cell r="B30" t="str">
            <v>Ban QLDA XD các khu CN</v>
          </cell>
        </row>
        <row r="31">
          <cell r="A31" t="str">
            <v>sgd</v>
          </cell>
          <cell r="B31" t="str">
            <v xml:space="preserve"> Sở Giáo dục và Đào tạo</v>
          </cell>
        </row>
        <row r="32">
          <cell r="A32" t="str">
            <v>stt</v>
          </cell>
          <cell r="B32" t="str">
            <v>Sở Thông tin Truyền thông</v>
          </cell>
        </row>
        <row r="33">
          <cell r="A33" t="str">
            <v>vptu</v>
          </cell>
          <cell r="B33" t="str">
            <v>Văn phòng Tỉnh uỷ</v>
          </cell>
        </row>
        <row r="34">
          <cell r="A34" t="str">
            <v>tct</v>
          </cell>
          <cell r="B34" t="str">
            <v>Trường Chính trị</v>
          </cell>
        </row>
        <row r="35">
          <cell r="A35" t="str">
            <v>td</v>
          </cell>
          <cell r="B35" t="str">
            <v>Tỉnh đoàn</v>
          </cell>
        </row>
        <row r="36">
          <cell r="A36" t="str">
            <v>hpn</v>
          </cell>
          <cell r="B36" t="str">
            <v>Hội Liên hiệp phụ nữ</v>
          </cell>
        </row>
        <row r="37">
          <cell r="A37" t="str">
            <v>ubmt</v>
          </cell>
          <cell r="B37" t="str">
            <v>Uỷ Ban mặt trận tổ quốc</v>
          </cell>
        </row>
        <row r="38">
          <cell r="A38" t="str">
            <v>hnd</v>
          </cell>
          <cell r="B38" t="str">
            <v>Hội Nông dân</v>
          </cell>
        </row>
        <row r="39">
          <cell r="A39" t="str">
            <v>hccb</v>
          </cell>
          <cell r="B39" t="str">
            <v>Hội Cựu chiến binh</v>
          </cell>
        </row>
        <row r="40">
          <cell r="A40" t="str">
            <v>hctd</v>
          </cell>
          <cell r="B40" t="str">
            <v>Hội Chữ thập đỏ</v>
          </cell>
        </row>
        <row r="41">
          <cell r="A41" t="str">
            <v>hdy</v>
          </cell>
          <cell r="B41" t="str">
            <v>Hội Đông Y</v>
          </cell>
        </row>
        <row r="42">
          <cell r="A42" t="str">
            <v>hdlm</v>
          </cell>
          <cell r="B42" t="str">
            <v>Hội Đồng Liên minh các HTX</v>
          </cell>
        </row>
        <row r="43">
          <cell r="A43" t="str">
            <v>hvh</v>
          </cell>
          <cell r="B43" t="str">
            <v>Hội Văn học nghệ thuật</v>
          </cell>
        </row>
        <row r="44">
          <cell r="A44" t="str">
            <v>hkh</v>
          </cell>
          <cell r="B44" t="str">
            <v>Hội Khuyến học</v>
          </cell>
        </row>
        <row r="45">
          <cell r="A45" t="str">
            <v>hlv</v>
          </cell>
          <cell r="B45" t="str">
            <v>Hội Làm vườn</v>
          </cell>
        </row>
        <row r="46">
          <cell r="A46" t="str">
            <v>hlg</v>
          </cell>
          <cell r="B46" t="str">
            <v>Hội Luật gia</v>
          </cell>
        </row>
        <row r="47">
          <cell r="A47" t="str">
            <v>hlhtn</v>
          </cell>
          <cell r="B47" t="str">
            <v>Hội Liên hiệp thanh niên VN</v>
          </cell>
        </row>
        <row r="48">
          <cell r="A48" t="str">
            <v>hnb</v>
          </cell>
          <cell r="B48" t="str">
            <v>Hội Nhà báo</v>
          </cell>
        </row>
        <row r="49">
          <cell r="A49" t="str">
            <v>hbtntt</v>
          </cell>
          <cell r="B49" t="str">
            <v>Hội Bảo trợ NTT và TEMC</v>
          </cell>
        </row>
        <row r="50">
          <cell r="A50" t="str">
            <v>hctnxp</v>
          </cell>
          <cell r="B50" t="str">
            <v>Hội cựu thanh niên xung phong</v>
          </cell>
        </row>
        <row r="51">
          <cell r="A51" t="str">
            <v>hcgc</v>
          </cell>
          <cell r="B51" t="str">
            <v>Hội Cựu giáo chức tỉnh</v>
          </cell>
        </row>
        <row r="52">
          <cell r="A52" t="str">
            <v>hnct</v>
          </cell>
          <cell r="B52" t="str">
            <v xml:space="preserve">Hội Người cao tuổi </v>
          </cell>
        </row>
        <row r="53">
          <cell r="A53" t="str">
            <v>cat</v>
          </cell>
          <cell r="B53" t="str">
            <v>Công an tỉnh</v>
          </cell>
        </row>
        <row r="54">
          <cell r="A54" t="str">
            <v>bchqs</v>
          </cell>
          <cell r="B54" t="str">
            <v>Bộ chỉ huy quân sự tỉnh</v>
          </cell>
        </row>
        <row r="55">
          <cell r="A55" t="str">
            <v>qptd</v>
          </cell>
          <cell r="B55" t="str">
            <v>Quỹ Phát triển đất</v>
          </cell>
        </row>
        <row r="56">
          <cell r="A56" t="str">
            <v>qbvmt</v>
          </cell>
          <cell r="B56" t="str">
            <v>Quỹ Bảo vệ môi trường</v>
          </cell>
        </row>
        <row r="57">
          <cell r="A57" t="str">
            <v>hkhkt</v>
          </cell>
          <cell r="B57" t="str">
            <v xml:space="preserve">Hội Khoa học và Kỹ thuật </v>
          </cell>
        </row>
        <row r="58">
          <cell r="A58" t="str">
            <v>qptr</v>
          </cell>
          <cell r="B58" t="str">
            <v>Quỹ phát triển rừng</v>
          </cell>
        </row>
        <row r="59">
          <cell r="A59" t="str">
            <v>lhchkhkt</v>
          </cell>
          <cell r="B59" t="str">
            <v xml:space="preserve">Liên hiệp các Hội Khoa học và Kỹ thuật </v>
          </cell>
        </row>
        <row r="60">
          <cell r="A60">
            <v>0</v>
          </cell>
          <cell r="B60" t="str">
            <v>Các huyện, thị xã</v>
          </cell>
        </row>
        <row r="61">
          <cell r="A61" t="str">
            <v>tx</v>
          </cell>
          <cell r="B61" t="str">
            <v>Thị xã Bắc Kạn</v>
          </cell>
        </row>
        <row r="62">
          <cell r="A62" t="str">
            <v>bb</v>
          </cell>
          <cell r="B62" t="str">
            <v>Huyện Ba Bể</v>
          </cell>
        </row>
        <row r="63">
          <cell r="A63" t="str">
            <v>ns</v>
          </cell>
          <cell r="B63" t="str">
            <v>Huyện Ngân Sơn</v>
          </cell>
        </row>
        <row r="64">
          <cell r="A64" t="str">
            <v>cd</v>
          </cell>
          <cell r="B64" t="str">
            <v>Huyện Chợ Đồn</v>
          </cell>
        </row>
        <row r="65">
          <cell r="A65" t="str">
            <v>nr</v>
          </cell>
          <cell r="B65" t="str">
            <v>Huyện Na Rì</v>
          </cell>
        </row>
        <row r="66">
          <cell r="A66" t="str">
            <v>cm</v>
          </cell>
          <cell r="B66" t="str">
            <v xml:space="preserve">Huyện Chợ Mới </v>
          </cell>
        </row>
        <row r="67">
          <cell r="A67" t="str">
            <v>bt</v>
          </cell>
          <cell r="B67" t="str">
            <v>Huyện Bạch Thông</v>
          </cell>
        </row>
        <row r="68">
          <cell r="A68" t="str">
            <v>pn</v>
          </cell>
          <cell r="B68" t="str">
            <v>Huyện Pác Nặm</v>
          </cell>
        </row>
        <row r="69">
          <cell r="A69" t="str">
            <v>tpbk</v>
          </cell>
          <cell r="B69" t="str">
            <v>Thành phố Bắc Kạn</v>
          </cell>
        </row>
        <row r="70">
          <cell r="A70">
            <v>0</v>
          </cell>
          <cell r="B70" t="str">
            <v>Đơn vị cấp bằng lệnh chi</v>
          </cell>
        </row>
        <row r="71">
          <cell r="A71" t="str">
            <v>btshpg</v>
          </cell>
          <cell r="B71" t="str">
            <v>Ban trị sự hội phật giáo</v>
          </cell>
        </row>
        <row r="72">
          <cell r="A72" t="str">
            <v>htxtl</v>
          </cell>
          <cell r="B72" t="str">
            <v>Hợp tác xã Thắng Lợi</v>
          </cell>
        </row>
        <row r="73">
          <cell r="A73" t="str">
            <v>cttnhhmtvln</v>
          </cell>
          <cell r="B73" t="str">
            <v>Công ty TNHH MTV Lâm nghiệp Bắc Kạn</v>
          </cell>
        </row>
        <row r="74">
          <cell r="A74" t="str">
            <v>htxdđt</v>
          </cell>
          <cell r="B74" t="str">
            <v>Hợp tác xã Đồng Tâm</v>
          </cell>
        </row>
        <row r="75">
          <cell r="A75" t="str">
            <v>ctmtvtn</v>
          </cell>
          <cell r="B75" t="str">
            <v>Công ty TNHH MTV quản lý, khai thác công trình thủy lợi Bắc Kạn</v>
          </cell>
        </row>
        <row r="76">
          <cell r="A76" t="str">
            <v>cttnhhtt</v>
          </cell>
          <cell r="B76" t="str">
            <v>Công ty TNHH Trường Thành BK</v>
          </cell>
        </row>
        <row r="77">
          <cell r="A77" t="str">
            <v>htxcp</v>
          </cell>
          <cell r="B77" t="str">
            <v>HTX Cao Phong</v>
          </cell>
        </row>
        <row r="78">
          <cell r="A78" t="str">
            <v>đlbk</v>
          </cell>
          <cell r="B78" t="str">
            <v>Điện lực Bắc Kạn</v>
          </cell>
        </row>
        <row r="79">
          <cell r="A79" t="str">
            <v>lmhtx</v>
          </cell>
          <cell r="B79" t="str">
            <v>Liên minh HTX</v>
          </cell>
        </row>
        <row r="80">
          <cell r="A80" t="str">
            <v>ldld</v>
          </cell>
          <cell r="B80" t="str">
            <v>Liên đoàn Lao động tỉnh</v>
          </cell>
        </row>
        <row r="81">
          <cell r="A81" t="str">
            <v>kb</v>
          </cell>
          <cell r="B81" t="str">
            <v>Kho bạc Nhà nước</v>
          </cell>
        </row>
        <row r="82">
          <cell r="A82" t="str">
            <v>ccthanr</v>
          </cell>
          <cell r="B82" t="str">
            <v>Chi cục thi hành án Na Rì</v>
          </cell>
        </row>
        <row r="83">
          <cell r="A83" t="str">
            <v>qptd</v>
          </cell>
          <cell r="B83" t="str">
            <v>Quỹ phát triển đất</v>
          </cell>
        </row>
        <row r="84">
          <cell r="A84" t="str">
            <v>ctsxvlxdbk</v>
          </cell>
          <cell r="B84" t="str">
            <v>Công ty CP sản xuất vật liệu xây dựng BK</v>
          </cell>
        </row>
        <row r="85">
          <cell r="A85" t="str">
            <v>bqldans</v>
          </cell>
          <cell r="B85" t="str">
            <v>Ban QLDA Ngân Sơn</v>
          </cell>
        </row>
        <row r="86">
          <cell r="A86" t="str">
            <v>ubndtn</v>
          </cell>
          <cell r="B86" t="str">
            <v>UBND tỉnh Thái Nguyên</v>
          </cell>
        </row>
        <row r="87">
          <cell r="A87" t="str">
            <v>bd</v>
          </cell>
          <cell r="B87" t="str">
            <v>Bưu điện tỉnh</v>
          </cell>
        </row>
        <row r="88">
          <cell r="A88" t="str">
            <v>bhxh</v>
          </cell>
          <cell r="B88" t="str">
            <v>Bảo hiểm Xã hội tỉnh</v>
          </cell>
        </row>
        <row r="89">
          <cell r="A89" t="str">
            <v>cthads</v>
          </cell>
          <cell r="B89" t="str">
            <v>Cục thi hành án dân sự tỉnh</v>
          </cell>
        </row>
        <row r="90">
          <cell r="A90" t="str">
            <v>tnvvkchkm</v>
          </cell>
          <cell r="B90" t="str">
            <v>Trả nợ vốn vay kiên cố hóa kênh mương</v>
          </cell>
        </row>
        <row r="91">
          <cell r="A91" t="str">
            <v>tgvtưkbnntw</v>
          </cell>
          <cell r="B91" t="str">
            <v>Trả gốc vốn tạm ứng KBNN TW</v>
          </cell>
        </row>
        <row r="92">
          <cell r="A92" t="str">
            <v>cthh</v>
          </cell>
          <cell r="B92" t="str">
            <v>Công ty CP Hồng Hà</v>
          </cell>
        </row>
        <row r="93">
          <cell r="A93" t="str">
            <v>nhnn</v>
          </cell>
          <cell r="B93" t="str">
            <v>Ngân hàng nông nghiệp &amp; PTNT</v>
          </cell>
        </row>
        <row r="94">
          <cell r="A94">
            <v>0</v>
          </cell>
          <cell r="B94">
            <v>0</v>
          </cell>
        </row>
        <row r="95">
          <cell r="A95" t="str">
            <v>nhcs</v>
          </cell>
          <cell r="B95" t="str">
            <v>Ngân hàng chính sách</v>
          </cell>
        </row>
        <row r="96">
          <cell r="A96">
            <v>0</v>
          </cell>
          <cell r="B96">
            <v>0</v>
          </cell>
        </row>
        <row r="97">
          <cell r="A97" t="str">
            <v>bqldagt</v>
          </cell>
          <cell r="B97" t="str">
            <v>Ban QLDA Giao thông</v>
          </cell>
        </row>
        <row r="98">
          <cell r="A98">
            <v>0</v>
          </cell>
          <cell r="B98">
            <v>0</v>
          </cell>
        </row>
        <row r="99">
          <cell r="A99">
            <v>0</v>
          </cell>
          <cell r="B99">
            <v>0</v>
          </cell>
        </row>
        <row r="100">
          <cell r="A100" t="str">
            <v>nst</v>
          </cell>
          <cell r="B100" t="str">
            <v>Ngân sách tỉnh</v>
          </cell>
        </row>
        <row r="101">
          <cell r="A101">
            <v>0</v>
          </cell>
          <cell r="B101">
            <v>0</v>
          </cell>
        </row>
        <row r="102">
          <cell r="A102">
            <v>0</v>
          </cell>
          <cell r="B102">
            <v>0</v>
          </cell>
        </row>
        <row r="103">
          <cell r="A103" t="str">
            <v>tgtc</v>
          </cell>
          <cell r="B103" t="str">
            <v>Trợ giá trợ cước</v>
          </cell>
        </row>
        <row r="104">
          <cell r="A104" t="str">
            <v>qdttc</v>
          </cell>
          <cell r="B104" t="str">
            <v>Quỹ dự trữ tài chính</v>
          </cell>
        </row>
        <row r="105">
          <cell r="A105" t="str">
            <v>nsct</v>
          </cell>
          <cell r="B105" t="str">
            <v>Hoàn trả ngân sách cấp tỉnh</v>
          </cell>
        </row>
        <row r="106">
          <cell r="A106" t="str">
            <v>nstw</v>
          </cell>
          <cell r="B106" t="str">
            <v>Hoàn trả NSTW</v>
          </cell>
        </row>
        <row r="107">
          <cell r="A107" t="str">
            <v>hnd (lct)</v>
          </cell>
          <cell r="B107" t="str">
            <v>Quỹ Hội Nông dân</v>
          </cell>
        </row>
        <row r="108">
          <cell r="A108">
            <v>0</v>
          </cell>
          <cell r="B108" t="str">
            <v>Vốn đầu tư</v>
          </cell>
        </row>
        <row r="109">
          <cell r="A109" t="str">
            <v>vdt</v>
          </cell>
          <cell r="B109" t="str">
            <v>Vốn đầu tư thanh toán tại tỉnh</v>
          </cell>
        </row>
        <row r="110">
          <cell r="A110">
            <v>0</v>
          </cell>
          <cell r="B110" t="str">
            <v>Cấp tạm ứng</v>
          </cell>
        </row>
        <row r="111">
          <cell r="A111" t="str">
            <v>tx (TU)</v>
          </cell>
          <cell r="B111" t="str">
            <v>Thị xã Bắc Kạn</v>
          </cell>
        </row>
        <row r="112">
          <cell r="A112" t="str">
            <v>bt (TU)</v>
          </cell>
          <cell r="B112" t="str">
            <v>Huyện Bạch Thông</v>
          </cell>
        </row>
        <row r="113">
          <cell r="A113" t="str">
            <v>cm (TU)</v>
          </cell>
          <cell r="B113" t="str">
            <v>Huyện Chợ Mới</v>
          </cell>
        </row>
        <row r="114">
          <cell r="A114" t="str">
            <v>bb (TU)</v>
          </cell>
          <cell r="B114" t="str">
            <v>Huyện Ba Bể</v>
          </cell>
        </row>
        <row r="115">
          <cell r="A115" t="str">
            <v>ns (TU)</v>
          </cell>
          <cell r="B115" t="str">
            <v>Huyện Ngân Sơn</v>
          </cell>
        </row>
        <row r="116">
          <cell r="A116" t="str">
            <v>nr (TU)</v>
          </cell>
          <cell r="B116" t="str">
            <v>Huyện Na Rì</v>
          </cell>
        </row>
        <row r="117">
          <cell r="A117" t="str">
            <v>ctcpvtktnn (TU)</v>
          </cell>
          <cell r="B117" t="str">
            <v>Công ty cổ phần vật tư kỹ thuật nông nghiệp Bắc Kạn (tạm ứng)</v>
          </cell>
        </row>
        <row r="118">
          <cell r="A118" t="str">
            <v>ctmtvtn (TU)</v>
          </cell>
          <cell r="B118" t="str">
            <v>Công ty TNHH MTV Thuỷ Nông Bắc Kạn (tạm ứng)</v>
          </cell>
        </row>
        <row r="119">
          <cell r="A119" t="str">
            <v>cttnhhibk</v>
          </cell>
          <cell r="B119" t="str">
            <v xml:space="preserve">Công ty TNHH MTV In Bắc Kạn </v>
          </cell>
        </row>
        <row r="120">
          <cell r="A120">
            <v>0</v>
          </cell>
          <cell r="B120" t="str">
            <v>Cho vay</v>
          </cell>
        </row>
        <row r="121">
          <cell r="A121" t="str">
            <v>ctdttmdlbb (vay)</v>
          </cell>
          <cell r="B121" t="str">
            <v>Công ty CP ĐTTM và DL Ba Bể</v>
          </cell>
        </row>
        <row r="122">
          <cell r="A122" t="str">
            <v>ctcpdttmdlcd (vay)</v>
          </cell>
          <cell r="B122" t="str">
            <v>Công ty CP ĐTTM và DL Chợ Đồn</v>
          </cell>
        </row>
        <row r="123">
          <cell r="A123" t="str">
            <v>bqldabv (vay)</v>
          </cell>
          <cell r="B123" t="str">
            <v>Ban quản lý dự án đầu tư xây dựng công trình Bệnh viện đa khoa Bắc Kạn</v>
          </cell>
        </row>
        <row r="124">
          <cell r="A124" t="str">
            <v>vpubnd</v>
          </cell>
          <cell r="B124" t="str">
            <v>Văn phòng UBND tỉnh</v>
          </cell>
        </row>
        <row r="125">
          <cell r="A125" t="str">
            <v>hnm</v>
          </cell>
          <cell r="B125" t="str">
            <v>Hội người mù</v>
          </cell>
        </row>
        <row r="126">
          <cell r="A126" t="str">
            <v>ttnsvsmt</v>
          </cell>
          <cell r="B126" t="str">
            <v>Trung tâm nước sạch và VSMT nông thôn</v>
          </cell>
        </row>
        <row r="127">
          <cell r="A127" t="str">
            <v>cctl</v>
          </cell>
          <cell r="B127" t="str">
            <v>Chi cục Thủy lợi và phòng chống lụt bão</v>
          </cell>
        </row>
        <row r="128">
          <cell r="A128" t="str">
            <v>bbk</v>
          </cell>
          <cell r="B128" t="str">
            <v>Báo Bắc Kạn</v>
          </cell>
        </row>
        <row r="129">
          <cell r="A129" t="str">
            <v>bqldađtxd</v>
          </cell>
          <cell r="B129" t="str">
            <v>Ban QLDA đầu tư và xây dựng thành phố Bắc Kạn</v>
          </cell>
        </row>
        <row r="130">
          <cell r="A130" t="str">
            <v>cdndtnt</v>
          </cell>
          <cell r="B130" t="str">
            <v>Trường cao đẳng nghề dân tộc nội trú</v>
          </cell>
        </row>
        <row r="131">
          <cell r="A131" t="str">
            <v>lmhtx</v>
          </cell>
          <cell r="B131" t="str">
            <v>Liên minh HTX</v>
          </cell>
        </row>
        <row r="132">
          <cell r="A132" t="str">
            <v>htxtl</v>
          </cell>
          <cell r="B132" t="str">
            <v>HTX Thắng Lợi</v>
          </cell>
        </row>
        <row r="133">
          <cell r="A133" t="str">
            <v>htxdt</v>
          </cell>
          <cell r="B133" t="str">
            <v>HTX Đồng Tâm</v>
          </cell>
        </row>
        <row r="134">
          <cell r="A134" t="str">
            <v>cttnhhqlktcttl</v>
          </cell>
          <cell r="B134" t="str">
            <v>Công ty TNHH MTV quản lý, khai thác công trình thủy lợi Bắc Kạn</v>
          </cell>
        </row>
        <row r="135">
          <cell r="A135" t="str">
            <v>bqlckcn</v>
          </cell>
          <cell r="B135" t="str">
            <v>Ban quản lý các khu công nghiệp tỉnh Bắc Kạn</v>
          </cell>
        </row>
        <row r="136">
          <cell r="A136" t="str">
            <v>tcdndtnt</v>
          </cell>
          <cell r="B136" t="str">
            <v>Trường cao đẳng nghề dân tộc nội trú</v>
          </cell>
        </row>
        <row r="137">
          <cell r="A137" t="str">
            <v>vpdpntm</v>
          </cell>
          <cell r="B137" t="str">
            <v>Văn phòng điều phối chương trình MTQG xây dựng NTM và Giảm nghèo</v>
          </cell>
        </row>
        <row r="138">
          <cell r="A138" t="str">
            <v>bqldađtxdtbk</v>
          </cell>
          <cell r="B138" t="str">
            <v>Ban QLDA đầu tư xây dựng tỉnh Bắc Kạn</v>
          </cell>
        </row>
        <row r="139">
          <cell r="A139" t="str">
            <v>bqldanr</v>
          </cell>
          <cell r="B139" t="str">
            <v>Ban quản lý dự án đầu tư và xây dựng huyện Na Rì</v>
          </cell>
        </row>
        <row r="140">
          <cell r="A140" t="str">
            <v>tcy</v>
          </cell>
          <cell r="B140" t="str">
            <v>Trường Trung cấp y</v>
          </cell>
        </row>
        <row r="141">
          <cell r="A141" t="str">
            <v>qldabk</v>
          </cell>
          <cell r="B141" t="str">
            <v>Ban QLDA ĐTXD tỉnh</v>
          </cell>
        </row>
        <row r="142">
          <cell r="A142" t="str">
            <v>kbnn</v>
          </cell>
          <cell r="B142" t="str">
            <v>Kho bạc Nhà nước</v>
          </cell>
        </row>
        <row r="143">
          <cell r="A143">
            <v>0</v>
          </cell>
          <cell r="B143">
            <v>0</v>
          </cell>
        </row>
        <row r="144">
          <cell r="A144">
            <v>0</v>
          </cell>
          <cell r="B144">
            <v>0</v>
          </cell>
        </row>
        <row r="145">
          <cell r="A145">
            <v>0</v>
          </cell>
          <cell r="B145">
            <v>0</v>
          </cell>
        </row>
        <row r="146">
          <cell r="A146">
            <v>0</v>
          </cell>
          <cell r="B146">
            <v>0</v>
          </cell>
        </row>
        <row r="147">
          <cell r="A147">
            <v>0</v>
          </cell>
          <cell r="B147">
            <v>0</v>
          </cell>
        </row>
        <row r="148">
          <cell r="A148">
            <v>0</v>
          </cell>
          <cell r="B148">
            <v>0</v>
          </cell>
        </row>
        <row r="149">
          <cell r="A149">
            <v>0</v>
          </cell>
          <cell r="B149">
            <v>0</v>
          </cell>
        </row>
        <row r="150">
          <cell r="A150">
            <v>0</v>
          </cell>
          <cell r="B150">
            <v>0</v>
          </cell>
        </row>
        <row r="151">
          <cell r="A151">
            <v>0</v>
          </cell>
          <cell r="B151">
            <v>0</v>
          </cell>
        </row>
        <row r="152">
          <cell r="A152">
            <v>0</v>
          </cell>
          <cell r="B152">
            <v>0</v>
          </cell>
        </row>
        <row r="153">
          <cell r="A153">
            <v>0</v>
          </cell>
          <cell r="B153">
            <v>0</v>
          </cell>
        </row>
        <row r="154">
          <cell r="A154">
            <v>0</v>
          </cell>
          <cell r="B154">
            <v>0</v>
          </cell>
        </row>
        <row r="155">
          <cell r="A155">
            <v>0</v>
          </cell>
          <cell r="B155">
            <v>0</v>
          </cell>
        </row>
        <row r="156">
          <cell r="A156">
            <v>0</v>
          </cell>
          <cell r="B156">
            <v>0</v>
          </cell>
        </row>
        <row r="157">
          <cell r="A157">
            <v>0</v>
          </cell>
          <cell r="B157">
            <v>0</v>
          </cell>
        </row>
        <row r="158">
          <cell r="A158">
            <v>0</v>
          </cell>
          <cell r="B158">
            <v>0</v>
          </cell>
        </row>
        <row r="159">
          <cell r="A159">
            <v>0</v>
          </cell>
          <cell r="B159">
            <v>0</v>
          </cell>
        </row>
        <row r="160">
          <cell r="A160">
            <v>0</v>
          </cell>
          <cell r="B160">
            <v>0</v>
          </cell>
        </row>
        <row r="161">
          <cell r="A161">
            <v>0</v>
          </cell>
          <cell r="B161">
            <v>0</v>
          </cell>
        </row>
        <row r="162">
          <cell r="A162">
            <v>0</v>
          </cell>
          <cell r="B162">
            <v>0</v>
          </cell>
        </row>
        <row r="163">
          <cell r="A163">
            <v>0</v>
          </cell>
          <cell r="B163">
            <v>0</v>
          </cell>
        </row>
        <row r="164">
          <cell r="A164">
            <v>0</v>
          </cell>
          <cell r="B164">
            <v>0</v>
          </cell>
        </row>
        <row r="165">
          <cell r="A165">
            <v>0</v>
          </cell>
          <cell r="B165">
            <v>0</v>
          </cell>
        </row>
        <row r="166">
          <cell r="A166">
            <v>0</v>
          </cell>
          <cell r="B166">
            <v>0</v>
          </cell>
        </row>
        <row r="167">
          <cell r="A167">
            <v>0</v>
          </cell>
          <cell r="B167">
            <v>0</v>
          </cell>
        </row>
        <row r="168">
          <cell r="A168">
            <v>0</v>
          </cell>
          <cell r="B168">
            <v>0</v>
          </cell>
        </row>
        <row r="169">
          <cell r="A169">
            <v>0</v>
          </cell>
          <cell r="B169">
            <v>0</v>
          </cell>
        </row>
        <row r="170">
          <cell r="A170">
            <v>0</v>
          </cell>
          <cell r="B170">
            <v>0</v>
          </cell>
        </row>
      </sheetData>
      <sheetData sheetId="3"/>
      <sheetData sheetId="4"/>
      <sheetData sheetId="5"/>
      <sheetData sheetId="6"/>
      <sheetData sheetId="7"/>
      <sheetData sheetId="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8"/>
      <sheetName val="Sheet3"/>
      <sheetName val="5.15"/>
      <sheetName val="trunghan"/>
      <sheetName val="03"/>
      <sheetName val="QT2016"/>
      <sheetName val="bieu cu"/>
      <sheetName val="82"/>
      <sheetName val="Sheet4"/>
      <sheetName val="Sheet2"/>
      <sheetName val="5.30"/>
      <sheetName val="bieu 5.30"/>
    </sheetNames>
    <sheetDataSet>
      <sheetData sheetId="0"/>
      <sheetData sheetId="1"/>
      <sheetData sheetId="2"/>
      <sheetData sheetId="3"/>
      <sheetData sheetId="4"/>
      <sheetData sheetId="5"/>
      <sheetData sheetId="6">
        <row r="12">
          <cell r="H12">
            <v>64</v>
          </cell>
          <cell r="M12">
            <v>63.676000000000002</v>
          </cell>
        </row>
        <row r="13">
          <cell r="M13">
            <v>0.39500000000000002</v>
          </cell>
        </row>
        <row r="14">
          <cell r="H14">
            <v>64</v>
          </cell>
        </row>
        <row r="17">
          <cell r="M17">
            <v>36.645000000000003</v>
          </cell>
        </row>
        <row r="19">
          <cell r="H19">
            <v>19</v>
          </cell>
          <cell r="M19">
            <v>18.469000000000001</v>
          </cell>
        </row>
        <row r="21">
          <cell r="H21">
            <v>3733</v>
          </cell>
          <cell r="M21">
            <v>3733</v>
          </cell>
        </row>
        <row r="22">
          <cell r="H22">
            <v>5259</v>
          </cell>
          <cell r="M22">
            <v>5258.7650000000003</v>
          </cell>
        </row>
        <row r="23">
          <cell r="H23">
            <v>1436</v>
          </cell>
          <cell r="M23">
            <v>1435.932</v>
          </cell>
        </row>
        <row r="25">
          <cell r="H25">
            <v>3303</v>
          </cell>
          <cell r="M25">
            <v>3302.0499</v>
          </cell>
        </row>
        <row r="31">
          <cell r="M31">
            <v>345.779</v>
          </cell>
        </row>
        <row r="32">
          <cell r="H32">
            <v>3</v>
          </cell>
        </row>
        <row r="33">
          <cell r="H33">
            <v>7</v>
          </cell>
          <cell r="M33">
            <v>6.9459999999999997</v>
          </cell>
        </row>
        <row r="34">
          <cell r="H34">
            <v>77</v>
          </cell>
          <cell r="M34">
            <v>77</v>
          </cell>
        </row>
        <row r="35">
          <cell r="H35">
            <v>46</v>
          </cell>
          <cell r="M35">
            <v>46</v>
          </cell>
        </row>
        <row r="36">
          <cell r="M36">
            <v>0</v>
          </cell>
        </row>
        <row r="37">
          <cell r="H37">
            <v>500</v>
          </cell>
        </row>
        <row r="38">
          <cell r="H38">
            <v>230</v>
          </cell>
          <cell r="M38">
            <v>230</v>
          </cell>
        </row>
        <row r="40">
          <cell r="H40">
            <v>288</v>
          </cell>
        </row>
        <row r="41">
          <cell r="M41">
            <v>65</v>
          </cell>
        </row>
        <row r="45">
          <cell r="M45">
            <v>1.8720000000000001</v>
          </cell>
        </row>
        <row r="48">
          <cell r="H48">
            <v>2400</v>
          </cell>
          <cell r="M48">
            <v>2400</v>
          </cell>
        </row>
        <row r="49">
          <cell r="H49">
            <v>6616</v>
          </cell>
          <cell r="M49">
            <v>6615.2269999999999</v>
          </cell>
        </row>
        <row r="52">
          <cell r="M52">
            <v>128.14699999999999</v>
          </cell>
        </row>
        <row r="53">
          <cell r="M53">
            <v>639</v>
          </cell>
        </row>
        <row r="66">
          <cell r="H66">
            <v>100</v>
          </cell>
          <cell r="M66">
            <v>100</v>
          </cell>
        </row>
        <row r="69">
          <cell r="H69">
            <v>4078</v>
          </cell>
          <cell r="M69">
            <v>4078</v>
          </cell>
        </row>
        <row r="70">
          <cell r="H70">
            <v>2783</v>
          </cell>
          <cell r="M70">
            <v>2782.212</v>
          </cell>
        </row>
        <row r="72">
          <cell r="H72">
            <v>300</v>
          </cell>
          <cell r="M72">
            <v>300</v>
          </cell>
        </row>
        <row r="73">
          <cell r="H73">
            <v>1260</v>
          </cell>
          <cell r="M73">
            <v>1260</v>
          </cell>
        </row>
        <row r="74">
          <cell r="H74">
            <v>900</v>
          </cell>
          <cell r="M74">
            <v>900</v>
          </cell>
        </row>
        <row r="76">
          <cell r="H76">
            <v>300</v>
          </cell>
          <cell r="M76">
            <v>300</v>
          </cell>
        </row>
        <row r="77">
          <cell r="H77">
            <v>115</v>
          </cell>
          <cell r="M77">
            <v>115</v>
          </cell>
        </row>
        <row r="78">
          <cell r="H78">
            <v>300</v>
          </cell>
          <cell r="M78">
            <v>300</v>
          </cell>
        </row>
        <row r="79">
          <cell r="H79">
            <v>1000</v>
          </cell>
          <cell r="M79">
            <v>1000</v>
          </cell>
        </row>
        <row r="80">
          <cell r="H80">
            <v>200</v>
          </cell>
          <cell r="M80">
            <v>200</v>
          </cell>
        </row>
        <row r="81">
          <cell r="H81">
            <v>1500</v>
          </cell>
          <cell r="M81">
            <v>1500</v>
          </cell>
        </row>
        <row r="84">
          <cell r="H84">
            <v>500</v>
          </cell>
          <cell r="M84">
            <v>500</v>
          </cell>
        </row>
        <row r="85">
          <cell r="H85">
            <v>200</v>
          </cell>
          <cell r="M85">
            <v>200</v>
          </cell>
        </row>
        <row r="88">
          <cell r="H88">
            <v>3000</v>
          </cell>
          <cell r="M88">
            <v>3000</v>
          </cell>
        </row>
        <row r="89">
          <cell r="H89">
            <v>200</v>
          </cell>
          <cell r="M89">
            <v>200</v>
          </cell>
        </row>
        <row r="90">
          <cell r="H90">
            <v>129.541</v>
          </cell>
          <cell r="M90">
            <v>129.541</v>
          </cell>
        </row>
        <row r="91">
          <cell r="H91">
            <v>6345</v>
          </cell>
          <cell r="M91">
            <v>6345</v>
          </cell>
        </row>
        <row r="93">
          <cell r="M93">
            <v>1129.296388</v>
          </cell>
        </row>
        <row r="95">
          <cell r="H95">
            <v>2500</v>
          </cell>
        </row>
        <row r="100">
          <cell r="H100">
            <v>1566</v>
          </cell>
          <cell r="M100">
            <v>1566</v>
          </cell>
        </row>
        <row r="101">
          <cell r="H101">
            <v>3000</v>
          </cell>
        </row>
        <row r="103">
          <cell r="H103">
            <v>2000</v>
          </cell>
          <cell r="M103">
            <v>2000</v>
          </cell>
        </row>
        <row r="108">
          <cell r="H108">
            <v>216</v>
          </cell>
          <cell r="M108">
            <v>216</v>
          </cell>
        </row>
        <row r="114">
          <cell r="H114">
            <v>358</v>
          </cell>
          <cell r="M114">
            <v>358</v>
          </cell>
        </row>
        <row r="116">
          <cell r="H116">
            <v>500</v>
          </cell>
        </row>
        <row r="118">
          <cell r="H118">
            <v>1200</v>
          </cell>
        </row>
        <row r="121">
          <cell r="H121">
            <v>1000</v>
          </cell>
          <cell r="M121">
            <v>1000</v>
          </cell>
        </row>
        <row r="123">
          <cell r="H123">
            <v>1000</v>
          </cell>
          <cell r="M123">
            <v>1000</v>
          </cell>
        </row>
        <row r="125">
          <cell r="H125">
            <v>1000</v>
          </cell>
          <cell r="M125">
            <v>1000</v>
          </cell>
        </row>
        <row r="130">
          <cell r="H130">
            <v>869</v>
          </cell>
          <cell r="M130">
            <v>868.50900000000001</v>
          </cell>
        </row>
        <row r="132">
          <cell r="H132">
            <v>254</v>
          </cell>
          <cell r="M132">
            <v>253.709</v>
          </cell>
        </row>
        <row r="133">
          <cell r="H133">
            <v>1000</v>
          </cell>
          <cell r="M133">
            <v>1000</v>
          </cell>
        </row>
        <row r="134">
          <cell r="H134">
            <v>2000</v>
          </cell>
          <cell r="M134">
            <v>2000</v>
          </cell>
        </row>
        <row r="137">
          <cell r="H137">
            <v>500</v>
          </cell>
          <cell r="M137">
            <v>500</v>
          </cell>
        </row>
        <row r="138">
          <cell r="H138">
            <v>66</v>
          </cell>
        </row>
        <row r="139">
          <cell r="H139">
            <v>67</v>
          </cell>
        </row>
        <row r="140">
          <cell r="H140">
            <v>67</v>
          </cell>
        </row>
        <row r="141">
          <cell r="H141">
            <v>300</v>
          </cell>
        </row>
        <row r="147">
          <cell r="M147">
            <v>141.81800000000001</v>
          </cell>
        </row>
        <row r="150">
          <cell r="H150">
            <v>5606</v>
          </cell>
        </row>
        <row r="152">
          <cell r="H152">
            <v>1100</v>
          </cell>
        </row>
        <row r="157">
          <cell r="H157">
            <v>170</v>
          </cell>
          <cell r="M157">
            <v>170</v>
          </cell>
        </row>
        <row r="159">
          <cell r="H159">
            <v>170</v>
          </cell>
        </row>
        <row r="163">
          <cell r="H163">
            <v>160</v>
          </cell>
          <cell r="M163">
            <v>160</v>
          </cell>
        </row>
        <row r="172">
          <cell r="H172">
            <v>2523</v>
          </cell>
          <cell r="M172">
            <v>2523</v>
          </cell>
        </row>
        <row r="188">
          <cell r="H188">
            <v>808</v>
          </cell>
          <cell r="M188">
            <v>807.72199999999998</v>
          </cell>
        </row>
        <row r="190">
          <cell r="H190">
            <v>1096</v>
          </cell>
        </row>
        <row r="193">
          <cell r="H193">
            <v>11</v>
          </cell>
          <cell r="M193">
            <v>11</v>
          </cell>
        </row>
        <row r="195">
          <cell r="H195">
            <v>2137</v>
          </cell>
          <cell r="M195">
            <v>2137</v>
          </cell>
        </row>
        <row r="196">
          <cell r="H196">
            <v>3222</v>
          </cell>
        </row>
        <row r="198">
          <cell r="H198">
            <v>370</v>
          </cell>
        </row>
        <row r="201">
          <cell r="H201">
            <v>3200</v>
          </cell>
        </row>
        <row r="202">
          <cell r="H202">
            <v>4000</v>
          </cell>
        </row>
        <row r="203">
          <cell r="H203">
            <v>6000</v>
          </cell>
        </row>
        <row r="204">
          <cell r="H204">
            <v>2000</v>
          </cell>
        </row>
        <row r="205">
          <cell r="H205">
            <v>400</v>
          </cell>
          <cell r="M205">
            <v>400</v>
          </cell>
        </row>
        <row r="208">
          <cell r="H208">
            <v>540</v>
          </cell>
        </row>
        <row r="210">
          <cell r="H210">
            <v>379</v>
          </cell>
        </row>
        <row r="211">
          <cell r="H211">
            <v>302</v>
          </cell>
        </row>
        <row r="212">
          <cell r="H212">
            <v>1000</v>
          </cell>
        </row>
        <row r="218">
          <cell r="H218">
            <v>4638</v>
          </cell>
        </row>
        <row r="220">
          <cell r="H220">
            <v>3152</v>
          </cell>
          <cell r="M220">
            <v>3152</v>
          </cell>
        </row>
        <row r="222">
          <cell r="H222">
            <v>2000</v>
          </cell>
        </row>
        <row r="223">
          <cell r="M223">
            <v>3248</v>
          </cell>
        </row>
        <row r="226">
          <cell r="H226">
            <v>3652</v>
          </cell>
        </row>
        <row r="231">
          <cell r="H231">
            <v>1250</v>
          </cell>
        </row>
        <row r="233">
          <cell r="H233">
            <v>160</v>
          </cell>
        </row>
        <row r="234">
          <cell r="H234">
            <v>27</v>
          </cell>
          <cell r="M234">
            <v>27</v>
          </cell>
        </row>
        <row r="235">
          <cell r="H235">
            <v>2061</v>
          </cell>
        </row>
        <row r="236">
          <cell r="H236">
            <v>600</v>
          </cell>
          <cell r="M236">
            <v>600</v>
          </cell>
        </row>
        <row r="238">
          <cell r="H238">
            <v>1000</v>
          </cell>
          <cell r="M238">
            <v>1000</v>
          </cell>
        </row>
        <row r="239">
          <cell r="H239">
            <v>1708</v>
          </cell>
          <cell r="M239">
            <v>1708</v>
          </cell>
        </row>
        <row r="240">
          <cell r="H240">
            <v>1000</v>
          </cell>
        </row>
        <row r="241">
          <cell r="H241">
            <v>629</v>
          </cell>
        </row>
        <row r="242">
          <cell r="H242">
            <v>1300</v>
          </cell>
        </row>
        <row r="243">
          <cell r="H243">
            <v>1000</v>
          </cell>
        </row>
        <row r="244">
          <cell r="H244">
            <v>150</v>
          </cell>
        </row>
        <row r="245">
          <cell r="H245">
            <v>150</v>
          </cell>
        </row>
        <row r="246">
          <cell r="H246">
            <v>500</v>
          </cell>
          <cell r="M246">
            <v>500</v>
          </cell>
        </row>
        <row r="247">
          <cell r="H247">
            <v>500</v>
          </cell>
        </row>
        <row r="249">
          <cell r="H249">
            <v>500</v>
          </cell>
        </row>
        <row r="267">
          <cell r="H267">
            <v>4623</v>
          </cell>
        </row>
        <row r="274">
          <cell r="H274">
            <v>2276.2210289999998</v>
          </cell>
        </row>
        <row r="275">
          <cell r="H275">
            <v>4548.0108099999998</v>
          </cell>
          <cell r="M275">
            <v>4548.0108099999998</v>
          </cell>
        </row>
        <row r="277">
          <cell r="H277">
            <v>3453.4550239999999</v>
          </cell>
        </row>
        <row r="280">
          <cell r="H280">
            <v>8399.6690729999991</v>
          </cell>
        </row>
        <row r="286">
          <cell r="H286">
            <v>5000</v>
          </cell>
          <cell r="M286">
            <v>5000</v>
          </cell>
        </row>
        <row r="289">
          <cell r="H289">
            <v>13443</v>
          </cell>
          <cell r="M289">
            <v>13443</v>
          </cell>
        </row>
        <row r="293">
          <cell r="H293">
            <v>13000</v>
          </cell>
          <cell r="M293">
            <v>13000</v>
          </cell>
        </row>
        <row r="294">
          <cell r="H294">
            <v>6000</v>
          </cell>
          <cell r="M294">
            <v>6000</v>
          </cell>
        </row>
        <row r="295">
          <cell r="H295">
            <v>1000</v>
          </cell>
          <cell r="M295">
            <v>1000</v>
          </cell>
        </row>
        <row r="297">
          <cell r="H297">
            <v>20000</v>
          </cell>
        </row>
        <row r="300">
          <cell r="H300">
            <v>10000</v>
          </cell>
          <cell r="M300">
            <v>10000</v>
          </cell>
        </row>
        <row r="302">
          <cell r="H302">
            <v>250000</v>
          </cell>
        </row>
        <row r="304">
          <cell r="H304">
            <v>58913</v>
          </cell>
          <cell r="M304">
            <v>30559.279375999999</v>
          </cell>
        </row>
        <row r="308">
          <cell r="H308">
            <v>15735.6</v>
          </cell>
          <cell r="M308">
            <v>15735.6</v>
          </cell>
        </row>
        <row r="309">
          <cell r="H309">
            <v>25429.919999999998</v>
          </cell>
          <cell r="M309">
            <v>25429.919999999998</v>
          </cell>
        </row>
        <row r="310">
          <cell r="H310">
            <v>26701</v>
          </cell>
        </row>
        <row r="312">
          <cell r="H312">
            <v>1700</v>
          </cell>
        </row>
        <row r="313">
          <cell r="H313">
            <v>1800</v>
          </cell>
        </row>
        <row r="314">
          <cell r="H314">
            <v>1000</v>
          </cell>
        </row>
        <row r="315">
          <cell r="H315">
            <v>1000</v>
          </cell>
        </row>
        <row r="316">
          <cell r="H316">
            <v>1100</v>
          </cell>
        </row>
        <row r="317">
          <cell r="H317">
            <v>1300</v>
          </cell>
        </row>
        <row r="318">
          <cell r="H318">
            <v>1400</v>
          </cell>
        </row>
        <row r="319">
          <cell r="H319">
            <v>730</v>
          </cell>
        </row>
        <row r="320">
          <cell r="H320">
            <v>1000</v>
          </cell>
        </row>
        <row r="321">
          <cell r="H321">
            <v>1600</v>
          </cell>
        </row>
        <row r="322">
          <cell r="H322">
            <v>1370</v>
          </cell>
        </row>
        <row r="323">
          <cell r="H323">
            <v>1000</v>
          </cell>
        </row>
        <row r="325">
          <cell r="H325">
            <v>1184.4000000000001</v>
          </cell>
          <cell r="M325">
            <v>1184.4000000000001</v>
          </cell>
        </row>
        <row r="326">
          <cell r="M326">
            <v>1914.08</v>
          </cell>
        </row>
        <row r="328">
          <cell r="H328">
            <v>213</v>
          </cell>
        </row>
        <row r="329">
          <cell r="H329">
            <v>225</v>
          </cell>
        </row>
        <row r="330">
          <cell r="H330">
            <v>125</v>
          </cell>
        </row>
        <row r="331">
          <cell r="H331">
            <v>125</v>
          </cell>
        </row>
        <row r="332">
          <cell r="H332">
            <v>138</v>
          </cell>
        </row>
        <row r="333">
          <cell r="H333">
            <v>163</v>
          </cell>
        </row>
        <row r="334">
          <cell r="H334">
            <v>175</v>
          </cell>
        </row>
        <row r="335">
          <cell r="H335">
            <v>91</v>
          </cell>
        </row>
        <row r="336">
          <cell r="H336">
            <v>125</v>
          </cell>
        </row>
        <row r="337">
          <cell r="H337">
            <v>200</v>
          </cell>
        </row>
        <row r="338">
          <cell r="H338">
            <v>170</v>
          </cell>
        </row>
        <row r="339">
          <cell r="H339">
            <v>125</v>
          </cell>
        </row>
        <row r="344">
          <cell r="H344">
            <v>111</v>
          </cell>
        </row>
        <row r="345">
          <cell r="H345">
            <v>39</v>
          </cell>
        </row>
        <row r="346">
          <cell r="H346">
            <v>16</v>
          </cell>
        </row>
        <row r="347">
          <cell r="H347">
            <v>11</v>
          </cell>
        </row>
        <row r="348">
          <cell r="H348">
            <v>10</v>
          </cell>
        </row>
        <row r="350">
          <cell r="H350">
            <v>19717</v>
          </cell>
          <cell r="M350">
            <v>134.16300000000001</v>
          </cell>
        </row>
        <row r="351">
          <cell r="H351">
            <v>25000</v>
          </cell>
          <cell r="M351">
            <v>3205.9989999999998</v>
          </cell>
        </row>
        <row r="355">
          <cell r="H355">
            <v>32.948</v>
          </cell>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0 - TT342"/>
      <sheetName val="61-TT342"/>
      <sheetName val="62-TT342"/>
      <sheetName val="63-TT342"/>
      <sheetName val="64-TT342"/>
      <sheetName val="65-TT342"/>
      <sheetName val="66-TT342"/>
      <sheetName val="67-TT342"/>
      <sheetName val="68-TT342"/>
      <sheetName val="69-TT342"/>
      <sheetName val="70-TT342"/>
      <sheetName val="TMCN 2018-2019 CT"/>
      <sheetName val="TMCN 2018-2019 CH"/>
      <sheetName val="QT vay trả nợ 2018"/>
      <sheetName val="Phụ lục"/>
      <sheetName val="B48"/>
      <sheetName val="B49"/>
      <sheetName val="B50"/>
      <sheetName val="B51"/>
      <sheetName val="B52"/>
      <sheetName val="B53"/>
      <sheetName val="B53a"/>
      <sheetName val="B54"/>
      <sheetName val="B55"/>
      <sheetName val="B56"/>
      <sheetName val="B57"/>
      <sheetName val="B58"/>
      <sheetName val="B59"/>
      <sheetName val="B60"/>
      <sheetName val="B61 Các CTMT QG"/>
      <sheetName val="B62-VĐT"/>
      <sheetName val="B64"/>
      <sheetName val="TM KDNS Tinh 2018"/>
      <sheetName val="Tổng hợp chuyển nguồn 2018-2019"/>
      <sheetName val="TMCN 2018-2019 CT (NĐ31)"/>
      <sheetName val="TMCN 2018-2019 CH (NĐ31)"/>
    </sheetNames>
    <sheetDataSet>
      <sheetData sheetId="0" refreshError="1">
        <row r="21">
          <cell r="H21">
            <v>10611.003499999999</v>
          </cell>
        </row>
        <row r="22">
          <cell r="H22">
            <v>26088.996500000001</v>
          </cell>
        </row>
      </sheetData>
      <sheetData sheetId="1" refreshError="1">
        <row r="16">
          <cell r="G16">
            <v>23020.551563000001</v>
          </cell>
        </row>
        <row r="17">
          <cell r="G17">
            <v>0</v>
          </cell>
        </row>
        <row r="22">
          <cell r="G22">
            <v>203.29670099999998</v>
          </cell>
        </row>
        <row r="23">
          <cell r="G23">
            <v>0</v>
          </cell>
        </row>
        <row r="28">
          <cell r="G28">
            <v>0</v>
          </cell>
        </row>
        <row r="30">
          <cell r="G30">
            <v>0</v>
          </cell>
        </row>
        <row r="34">
          <cell r="G34">
            <v>390.65984900000007</v>
          </cell>
        </row>
        <row r="35">
          <cell r="G35">
            <v>29208.111659000002</v>
          </cell>
        </row>
        <row r="37">
          <cell r="D37">
            <v>36000</v>
          </cell>
          <cell r="E37">
            <v>38072.798883999996</v>
          </cell>
          <cell r="G37">
            <v>38072.798883999996</v>
          </cell>
        </row>
        <row r="38">
          <cell r="D38">
            <v>2130</v>
          </cell>
          <cell r="E38">
            <v>3547.0626900000002</v>
          </cell>
          <cell r="G38">
            <v>3547.0626900000002</v>
          </cell>
        </row>
        <row r="39">
          <cell r="D39">
            <v>630</v>
          </cell>
          <cell r="E39">
            <v>752.84879000000001</v>
          </cell>
          <cell r="G39">
            <v>752.84879000000001</v>
          </cell>
        </row>
        <row r="40">
          <cell r="D40">
            <v>25000</v>
          </cell>
          <cell r="E40">
            <v>25125.196780000002</v>
          </cell>
          <cell r="G40">
            <v>25101.257375000001</v>
          </cell>
        </row>
        <row r="41">
          <cell r="D41">
            <v>73000</v>
          </cell>
          <cell r="E41">
            <v>79871.411441999997</v>
          </cell>
          <cell r="G41">
            <v>29712.175874</v>
          </cell>
        </row>
        <row r="42">
          <cell r="D42">
            <v>76790</v>
          </cell>
          <cell r="E42">
            <v>67586.559559000001</v>
          </cell>
          <cell r="G42">
            <v>64357.507186000003</v>
          </cell>
        </row>
        <row r="46">
          <cell r="D46">
            <v>55000</v>
          </cell>
          <cell r="E46">
            <v>85645.589475000001</v>
          </cell>
          <cell r="G46">
            <v>85645.589475000001</v>
          </cell>
        </row>
        <row r="47">
          <cell r="D47">
            <v>10000</v>
          </cell>
          <cell r="E47">
            <v>11784.498407999999</v>
          </cell>
          <cell r="G47">
            <v>11784.498407999999</v>
          </cell>
        </row>
        <row r="50">
          <cell r="E50">
            <v>67.216200000000001</v>
          </cell>
          <cell r="G50">
            <v>67.216200000000001</v>
          </cell>
        </row>
        <row r="51">
          <cell r="D51">
            <v>45600</v>
          </cell>
          <cell r="E51">
            <v>42061.883797999995</v>
          </cell>
          <cell r="G51">
            <v>27562.799206</v>
          </cell>
        </row>
        <row r="52">
          <cell r="D52">
            <v>11000</v>
          </cell>
          <cell r="E52">
            <v>8691.9510769999997</v>
          </cell>
          <cell r="G52">
            <v>6687.7378269999999</v>
          </cell>
        </row>
        <row r="53">
          <cell r="B53" t="str">
            <v>Thu từ quỹ đất công ích và thu hoa lợi công sản khác</v>
          </cell>
          <cell r="D53">
            <v>1000</v>
          </cell>
          <cell r="E53">
            <v>30</v>
          </cell>
          <cell r="G53">
            <v>30</v>
          </cell>
        </row>
        <row r="54">
          <cell r="D54">
            <v>15000</v>
          </cell>
          <cell r="E54">
            <v>15001.235337</v>
          </cell>
          <cell r="G54">
            <v>15001.235337</v>
          </cell>
        </row>
        <row r="55">
          <cell r="G55">
            <v>1912.39552</v>
          </cell>
        </row>
        <row r="56">
          <cell r="E56">
            <v>1336.08</v>
          </cell>
          <cell r="G56">
            <v>1336.08</v>
          </cell>
        </row>
        <row r="57">
          <cell r="E57">
            <v>576.31551999999999</v>
          </cell>
          <cell r="G57">
            <v>576.31551999999999</v>
          </cell>
        </row>
        <row r="59">
          <cell r="D59">
            <v>5000</v>
          </cell>
          <cell r="E59">
            <v>1746</v>
          </cell>
        </row>
        <row r="61">
          <cell r="E61">
            <v>0</v>
          </cell>
        </row>
        <row r="62">
          <cell r="E62">
            <v>7103.235772</v>
          </cell>
          <cell r="G62">
            <v>7103.235772</v>
          </cell>
        </row>
        <row r="68">
          <cell r="E68">
            <v>10611.003499999999</v>
          </cell>
        </row>
        <row r="71">
          <cell r="D71">
            <v>2916788</v>
          </cell>
          <cell r="H71">
            <v>2916788</v>
          </cell>
        </row>
        <row r="72">
          <cell r="D72">
            <v>1712039</v>
          </cell>
          <cell r="H72">
            <v>1727382.655366</v>
          </cell>
        </row>
        <row r="75">
          <cell r="G75">
            <v>38753.298008999998</v>
          </cell>
        </row>
        <row r="76">
          <cell r="E76">
            <v>703165.28634700004</v>
          </cell>
        </row>
        <row r="77">
          <cell r="E77">
            <v>218832.949972</v>
          </cell>
        </row>
      </sheetData>
      <sheetData sheetId="2" refreshError="1">
        <row r="29">
          <cell r="F29">
            <v>19563.435185999999</v>
          </cell>
        </row>
        <row r="30">
          <cell r="F30">
            <v>19129.580999999998</v>
          </cell>
        </row>
        <row r="31">
          <cell r="F31">
            <v>254494.99600899999</v>
          </cell>
        </row>
        <row r="32">
          <cell r="F32">
            <v>9069.1242129999991</v>
          </cell>
        </row>
        <row r="33">
          <cell r="F33">
            <v>432529.49366699997</v>
          </cell>
        </row>
        <row r="34">
          <cell r="F34">
            <v>35934.127627000002</v>
          </cell>
        </row>
        <row r="35">
          <cell r="F35">
            <v>16697.310000000001</v>
          </cell>
        </row>
        <row r="36">
          <cell r="F36">
            <v>6182.7840919999999</v>
          </cell>
        </row>
        <row r="37">
          <cell r="F37">
            <v>17985.745865000001</v>
          </cell>
        </row>
        <row r="38">
          <cell r="F38">
            <v>166049.21817800001</v>
          </cell>
        </row>
        <row r="39">
          <cell r="F39">
            <v>286404.23726900003</v>
          </cell>
        </row>
        <row r="40">
          <cell r="F40">
            <v>30536.941030999998</v>
          </cell>
        </row>
        <row r="41">
          <cell r="F41">
            <v>3190.4179899999999</v>
          </cell>
        </row>
        <row r="42">
          <cell r="F42">
            <v>0</v>
          </cell>
        </row>
        <row r="46">
          <cell r="F46">
            <v>2289806.653624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9">
          <cell r="C9">
            <v>2111242</v>
          </cell>
          <cell r="D9">
            <v>2289806.653624</v>
          </cell>
        </row>
        <row r="43">
          <cell r="C43">
            <v>548</v>
          </cell>
          <cell r="D43">
            <v>376.38898399999999</v>
          </cell>
        </row>
        <row r="44">
          <cell r="C44">
            <v>1000</v>
          </cell>
          <cell r="D44">
            <v>1000</v>
          </cell>
        </row>
        <row r="45">
          <cell r="C45">
            <v>35202</v>
          </cell>
          <cell r="D45">
            <v>0</v>
          </cell>
        </row>
        <row r="47">
          <cell r="D47">
            <v>59351.751263999999</v>
          </cell>
        </row>
        <row r="48">
          <cell r="D48">
            <v>897180.74841900019</v>
          </cell>
        </row>
      </sheetData>
      <sheetData sheetId="20" refreshError="1">
        <row r="10">
          <cell r="C10">
            <v>493390</v>
          </cell>
          <cell r="F10">
            <v>475971.23489599995</v>
          </cell>
        </row>
        <row r="20">
          <cell r="C20">
            <v>2906780</v>
          </cell>
          <cell r="F20">
            <v>2951832.3929520007</v>
          </cell>
        </row>
        <row r="24">
          <cell r="C24">
            <v>548</v>
          </cell>
          <cell r="F24">
            <v>376.38898399999999</v>
          </cell>
        </row>
        <row r="25">
          <cell r="C25">
            <v>1000</v>
          </cell>
          <cell r="F25">
            <v>1000</v>
          </cell>
        </row>
        <row r="26">
          <cell r="C26">
            <v>77180</v>
          </cell>
          <cell r="F26">
            <v>0</v>
          </cell>
        </row>
        <row r="27">
          <cell r="C27">
            <v>0</v>
          </cell>
          <cell r="F27">
            <v>0</v>
          </cell>
        </row>
        <row r="28">
          <cell r="C28">
            <v>0</v>
          </cell>
          <cell r="F28">
            <v>97850.808604999998</v>
          </cell>
        </row>
        <row r="30">
          <cell r="C30">
            <v>338109</v>
          </cell>
          <cell r="F30">
            <v>395396.299039</v>
          </cell>
        </row>
        <row r="37">
          <cell r="C37">
            <v>1373930</v>
          </cell>
          <cell r="F37">
            <v>938068.46580999997</v>
          </cell>
        </row>
        <row r="104">
          <cell r="C104">
            <v>0</v>
          </cell>
          <cell r="F104">
            <v>1030660.9809470002</v>
          </cell>
        </row>
      </sheetData>
      <sheetData sheetId="21" refreshError="1">
        <row r="49">
          <cell r="D49">
            <v>548</v>
          </cell>
          <cell r="G49">
            <v>376.38898399999999</v>
          </cell>
        </row>
        <row r="50">
          <cell r="D50">
            <v>1000</v>
          </cell>
          <cell r="G50">
            <v>1000</v>
          </cell>
        </row>
        <row r="51">
          <cell r="D51">
            <v>35202</v>
          </cell>
          <cell r="G51">
            <v>0</v>
          </cell>
        </row>
        <row r="52">
          <cell r="D52">
            <v>0</v>
          </cell>
          <cell r="G52">
            <v>0</v>
          </cell>
        </row>
        <row r="53">
          <cell r="D53">
            <v>0</v>
          </cell>
          <cell r="G53">
            <v>59351.751263999999</v>
          </cell>
        </row>
        <row r="61">
          <cell r="D61">
            <v>0</v>
          </cell>
          <cell r="G61">
            <v>897180.74841900019</v>
          </cell>
        </row>
      </sheetData>
      <sheetData sheetId="22" refreshError="1"/>
      <sheetData sheetId="23" refreshError="1">
        <row r="8">
          <cell r="E8">
            <v>66915</v>
          </cell>
          <cell r="F8">
            <v>8113</v>
          </cell>
          <cell r="G8">
            <v>23530</v>
          </cell>
          <cell r="H8">
            <v>0</v>
          </cell>
          <cell r="I8">
            <v>18470</v>
          </cell>
          <cell r="J8">
            <v>4239</v>
          </cell>
          <cell r="K8">
            <v>228</v>
          </cell>
          <cell r="L8">
            <v>0</v>
          </cell>
          <cell r="M8">
            <v>6426</v>
          </cell>
          <cell r="N8">
            <v>735237.96008799993</v>
          </cell>
          <cell r="Q8">
            <v>36024.49</v>
          </cell>
          <cell r="R8">
            <v>5381</v>
          </cell>
          <cell r="S8">
            <v>0</v>
          </cell>
        </row>
        <row r="9">
          <cell r="C9">
            <v>138892</v>
          </cell>
          <cell r="D9">
            <v>130218</v>
          </cell>
        </row>
        <row r="10">
          <cell r="C10">
            <v>575272</v>
          </cell>
          <cell r="D10">
            <v>337325</v>
          </cell>
        </row>
        <row r="11">
          <cell r="C11">
            <v>4325</v>
          </cell>
          <cell r="D11">
            <v>2353</v>
          </cell>
        </row>
        <row r="12">
          <cell r="C12">
            <v>6758</v>
          </cell>
          <cell r="D12">
            <v>6758</v>
          </cell>
        </row>
        <row r="13">
          <cell r="C13">
            <v>3142</v>
          </cell>
          <cell r="D13">
            <v>2846</v>
          </cell>
        </row>
        <row r="14">
          <cell r="C14">
            <v>3000</v>
          </cell>
          <cell r="D14">
            <v>5588</v>
          </cell>
        </row>
        <row r="15">
          <cell r="C15">
            <v>621</v>
          </cell>
          <cell r="D15">
            <v>620</v>
          </cell>
        </row>
        <row r="16">
          <cell r="C16">
            <v>220</v>
          </cell>
          <cell r="D16">
            <v>219</v>
          </cell>
        </row>
        <row r="17">
          <cell r="D17">
            <v>140</v>
          </cell>
        </row>
        <row r="18">
          <cell r="C18">
            <v>33151</v>
          </cell>
          <cell r="D18">
            <v>44815</v>
          </cell>
        </row>
        <row r="19">
          <cell r="C19">
            <v>13339</v>
          </cell>
          <cell r="D19">
            <v>12929</v>
          </cell>
        </row>
        <row r="20">
          <cell r="C20">
            <v>99154</v>
          </cell>
          <cell r="D20">
            <v>106978</v>
          </cell>
        </row>
        <row r="21">
          <cell r="C21">
            <v>25944</v>
          </cell>
          <cell r="D21">
            <v>22596</v>
          </cell>
        </row>
        <row r="22">
          <cell r="C22">
            <v>217</v>
          </cell>
          <cell r="D22">
            <v>217</v>
          </cell>
        </row>
        <row r="23">
          <cell r="C23">
            <v>2417</v>
          </cell>
          <cell r="D23">
            <v>1989</v>
          </cell>
        </row>
        <row r="24">
          <cell r="C24">
            <v>10673</v>
          </cell>
          <cell r="D24">
            <v>10671</v>
          </cell>
        </row>
        <row r="25">
          <cell r="C25">
            <v>6313</v>
          </cell>
          <cell r="D25">
            <v>6069</v>
          </cell>
        </row>
        <row r="26">
          <cell r="C26">
            <v>15</v>
          </cell>
          <cell r="D26">
            <v>15</v>
          </cell>
        </row>
        <row r="27">
          <cell r="C27">
            <v>7265</v>
          </cell>
          <cell r="D27">
            <v>7264</v>
          </cell>
        </row>
        <row r="28">
          <cell r="C28">
            <v>4700</v>
          </cell>
          <cell r="D28">
            <v>6158</v>
          </cell>
        </row>
        <row r="29">
          <cell r="C29">
            <v>2887</v>
          </cell>
          <cell r="D29">
            <v>2886</v>
          </cell>
        </row>
        <row r="30">
          <cell r="C30">
            <v>10000</v>
          </cell>
          <cell r="D30">
            <v>10000</v>
          </cell>
        </row>
        <row r="31">
          <cell r="C31">
            <v>5166</v>
          </cell>
          <cell r="D31">
            <v>5166</v>
          </cell>
        </row>
        <row r="32">
          <cell r="C32">
            <v>3276</v>
          </cell>
          <cell r="D32">
            <v>2374</v>
          </cell>
        </row>
        <row r="33">
          <cell r="C33">
            <v>810</v>
          </cell>
          <cell r="D33">
            <v>810</v>
          </cell>
        </row>
        <row r="34">
          <cell r="C34">
            <v>9448</v>
          </cell>
          <cell r="D34">
            <v>8569</v>
          </cell>
        </row>
        <row r="35">
          <cell r="C35">
            <v>171</v>
          </cell>
          <cell r="D35">
            <v>163</v>
          </cell>
        </row>
        <row r="36">
          <cell r="C36">
            <v>4000</v>
          </cell>
          <cell r="D36">
            <v>4160</v>
          </cell>
        </row>
        <row r="37">
          <cell r="C37">
            <v>69</v>
          </cell>
          <cell r="D37">
            <v>155</v>
          </cell>
        </row>
        <row r="38">
          <cell r="C38">
            <v>26009</v>
          </cell>
          <cell r="D38">
            <v>9308</v>
          </cell>
        </row>
        <row r="39">
          <cell r="C39">
            <v>36695</v>
          </cell>
          <cell r="D39">
            <v>32355</v>
          </cell>
        </row>
        <row r="40">
          <cell r="C40">
            <v>24990</v>
          </cell>
          <cell r="D40">
            <v>24653</v>
          </cell>
        </row>
        <row r="41">
          <cell r="C41">
            <v>8515</v>
          </cell>
          <cell r="D41">
            <v>9325.5100879999991</v>
          </cell>
        </row>
        <row r="42">
          <cell r="C42">
            <v>25950</v>
          </cell>
          <cell r="D42">
            <v>30472</v>
          </cell>
        </row>
        <row r="43">
          <cell r="C43">
            <v>19039</v>
          </cell>
          <cell r="D43">
            <v>17512</v>
          </cell>
        </row>
        <row r="44">
          <cell r="C44">
            <v>4694</v>
          </cell>
          <cell r="D44">
            <v>7762</v>
          </cell>
        </row>
        <row r="45">
          <cell r="C45">
            <v>11893</v>
          </cell>
          <cell r="D45">
            <v>12747</v>
          </cell>
        </row>
        <row r="46">
          <cell r="C46">
            <v>17462</v>
          </cell>
          <cell r="D46">
            <v>18390.940000000002</v>
          </cell>
        </row>
        <row r="47">
          <cell r="C47">
            <v>0</v>
          </cell>
          <cell r="D47">
            <v>1988</v>
          </cell>
        </row>
        <row r="48">
          <cell r="C48">
            <v>19693</v>
          </cell>
          <cell r="D48">
            <v>0</v>
          </cell>
        </row>
        <row r="49">
          <cell r="C49">
            <v>2917</v>
          </cell>
          <cell r="D49">
            <v>0</v>
          </cell>
        </row>
        <row r="50">
          <cell r="C50">
            <v>5500</v>
          </cell>
          <cell r="D50">
            <v>0</v>
          </cell>
        </row>
        <row r="51">
          <cell r="C51">
            <v>8000</v>
          </cell>
          <cell r="D51">
            <v>0</v>
          </cell>
        </row>
      </sheetData>
      <sheetData sheetId="24" refreshError="1">
        <row r="11">
          <cell r="D11">
            <v>8540</v>
          </cell>
        </row>
        <row r="12">
          <cell r="D12">
            <v>15766.941889999998</v>
          </cell>
        </row>
        <row r="13">
          <cell r="D13">
            <v>15535.195200000002</v>
          </cell>
        </row>
        <row r="14">
          <cell r="D14">
            <v>5374.2939550000001</v>
          </cell>
        </row>
        <row r="15">
          <cell r="D15">
            <v>15282.17</v>
          </cell>
        </row>
        <row r="16">
          <cell r="D16">
            <v>10421.741867999999</v>
          </cell>
        </row>
        <row r="17">
          <cell r="D17">
            <v>38205.985000000001</v>
          </cell>
        </row>
        <row r="18">
          <cell r="D18">
            <v>6829.7420000000002</v>
          </cell>
        </row>
        <row r="19">
          <cell r="D19">
            <v>7565.3574439999993</v>
          </cell>
        </row>
        <row r="20">
          <cell r="D20">
            <v>31690.001430999997</v>
          </cell>
        </row>
        <row r="21">
          <cell r="D21">
            <v>25623.02</v>
          </cell>
        </row>
        <row r="22">
          <cell r="D22">
            <v>12966.800123000001</v>
          </cell>
        </row>
        <row r="23">
          <cell r="D23">
            <v>93615.589015000005</v>
          </cell>
        </row>
        <row r="24">
          <cell r="D24">
            <v>39327.424572999997</v>
          </cell>
        </row>
        <row r="25">
          <cell r="D25">
            <v>213116.87</v>
          </cell>
        </row>
        <row r="26">
          <cell r="D26">
            <v>200202.80995</v>
          </cell>
        </row>
        <row r="27">
          <cell r="D27">
            <v>10108.431579</v>
          </cell>
        </row>
        <row r="28">
          <cell r="D28">
            <v>5136.1059750000004</v>
          </cell>
        </row>
        <row r="29">
          <cell r="D29">
            <v>9042.6665950000006</v>
          </cell>
        </row>
        <row r="30">
          <cell r="D30">
            <v>16697.310000000001</v>
          </cell>
        </row>
        <row r="31">
          <cell r="D31">
            <v>16321.4139</v>
          </cell>
        </row>
        <row r="32">
          <cell r="D32">
            <v>11768.468000000001</v>
          </cell>
        </row>
        <row r="33">
          <cell r="D33">
            <v>10096.897000000001</v>
          </cell>
        </row>
        <row r="34">
          <cell r="D34">
            <v>3758.4696159999994</v>
          </cell>
        </row>
        <row r="35">
          <cell r="D35">
            <v>1784.5809999999999</v>
          </cell>
        </row>
        <row r="36">
          <cell r="D36">
            <v>5.39</v>
          </cell>
        </row>
        <row r="37">
          <cell r="D37">
            <v>21440.400000000001</v>
          </cell>
        </row>
        <row r="38">
          <cell r="D38">
            <v>5674.8260330000003</v>
          </cell>
        </row>
        <row r="39">
          <cell r="D39">
            <v>17024</v>
          </cell>
        </row>
        <row r="40">
          <cell r="D40">
            <v>36069.351000000002</v>
          </cell>
        </row>
        <row r="42">
          <cell r="D42">
            <v>59900.517</v>
          </cell>
        </row>
        <row r="43">
          <cell r="D43">
            <v>11256.782359999999</v>
          </cell>
        </row>
        <row r="45">
          <cell r="D45">
            <v>3864.8249999999998</v>
          </cell>
        </row>
        <row r="46">
          <cell r="D46">
            <v>4400.1987499999996</v>
          </cell>
        </row>
        <row r="47">
          <cell r="D47">
            <v>4813.3458899999996</v>
          </cell>
        </row>
        <row r="48">
          <cell r="D48">
            <v>5055.7240000000002</v>
          </cell>
        </row>
        <row r="49">
          <cell r="D49">
            <v>2249.451</v>
          </cell>
        </row>
        <row r="51">
          <cell r="D51">
            <v>1154.2170000000001</v>
          </cell>
        </row>
        <row r="52">
          <cell r="D52">
            <v>782.78399999999999</v>
          </cell>
        </row>
        <row r="53">
          <cell r="D53">
            <v>4084.2370000000001</v>
          </cell>
        </row>
        <row r="54">
          <cell r="D54">
            <v>1873.231</v>
          </cell>
        </row>
        <row r="55">
          <cell r="D55">
            <v>971.60599999999999</v>
          </cell>
        </row>
        <row r="56">
          <cell r="D56">
            <v>383.29899999999998</v>
          </cell>
        </row>
        <row r="57">
          <cell r="D57">
            <v>437.57600000000002</v>
          </cell>
        </row>
        <row r="58">
          <cell r="D58">
            <v>394.82799999999997</v>
          </cell>
        </row>
        <row r="59">
          <cell r="D59">
            <v>450.66399999999999</v>
          </cell>
        </row>
        <row r="60">
          <cell r="D60">
            <v>432.14800000000002</v>
          </cell>
        </row>
        <row r="61">
          <cell r="D61">
            <v>385.29500000000002</v>
          </cell>
        </row>
        <row r="62">
          <cell r="D62">
            <v>50</v>
          </cell>
        </row>
        <row r="63">
          <cell r="D63">
            <v>80</v>
          </cell>
        </row>
        <row r="64">
          <cell r="D64">
            <v>385.02974499999999</v>
          </cell>
        </row>
        <row r="66">
          <cell r="D66">
            <v>17777</v>
          </cell>
        </row>
        <row r="67">
          <cell r="D67">
            <v>25277.661199999995</v>
          </cell>
        </row>
        <row r="69">
          <cell r="D69">
            <v>3000</v>
          </cell>
        </row>
        <row r="70">
          <cell r="D70">
            <v>223123.308578</v>
          </cell>
        </row>
        <row r="71">
          <cell r="D71">
            <v>12061.435627000001</v>
          </cell>
        </row>
        <row r="72">
          <cell r="D72">
            <v>2048.4776710000001</v>
          </cell>
        </row>
        <row r="73">
          <cell r="D73">
            <v>28.458120000000001</v>
          </cell>
        </row>
        <row r="74">
          <cell r="D74">
            <v>50.439</v>
          </cell>
        </row>
        <row r="75">
          <cell r="D75">
            <v>65.040000000000006</v>
          </cell>
        </row>
        <row r="76">
          <cell r="D76">
            <v>200.2251</v>
          </cell>
        </row>
        <row r="77">
          <cell r="D77">
            <v>30.2</v>
          </cell>
        </row>
        <row r="78">
          <cell r="D78">
            <v>46.3</v>
          </cell>
        </row>
        <row r="79">
          <cell r="D79">
            <v>19</v>
          </cell>
        </row>
        <row r="80">
          <cell r="D80">
            <v>590</v>
          </cell>
        </row>
        <row r="82">
          <cell r="D82">
            <v>310</v>
          </cell>
        </row>
        <row r="83">
          <cell r="D83">
            <v>11</v>
          </cell>
        </row>
        <row r="84">
          <cell r="D84">
            <v>10</v>
          </cell>
        </row>
        <row r="85">
          <cell r="D85">
            <v>1360</v>
          </cell>
        </row>
        <row r="86">
          <cell r="D86">
            <v>62</v>
          </cell>
        </row>
        <row r="87">
          <cell r="D87">
            <v>64</v>
          </cell>
        </row>
        <row r="88">
          <cell r="D88">
            <v>295.39999999999998</v>
          </cell>
        </row>
        <row r="89">
          <cell r="D89">
            <v>277.5</v>
          </cell>
        </row>
        <row r="90">
          <cell r="D90">
            <v>279.8</v>
          </cell>
        </row>
        <row r="91">
          <cell r="D91">
            <v>98.5</v>
          </cell>
        </row>
        <row r="92">
          <cell r="D92">
            <v>98.364000000000004</v>
          </cell>
        </row>
        <row r="93">
          <cell r="D93">
            <v>2184.4179899999999</v>
          </cell>
        </row>
      </sheetData>
      <sheetData sheetId="25" refreshError="1"/>
      <sheetData sheetId="26" refreshError="1">
        <row r="11">
          <cell r="D11">
            <v>132644</v>
          </cell>
          <cell r="I11">
            <v>186487.36978299997</v>
          </cell>
          <cell r="J11">
            <v>66347.012137999991</v>
          </cell>
        </row>
      </sheetData>
      <sheetData sheetId="27" refreshError="1"/>
      <sheetData sheetId="28" refreshError="1"/>
      <sheetData sheetId="29" refreshError="1">
        <row r="13">
          <cell r="M13">
            <v>13129</v>
          </cell>
          <cell r="T13">
            <v>6142</v>
          </cell>
        </row>
        <row r="14">
          <cell r="F14">
            <v>3737</v>
          </cell>
        </row>
        <row r="15">
          <cell r="F15">
            <v>1252</v>
          </cell>
        </row>
        <row r="16">
          <cell r="F16">
            <v>3292</v>
          </cell>
        </row>
        <row r="17">
          <cell r="F17">
            <v>1515</v>
          </cell>
        </row>
        <row r="18">
          <cell r="F18">
            <v>200</v>
          </cell>
        </row>
        <row r="19">
          <cell r="F19">
            <v>1038</v>
          </cell>
        </row>
        <row r="20">
          <cell r="F20">
            <v>5245</v>
          </cell>
        </row>
        <row r="21">
          <cell r="F21">
            <v>2868</v>
          </cell>
        </row>
        <row r="22">
          <cell r="F22">
            <v>80</v>
          </cell>
        </row>
        <row r="23">
          <cell r="F23">
            <v>0</v>
          </cell>
        </row>
        <row r="24">
          <cell r="F24">
            <v>0</v>
          </cell>
        </row>
        <row r="25">
          <cell r="F25">
            <v>0</v>
          </cell>
        </row>
        <row r="26">
          <cell r="F26">
            <v>44</v>
          </cell>
        </row>
        <row r="27">
          <cell r="J27">
            <v>117966.567389</v>
          </cell>
          <cell r="M27">
            <v>35942.298121</v>
          </cell>
          <cell r="Q27">
            <v>171987.16527500001</v>
          </cell>
          <cell r="T27">
            <v>50229.268253999995</v>
          </cell>
        </row>
      </sheetData>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28"/>
      <sheetName val="29.1"/>
      <sheetName val="29.2"/>
      <sheetName val="30"/>
      <sheetName val="31"/>
      <sheetName val="32"/>
      <sheetName val="33"/>
      <sheetName val="34"/>
      <sheetName val="35"/>
      <sheetName val="48"/>
      <sheetName val="49"/>
      <sheetName val="53"/>
      <sheetName val="55"/>
      <sheetName val="56"/>
      <sheetName val="57"/>
      <sheetName val="63-TT342"/>
      <sheetName val="48-NĐ31"/>
      <sheetName val="49-NĐ31"/>
      <sheetName val="50-NĐ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ow r="8">
          <cell r="D8">
            <v>5121542</v>
          </cell>
        </row>
      </sheetData>
      <sheetData sheetId="57"/>
      <sheetData sheetId="5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5"/>
      <sheetName val="Sheet3"/>
      <sheetName val="B62.QTVĐT"/>
      <sheetName val="trunghan"/>
      <sheetName val="03"/>
      <sheetName val="QT2016"/>
      <sheetName val="bieu cu"/>
      <sheetName val="82"/>
      <sheetName val="Sheet4"/>
      <sheetName val="Sheet2"/>
      <sheetName val="5.30"/>
      <sheetName val="bieu 5.30"/>
    </sheetNames>
    <sheetDataSet>
      <sheetData sheetId="0" refreshError="1"/>
      <sheetData sheetId="1" refreshError="1"/>
      <sheetData sheetId="2" refreshError="1"/>
      <sheetData sheetId="3" refreshError="1"/>
      <sheetData sheetId="4" refreshError="1">
        <row r="59">
          <cell r="Q59">
            <v>93991541416</v>
          </cell>
        </row>
        <row r="200">
          <cell r="X200">
            <v>395527000</v>
          </cell>
        </row>
        <row r="412">
          <cell r="X412">
            <v>11000000</v>
          </cell>
        </row>
        <row r="418">
          <cell r="X418">
            <v>137473705</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NKH17"/>
      <sheetName val="Doichieu KP toan tinh 17"/>
      <sheetName val="56"/>
      <sheetName val="57"/>
      <sheetName val="61"/>
      <sheetName val="64"/>
      <sheetName val="5.30"/>
      <sheetName val="tmcn 1"/>
      <sheetName val="chi tiết nguồn hủy"/>
      <sheetName val="53"/>
    </sheetNames>
    <sheetDataSet>
      <sheetData sheetId="0"/>
      <sheetData sheetId="1">
        <row r="42">
          <cell r="AC42">
            <v>0</v>
          </cell>
        </row>
        <row r="43">
          <cell r="AC43">
            <v>0</v>
          </cell>
        </row>
      </sheetData>
      <sheetData sheetId="2"/>
      <sheetData sheetId="3"/>
      <sheetData sheetId="4"/>
      <sheetData sheetId="5"/>
      <sheetData sheetId="6"/>
      <sheetData sheetId="7"/>
      <sheetData sheetId="8"/>
      <sheetData sheetId="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58 - NĐ 31"/>
      <sheetName val="B60 - NĐ 31"/>
      <sheetName val="B61 - NĐ 31"/>
      <sheetName val="Tổng hợp chi chuyển nguồn"/>
      <sheetName val="Các CT, nhiệm vụ"/>
      <sheetName val="Chi đầu tư phát triển"/>
      <sheetName val="Chuyển nguồn NS huyện"/>
      <sheetName val="TM Kết dư "/>
      <sheetName val="B68 TM dự phòng"/>
      <sheetName val="B66 Tăng giảm QLHC"/>
      <sheetName val="B67 Khắc phục hậu quả thiên tai"/>
      <sheetName val="B69 BC thanh tra, kiểm toán"/>
    </sheetNames>
    <sheetDataSet>
      <sheetData sheetId="0"/>
      <sheetData sheetId="1"/>
      <sheetData sheetId="2">
        <row r="18">
          <cell r="D18">
            <v>23434.476999999999</v>
          </cell>
        </row>
      </sheetData>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ểu 12"/>
      <sheetName val="Biểu 13"/>
      <sheetName val="Biểu 14"/>
      <sheetName val="Biểu 19"/>
      <sheetName val="Biểu 20"/>
      <sheetName val="Biểu 21"/>
      <sheetName val="Biểu 22"/>
      <sheetName val="Biểu 23"/>
      <sheetName val="Biểu 25"/>
      <sheetName val="Biểu 26"/>
      <sheetName val="Biểu 27"/>
      <sheetName val="Biểu 24"/>
      <sheetName val="Biểu 31"/>
      <sheetName val="Danh mục báo cáo"/>
      <sheetName val="Biểu 16"/>
      <sheetName val="Biểu 14."/>
      <sheetName val="Biểu 15."/>
      <sheetName val="Biểu 16."/>
      <sheetName val="Biểu 17."/>
      <sheetName val="Biểu 18. "/>
      <sheetName val="Biểu 19."/>
      <sheetName val="Biểu 20."/>
      <sheetName val="Biểu 01."/>
      <sheetName val="Biểu 02."/>
      <sheetName val="Biểu 03."/>
      <sheetName val="Biểu 04."/>
      <sheetName val="Biểu 05."/>
      <sheetName val="Biểu 06."/>
      <sheetName val="Biểu 27."/>
      <sheetName val="Biểu27.1"/>
      <sheetName val="Biểu 28."/>
      <sheetName val="Phụ lục số 02"/>
      <sheetName val="Biểu 17"/>
      <sheetName val="Biểu 30"/>
      <sheetName val="Biểu 32"/>
      <sheetName val="Biểu 33"/>
      <sheetName val="Biểu 34"/>
      <sheetName val="Biểu 35"/>
      <sheetName val="Biểu 39"/>
      <sheetName val="Biểu 41"/>
      <sheetName val="Biểu 42"/>
      <sheetName val="Biểu 28"/>
      <sheetName val="Biểu 29"/>
      <sheetName val="Biểu 38"/>
      <sheetName val="Biểu 40"/>
      <sheetName val="Biểu 43"/>
      <sheetName val="Biểu 44"/>
      <sheetName val="Biểu 45"/>
      <sheetName val="Biểu 47"/>
      <sheetName val="Biểu 01 NTM"/>
      <sheetName val="Biểu 02 NTM"/>
      <sheetName val="Biểu 03 NTM"/>
      <sheetName val="VĐT"/>
      <sheetName val="TLg"/>
      <sheetName val="Biểu 0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7">
          <cell r="D7">
            <v>4859</v>
          </cell>
          <cell r="J7">
            <v>11587</v>
          </cell>
          <cell r="P7">
            <v>10122</v>
          </cell>
          <cell r="V7">
            <v>14355</v>
          </cell>
          <cell r="AB7">
            <v>14489</v>
          </cell>
          <cell r="AH7">
            <v>14078</v>
          </cell>
          <cell r="AN7">
            <v>13465</v>
          </cell>
          <cell r="AT7">
            <v>17407</v>
          </cell>
        </row>
      </sheetData>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uyển nguồn2017"/>
      <sheetName val="kết dư2017"/>
      <sheetName val="biểu 24 qđ 2088"/>
      <sheetName val="TH"/>
      <sheetName val="SỐ BS trong năm"/>
      <sheetName val="ctmtqg"/>
      <sheetName val="Sheet2"/>
      <sheetName val="Sheet1"/>
    </sheetNames>
    <sheetDataSet>
      <sheetData sheetId="0"/>
      <sheetData sheetId="1"/>
      <sheetData sheetId="2"/>
      <sheetData sheetId="3"/>
      <sheetData sheetId="4">
        <row r="182">
          <cell r="H182">
            <v>2168</v>
          </cell>
          <cell r="I182">
            <v>30766</v>
          </cell>
          <cell r="J182">
            <v>27800</v>
          </cell>
          <cell r="K182">
            <v>39465.360000000001</v>
          </cell>
          <cell r="M182">
            <v>37544</v>
          </cell>
          <cell r="N182">
            <v>71362</v>
          </cell>
          <cell r="O182">
            <v>59757.461000000003</v>
          </cell>
        </row>
        <row r="191">
          <cell r="H191">
            <v>3723</v>
          </cell>
          <cell r="I191">
            <v>7807</v>
          </cell>
          <cell r="J191">
            <v>6245</v>
          </cell>
          <cell r="K191">
            <v>5707</v>
          </cell>
          <cell r="L191">
            <v>5593</v>
          </cell>
          <cell r="M191">
            <v>3868</v>
          </cell>
          <cell r="N191">
            <v>4980</v>
          </cell>
          <cell r="O191">
            <v>915</v>
          </cell>
        </row>
        <row r="192">
          <cell r="H192">
            <v>9988.6559459999844</v>
          </cell>
          <cell r="I192">
            <v>30342.800328000012</v>
          </cell>
          <cell r="J192">
            <v>14790.718809999991</v>
          </cell>
          <cell r="K192">
            <v>26629.122034999993</v>
          </cell>
          <cell r="L192">
            <v>46512.598967000027</v>
          </cell>
          <cell r="M192">
            <v>32924.814269999973</v>
          </cell>
          <cell r="N192">
            <v>26894.311319000029</v>
          </cell>
          <cell r="O192">
            <v>42842.711348999997</v>
          </cell>
        </row>
        <row r="193">
          <cell r="L193">
            <v>57468</v>
          </cell>
        </row>
      </sheetData>
      <sheetData sheetId="5"/>
      <sheetData sheetId="6"/>
      <sheetData sheetId="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02"/>
      <sheetName val="03"/>
      <sheetName val="04"/>
      <sheetName val="05"/>
      <sheetName val="06"/>
      <sheetName val="07"/>
      <sheetName val="08"/>
      <sheetName val="09"/>
      <sheetName val="10"/>
      <sheetName val="11.1"/>
      <sheetName val="11.2"/>
      <sheetName val="12.1"/>
      <sheetName val="12.2"/>
      <sheetName val="12.3"/>
      <sheetName val="12.4"/>
      <sheetName val="12.5"/>
      <sheetName val="13.1"/>
      <sheetName val="13.2"/>
      <sheetName val="13.3"/>
      <sheetName val="13.4"/>
      <sheetName val="13.5"/>
      <sheetName val="13.6"/>
      <sheetName val="13.7"/>
      <sheetName val="13.8"/>
      <sheetName val="13.9"/>
      <sheetName val="13.10"/>
      <sheetName val="13.11"/>
      <sheetName val="13.12"/>
      <sheetName val="14"/>
      <sheetName val="15.1"/>
      <sheetName val="15.2"/>
      <sheetName val="16"/>
      <sheetName val="17"/>
      <sheetName val="18"/>
      <sheetName val="23"/>
      <sheetName val="24"/>
      <sheetName val="25"/>
      <sheetName val="26"/>
      <sheetName val="27"/>
      <sheetName val="28"/>
      <sheetName val="29.1"/>
      <sheetName val="29.2"/>
      <sheetName val="30"/>
      <sheetName val="31"/>
      <sheetName val="32"/>
      <sheetName val="33"/>
      <sheetName val="34"/>
      <sheetName val="35"/>
      <sheetName val="48"/>
      <sheetName val="49"/>
      <sheetName val="53"/>
      <sheetName val="55"/>
      <sheetName val="56"/>
      <sheetName val="57"/>
      <sheetName val="60 - TT342"/>
      <sheetName val="61-TT342"/>
      <sheetName val="63-TT342"/>
      <sheetName val="48-NĐ31"/>
      <sheetName val="49-NĐ31"/>
      <sheetName val="50-NĐ31"/>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ow r="35">
          <cell r="D35">
            <v>9050</v>
          </cell>
        </row>
      </sheetData>
      <sheetData sheetId="60"/>
      <sheetData sheetId="6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workbookViewId="0">
      <selection activeCell="L18" sqref="L18"/>
    </sheetView>
  </sheetViews>
  <sheetFormatPr defaultRowHeight="15.75"/>
  <cols>
    <col min="1" max="1" width="4.28515625" style="8" customWidth="1"/>
    <col min="2" max="2" width="17.140625" style="9" customWidth="1"/>
    <col min="3" max="3" width="63.28515625" style="8" customWidth="1"/>
    <col min="4" max="4" width="47.7109375" style="8" hidden="1" customWidth="1"/>
    <col min="5" max="5" width="6.85546875" style="1190" customWidth="1"/>
    <col min="6" max="16384" width="9.140625" style="8"/>
  </cols>
  <sheetData>
    <row r="1" spans="1:5" ht="38.25" customHeight="1">
      <c r="A1" s="1643" t="s">
        <v>2119</v>
      </c>
      <c r="B1" s="1643"/>
      <c r="C1" s="1643"/>
      <c r="D1" s="1643"/>
      <c r="E1" s="1643"/>
    </row>
    <row r="2" spans="1:5" ht="26.25" customHeight="1">
      <c r="A2" s="1184" t="s">
        <v>316</v>
      </c>
      <c r="B2" s="1186" t="s">
        <v>2095</v>
      </c>
      <c r="C2" s="1186" t="s">
        <v>2097</v>
      </c>
      <c r="D2" s="7"/>
      <c r="E2" s="1184" t="s">
        <v>2096</v>
      </c>
    </row>
    <row r="3" spans="1:5" ht="32.1" customHeight="1">
      <c r="A3" s="1189">
        <v>1</v>
      </c>
      <c r="B3" s="1187" t="s">
        <v>140</v>
      </c>
      <c r="C3" s="1191" t="s">
        <v>2098</v>
      </c>
      <c r="D3" s="3" t="s">
        <v>217</v>
      </c>
      <c r="E3" s="1189">
        <v>1</v>
      </c>
    </row>
    <row r="4" spans="1:5" ht="32.1" customHeight="1">
      <c r="A4" s="1189">
        <v>2</v>
      </c>
      <c r="B4" s="1187" t="s">
        <v>141</v>
      </c>
      <c r="C4" s="1191" t="s">
        <v>2099</v>
      </c>
      <c r="D4" s="3" t="s">
        <v>217</v>
      </c>
      <c r="E4" s="1189">
        <v>2</v>
      </c>
    </row>
    <row r="5" spans="1:5" ht="34.5" customHeight="1">
      <c r="A5" s="1189">
        <v>3</v>
      </c>
      <c r="B5" s="1187" t="s">
        <v>142</v>
      </c>
      <c r="C5" s="1191" t="s">
        <v>2100</v>
      </c>
      <c r="D5" s="3" t="s">
        <v>218</v>
      </c>
      <c r="E5" s="1189">
        <v>4</v>
      </c>
    </row>
    <row r="6" spans="1:5" ht="32.1" customHeight="1">
      <c r="A6" s="1189">
        <v>4</v>
      </c>
      <c r="B6" s="1187" t="s">
        <v>143</v>
      </c>
      <c r="C6" s="1191" t="s">
        <v>2101</v>
      </c>
      <c r="D6" s="3" t="s">
        <v>219</v>
      </c>
      <c r="E6" s="1189">
        <v>6</v>
      </c>
    </row>
    <row r="7" spans="1:5" ht="32.1" customHeight="1">
      <c r="A7" s="1189">
        <v>5</v>
      </c>
      <c r="B7" s="1187" t="s">
        <v>144</v>
      </c>
      <c r="C7" s="1191" t="s">
        <v>2102</v>
      </c>
      <c r="D7" s="3" t="s">
        <v>219</v>
      </c>
      <c r="E7" s="1189">
        <v>10</v>
      </c>
    </row>
    <row r="8" spans="1:5" ht="36.75" customHeight="1">
      <c r="A8" s="1189">
        <v>6</v>
      </c>
      <c r="B8" s="1187" t="s">
        <v>145</v>
      </c>
      <c r="C8" s="1191" t="s">
        <v>2103</v>
      </c>
      <c r="D8" s="3" t="s">
        <v>219</v>
      </c>
      <c r="E8" s="1189">
        <v>12</v>
      </c>
    </row>
    <row r="9" spans="1:5" ht="35.25" customHeight="1">
      <c r="A9" s="1189">
        <v>7</v>
      </c>
      <c r="B9" s="1187" t="s">
        <v>2114</v>
      </c>
      <c r="C9" s="1191" t="s">
        <v>2103</v>
      </c>
      <c r="D9" s="3"/>
      <c r="E9" s="1189">
        <v>18</v>
      </c>
    </row>
    <row r="10" spans="1:5" ht="35.25" customHeight="1">
      <c r="A10" s="1189">
        <v>8</v>
      </c>
      <c r="B10" s="1187" t="s">
        <v>146</v>
      </c>
      <c r="C10" s="1191" t="s">
        <v>2105</v>
      </c>
      <c r="D10" s="3" t="s">
        <v>216</v>
      </c>
      <c r="E10" s="1189">
        <v>22</v>
      </c>
    </row>
    <row r="11" spans="1:5" ht="36.75" customHeight="1">
      <c r="A11" s="1189">
        <v>9</v>
      </c>
      <c r="B11" s="1187" t="s">
        <v>174</v>
      </c>
      <c r="C11" s="1191" t="s">
        <v>2104</v>
      </c>
      <c r="D11" s="3" t="s">
        <v>220</v>
      </c>
      <c r="E11" s="1189">
        <v>25</v>
      </c>
    </row>
    <row r="12" spans="1:5" ht="34.5" customHeight="1">
      <c r="A12" s="1189">
        <v>10</v>
      </c>
      <c r="B12" s="1187" t="s">
        <v>176</v>
      </c>
      <c r="C12" s="1191" t="s">
        <v>2106</v>
      </c>
      <c r="D12" s="3" t="s">
        <v>216</v>
      </c>
      <c r="E12" s="1189">
        <v>28</v>
      </c>
    </row>
    <row r="13" spans="1:5" ht="36" customHeight="1">
      <c r="A13" s="1189">
        <v>11</v>
      </c>
      <c r="B13" s="1187" t="s">
        <v>178</v>
      </c>
      <c r="C13" s="1191" t="s">
        <v>2107</v>
      </c>
      <c r="D13" s="3" t="s">
        <v>216</v>
      </c>
      <c r="E13" s="1189">
        <v>32</v>
      </c>
    </row>
    <row r="14" spans="1:5" ht="32.1" customHeight="1">
      <c r="A14" s="1189">
        <v>12</v>
      </c>
      <c r="B14" s="1187" t="s">
        <v>185</v>
      </c>
      <c r="C14" s="1191" t="s">
        <v>2108</v>
      </c>
      <c r="D14" s="3" t="s">
        <v>219</v>
      </c>
      <c r="E14" s="1189">
        <v>38</v>
      </c>
    </row>
    <row r="15" spans="1:5" ht="37.5" customHeight="1">
      <c r="A15" s="1189">
        <v>13</v>
      </c>
      <c r="B15" s="1187" t="s">
        <v>188</v>
      </c>
      <c r="C15" s="1191" t="s">
        <v>2109</v>
      </c>
      <c r="D15" s="3" t="s">
        <v>219</v>
      </c>
      <c r="E15" s="1189">
        <v>39</v>
      </c>
    </row>
    <row r="16" spans="1:5" ht="32.1" customHeight="1">
      <c r="A16" s="1189">
        <v>14</v>
      </c>
      <c r="B16" s="1187" t="s">
        <v>204</v>
      </c>
      <c r="C16" s="1191" t="s">
        <v>2110</v>
      </c>
      <c r="D16" s="3" t="s">
        <v>217</v>
      </c>
      <c r="E16" s="1189">
        <v>40</v>
      </c>
    </row>
    <row r="17" spans="1:5" ht="32.1" customHeight="1">
      <c r="A17" s="1189">
        <v>15</v>
      </c>
      <c r="B17" s="1187" t="s">
        <v>208</v>
      </c>
      <c r="C17" s="1191" t="s">
        <v>2111</v>
      </c>
      <c r="D17" s="3" t="s">
        <v>219</v>
      </c>
      <c r="E17" s="1189">
        <v>41</v>
      </c>
    </row>
    <row r="18" spans="1:5" ht="36" customHeight="1">
      <c r="A18" s="1189">
        <v>16</v>
      </c>
      <c r="B18" s="1187" t="s">
        <v>209</v>
      </c>
      <c r="C18" s="1191" t="s">
        <v>2112</v>
      </c>
      <c r="D18" s="3" t="s">
        <v>215</v>
      </c>
      <c r="E18" s="1189">
        <v>42</v>
      </c>
    </row>
    <row r="19" spans="1:5" ht="32.1" customHeight="1">
      <c r="A19" s="1189">
        <v>17</v>
      </c>
      <c r="B19" s="1187" t="s">
        <v>212</v>
      </c>
      <c r="C19" s="1191" t="s">
        <v>2113</v>
      </c>
      <c r="D19" s="3" t="s">
        <v>214</v>
      </c>
      <c r="E19" s="1189">
        <v>58</v>
      </c>
    </row>
    <row r="20" spans="1:5" ht="32.1" customHeight="1">
      <c r="A20" s="1189">
        <v>18</v>
      </c>
      <c r="B20" s="1188" t="s">
        <v>2047</v>
      </c>
      <c r="C20" s="1192" t="s">
        <v>2115</v>
      </c>
      <c r="D20" s="1185"/>
      <c r="E20" s="1189">
        <v>59</v>
      </c>
    </row>
    <row r="21" spans="1:5" ht="32.1" customHeight="1">
      <c r="A21" s="1189">
        <v>19</v>
      </c>
      <c r="B21" s="1188" t="s">
        <v>1982</v>
      </c>
      <c r="C21" s="1192" t="s">
        <v>2116</v>
      </c>
      <c r="D21" s="1185"/>
      <c r="E21" s="1189">
        <v>64</v>
      </c>
    </row>
    <row r="22" spans="1:5" ht="32.1" customHeight="1">
      <c r="A22" s="1189">
        <v>20</v>
      </c>
      <c r="B22" s="1188" t="s">
        <v>1973</v>
      </c>
      <c r="C22" s="1192" t="s">
        <v>2117</v>
      </c>
      <c r="D22" s="1185"/>
      <c r="E22" s="1189">
        <v>65</v>
      </c>
    </row>
    <row r="23" spans="1:5" ht="32.1" customHeight="1">
      <c r="A23" s="1189">
        <v>21</v>
      </c>
      <c r="B23" s="1188" t="s">
        <v>1974</v>
      </c>
      <c r="C23" s="1192" t="s">
        <v>2118</v>
      </c>
      <c r="D23" s="1185"/>
      <c r="E23" s="1189">
        <v>74</v>
      </c>
    </row>
    <row r="24" spans="1:5">
      <c r="C24" s="1182"/>
      <c r="D24" s="1182"/>
      <c r="E24" s="1183"/>
    </row>
    <row r="25" spans="1:5">
      <c r="C25" s="1182"/>
      <c r="D25" s="1182"/>
      <c r="E25" s="1183"/>
    </row>
    <row r="26" spans="1:5">
      <c r="C26" s="1182"/>
      <c r="D26" s="1182"/>
      <c r="E26" s="1183"/>
    </row>
    <row r="27" spans="1:5">
      <c r="C27" s="1182"/>
      <c r="D27" s="1182"/>
      <c r="E27" s="1183"/>
    </row>
    <row r="28" spans="1:5">
      <c r="C28" s="1182"/>
      <c r="D28" s="1182"/>
      <c r="E28" s="1183"/>
    </row>
    <row r="29" spans="1:5">
      <c r="C29" s="1182"/>
      <c r="D29" s="1182"/>
      <c r="E29" s="1183"/>
    </row>
    <row r="30" spans="1:5">
      <c r="C30" s="1182"/>
      <c r="D30" s="1182"/>
      <c r="E30" s="1183"/>
    </row>
    <row r="31" spans="1:5">
      <c r="C31" s="1182"/>
      <c r="D31" s="1182"/>
      <c r="E31" s="1183"/>
    </row>
    <row r="32" spans="1:5">
      <c r="C32" s="1182"/>
      <c r="D32" s="1182"/>
      <c r="E32" s="1183"/>
    </row>
    <row r="33" spans="3:5">
      <c r="C33" s="1182"/>
      <c r="D33" s="1182"/>
      <c r="E33" s="1183"/>
    </row>
    <row r="34" spans="3:5">
      <c r="C34" s="1182"/>
      <c r="D34" s="1182"/>
      <c r="E34" s="1183"/>
    </row>
    <row r="35" spans="3:5">
      <c r="C35" s="1182"/>
      <c r="D35" s="1182"/>
      <c r="E35" s="1183"/>
    </row>
    <row r="36" spans="3:5">
      <c r="C36" s="1182"/>
      <c r="D36" s="1182"/>
      <c r="E36" s="1183"/>
    </row>
  </sheetData>
  <mergeCells count="1">
    <mergeCell ref="A1:E1"/>
  </mergeCells>
  <hyperlinks>
    <hyperlink ref="B3" location="'48'!A1" display="Biểu mẫu số 48"/>
    <hyperlink ref="B4" location="'49'!A1" display="Biểu mẫu số 49"/>
    <hyperlink ref="B5" location="'50'!A1" display="Biểu mẫu số 50"/>
    <hyperlink ref="B6" location="'51'!A1" display="Biểu mẫu số 51"/>
    <hyperlink ref="B7" location="'52'!A1" display="Biểu mẫu số 52"/>
    <hyperlink ref="B8" location="'53'!A1" display="Biểu mẫu số 53"/>
    <hyperlink ref="B10" location="'54'!A1" display="Biểu mẫu số 54"/>
    <hyperlink ref="B11" location="'55'!A1" display="Biểu mẫu số 55"/>
    <hyperlink ref="B12" location="'56'!A1" display="Biểu mẫu số 56"/>
    <hyperlink ref="B13" location="'57'!A1" display="Biểu mẫu số 57"/>
    <hyperlink ref="B14" location="'58'!A1" display="Biểu mẫu số 58"/>
    <hyperlink ref="B15" location="'59'!A1" display="Biểu mẫu số 59"/>
    <hyperlink ref="B16" location="'60'!A1" display="Biểu mẫu số 60"/>
    <hyperlink ref="B17" location="'61'!A1" display="Biểu mẫu số 61"/>
    <hyperlink ref="B18" location="'62'!A1" display="Biểu mẫu số 62"/>
    <hyperlink ref="B19" location="'64'!A1" display="Biểu mẫu số 64"/>
  </hyperlinks>
  <pageMargins left="0.7" right="0.34" top="0.5600000000000000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50"/>
  <sheetViews>
    <sheetView workbookViewId="0">
      <selection activeCell="I8" sqref="I8"/>
    </sheetView>
  </sheetViews>
  <sheetFormatPr defaultRowHeight="15"/>
  <cols>
    <col min="1" max="1" width="4.85546875" style="524" customWidth="1"/>
    <col min="2" max="2" width="47.5703125" style="524" customWidth="1"/>
    <col min="3" max="3" width="12" style="524" customWidth="1"/>
    <col min="4" max="4" width="11" style="524" customWidth="1"/>
    <col min="5" max="5" width="11.140625" style="524" customWidth="1"/>
    <col min="6" max="6" width="8.85546875" style="524" customWidth="1"/>
    <col min="7" max="7" width="9.140625" style="524" customWidth="1"/>
    <col min="8" max="8" width="11.7109375" style="524" customWidth="1"/>
    <col min="9" max="9" width="10" style="524" customWidth="1"/>
    <col min="10" max="256" width="9.140625" style="524"/>
    <col min="257" max="257" width="4.85546875" style="524" customWidth="1"/>
    <col min="258" max="258" width="47.5703125" style="524" customWidth="1"/>
    <col min="259" max="259" width="12" style="524" customWidth="1"/>
    <col min="260" max="260" width="11" style="524" customWidth="1"/>
    <col min="261" max="261" width="11.140625" style="524" customWidth="1"/>
    <col min="262" max="262" width="8.85546875" style="524" customWidth="1"/>
    <col min="263" max="263" width="9.140625" style="524" customWidth="1"/>
    <col min="264" max="264" width="11.7109375" style="524" customWidth="1"/>
    <col min="265" max="265" width="10" style="524" customWidth="1"/>
    <col min="266" max="512" width="9.140625" style="524"/>
    <col min="513" max="513" width="4.85546875" style="524" customWidth="1"/>
    <col min="514" max="514" width="47.5703125" style="524" customWidth="1"/>
    <col min="515" max="515" width="12" style="524" customWidth="1"/>
    <col min="516" max="516" width="11" style="524" customWidth="1"/>
    <col min="517" max="517" width="11.140625" style="524" customWidth="1"/>
    <col min="518" max="518" width="8.85546875" style="524" customWidth="1"/>
    <col min="519" max="519" width="9.140625" style="524" customWidth="1"/>
    <col min="520" max="520" width="11.7109375" style="524" customWidth="1"/>
    <col min="521" max="521" width="10" style="524" customWidth="1"/>
    <col min="522" max="768" width="9.140625" style="524"/>
    <col min="769" max="769" width="4.85546875" style="524" customWidth="1"/>
    <col min="770" max="770" width="47.5703125" style="524" customWidth="1"/>
    <col min="771" max="771" width="12" style="524" customWidth="1"/>
    <col min="772" max="772" width="11" style="524" customWidth="1"/>
    <col min="773" max="773" width="11.140625" style="524" customWidth="1"/>
    <col min="774" max="774" width="8.85546875" style="524" customWidth="1"/>
    <col min="775" max="775" width="9.140625" style="524" customWidth="1"/>
    <col min="776" max="776" width="11.7109375" style="524" customWidth="1"/>
    <col min="777" max="777" width="10" style="524" customWidth="1"/>
    <col min="778" max="1024" width="9.140625" style="524"/>
    <col min="1025" max="1025" width="4.85546875" style="524" customWidth="1"/>
    <col min="1026" max="1026" width="47.5703125" style="524" customWidth="1"/>
    <col min="1027" max="1027" width="12" style="524" customWidth="1"/>
    <col min="1028" max="1028" width="11" style="524" customWidth="1"/>
    <col min="1029" max="1029" width="11.140625" style="524" customWidth="1"/>
    <col min="1030" max="1030" width="8.85546875" style="524" customWidth="1"/>
    <col min="1031" max="1031" width="9.140625" style="524" customWidth="1"/>
    <col min="1032" max="1032" width="11.7109375" style="524" customWidth="1"/>
    <col min="1033" max="1033" width="10" style="524" customWidth="1"/>
    <col min="1034" max="1280" width="9.140625" style="524"/>
    <col min="1281" max="1281" width="4.85546875" style="524" customWidth="1"/>
    <col min="1282" max="1282" width="47.5703125" style="524" customWidth="1"/>
    <col min="1283" max="1283" width="12" style="524" customWidth="1"/>
    <col min="1284" max="1284" width="11" style="524" customWidth="1"/>
    <col min="1285" max="1285" width="11.140625" style="524" customWidth="1"/>
    <col min="1286" max="1286" width="8.85546875" style="524" customWidth="1"/>
    <col min="1287" max="1287" width="9.140625" style="524" customWidth="1"/>
    <col min="1288" max="1288" width="11.7109375" style="524" customWidth="1"/>
    <col min="1289" max="1289" width="10" style="524" customWidth="1"/>
    <col min="1290" max="1536" width="9.140625" style="524"/>
    <col min="1537" max="1537" width="4.85546875" style="524" customWidth="1"/>
    <col min="1538" max="1538" width="47.5703125" style="524" customWidth="1"/>
    <col min="1539" max="1539" width="12" style="524" customWidth="1"/>
    <col min="1540" max="1540" width="11" style="524" customWidth="1"/>
    <col min="1541" max="1541" width="11.140625" style="524" customWidth="1"/>
    <col min="1542" max="1542" width="8.85546875" style="524" customWidth="1"/>
    <col min="1543" max="1543" width="9.140625" style="524" customWidth="1"/>
    <col min="1544" max="1544" width="11.7109375" style="524" customWidth="1"/>
    <col min="1545" max="1545" width="10" style="524" customWidth="1"/>
    <col min="1546" max="1792" width="9.140625" style="524"/>
    <col min="1793" max="1793" width="4.85546875" style="524" customWidth="1"/>
    <col min="1794" max="1794" width="47.5703125" style="524" customWidth="1"/>
    <col min="1795" max="1795" width="12" style="524" customWidth="1"/>
    <col min="1796" max="1796" width="11" style="524" customWidth="1"/>
    <col min="1797" max="1797" width="11.140625" style="524" customWidth="1"/>
    <col min="1798" max="1798" width="8.85546875" style="524" customWidth="1"/>
    <col min="1799" max="1799" width="9.140625" style="524" customWidth="1"/>
    <col min="1800" max="1800" width="11.7109375" style="524" customWidth="1"/>
    <col min="1801" max="1801" width="10" style="524" customWidth="1"/>
    <col min="1802" max="2048" width="9.140625" style="524"/>
    <col min="2049" max="2049" width="4.85546875" style="524" customWidth="1"/>
    <col min="2050" max="2050" width="47.5703125" style="524" customWidth="1"/>
    <col min="2051" max="2051" width="12" style="524" customWidth="1"/>
    <col min="2052" max="2052" width="11" style="524" customWidth="1"/>
    <col min="2053" max="2053" width="11.140625" style="524" customWidth="1"/>
    <col min="2054" max="2054" width="8.85546875" style="524" customWidth="1"/>
    <col min="2055" max="2055" width="9.140625" style="524" customWidth="1"/>
    <col min="2056" max="2056" width="11.7109375" style="524" customWidth="1"/>
    <col min="2057" max="2057" width="10" style="524" customWidth="1"/>
    <col min="2058" max="2304" width="9.140625" style="524"/>
    <col min="2305" max="2305" width="4.85546875" style="524" customWidth="1"/>
    <col min="2306" max="2306" width="47.5703125" style="524" customWidth="1"/>
    <col min="2307" max="2307" width="12" style="524" customWidth="1"/>
    <col min="2308" max="2308" width="11" style="524" customWidth="1"/>
    <col min="2309" max="2309" width="11.140625" style="524" customWidth="1"/>
    <col min="2310" max="2310" width="8.85546875" style="524" customWidth="1"/>
    <col min="2311" max="2311" width="9.140625" style="524" customWidth="1"/>
    <col min="2312" max="2312" width="11.7109375" style="524" customWidth="1"/>
    <col min="2313" max="2313" width="10" style="524" customWidth="1"/>
    <col min="2314" max="2560" width="9.140625" style="524"/>
    <col min="2561" max="2561" width="4.85546875" style="524" customWidth="1"/>
    <col min="2562" max="2562" width="47.5703125" style="524" customWidth="1"/>
    <col min="2563" max="2563" width="12" style="524" customWidth="1"/>
    <col min="2564" max="2564" width="11" style="524" customWidth="1"/>
    <col min="2565" max="2565" width="11.140625" style="524" customWidth="1"/>
    <col min="2566" max="2566" width="8.85546875" style="524" customWidth="1"/>
    <col min="2567" max="2567" width="9.140625" style="524" customWidth="1"/>
    <col min="2568" max="2568" width="11.7109375" style="524" customWidth="1"/>
    <col min="2569" max="2569" width="10" style="524" customWidth="1"/>
    <col min="2570" max="2816" width="9.140625" style="524"/>
    <col min="2817" max="2817" width="4.85546875" style="524" customWidth="1"/>
    <col min="2818" max="2818" width="47.5703125" style="524" customWidth="1"/>
    <col min="2819" max="2819" width="12" style="524" customWidth="1"/>
    <col min="2820" max="2820" width="11" style="524" customWidth="1"/>
    <col min="2821" max="2821" width="11.140625" style="524" customWidth="1"/>
    <col min="2822" max="2822" width="8.85546875" style="524" customWidth="1"/>
    <col min="2823" max="2823" width="9.140625" style="524" customWidth="1"/>
    <col min="2824" max="2824" width="11.7109375" style="524" customWidth="1"/>
    <col min="2825" max="2825" width="10" style="524" customWidth="1"/>
    <col min="2826" max="3072" width="9.140625" style="524"/>
    <col min="3073" max="3073" width="4.85546875" style="524" customWidth="1"/>
    <col min="3074" max="3074" width="47.5703125" style="524" customWidth="1"/>
    <col min="3075" max="3075" width="12" style="524" customWidth="1"/>
    <col min="3076" max="3076" width="11" style="524" customWidth="1"/>
    <col min="3077" max="3077" width="11.140625" style="524" customWidth="1"/>
    <col min="3078" max="3078" width="8.85546875" style="524" customWidth="1"/>
    <col min="3079" max="3079" width="9.140625" style="524" customWidth="1"/>
    <col min="3080" max="3080" width="11.7109375" style="524" customWidth="1"/>
    <col min="3081" max="3081" width="10" style="524" customWidth="1"/>
    <col min="3082" max="3328" width="9.140625" style="524"/>
    <col min="3329" max="3329" width="4.85546875" style="524" customWidth="1"/>
    <col min="3330" max="3330" width="47.5703125" style="524" customWidth="1"/>
    <col min="3331" max="3331" width="12" style="524" customWidth="1"/>
    <col min="3332" max="3332" width="11" style="524" customWidth="1"/>
    <col min="3333" max="3333" width="11.140625" style="524" customWidth="1"/>
    <col min="3334" max="3334" width="8.85546875" style="524" customWidth="1"/>
    <col min="3335" max="3335" width="9.140625" style="524" customWidth="1"/>
    <col min="3336" max="3336" width="11.7109375" style="524" customWidth="1"/>
    <col min="3337" max="3337" width="10" style="524" customWidth="1"/>
    <col min="3338" max="3584" width="9.140625" style="524"/>
    <col min="3585" max="3585" width="4.85546875" style="524" customWidth="1"/>
    <col min="3586" max="3586" width="47.5703125" style="524" customWidth="1"/>
    <col min="3587" max="3587" width="12" style="524" customWidth="1"/>
    <col min="3588" max="3588" width="11" style="524" customWidth="1"/>
    <col min="3589" max="3589" width="11.140625" style="524" customWidth="1"/>
    <col min="3590" max="3590" width="8.85546875" style="524" customWidth="1"/>
    <col min="3591" max="3591" width="9.140625" style="524" customWidth="1"/>
    <col min="3592" max="3592" width="11.7109375" style="524" customWidth="1"/>
    <col min="3593" max="3593" width="10" style="524" customWidth="1"/>
    <col min="3594" max="3840" width="9.140625" style="524"/>
    <col min="3841" max="3841" width="4.85546875" style="524" customWidth="1"/>
    <col min="3842" max="3842" width="47.5703125" style="524" customWidth="1"/>
    <col min="3843" max="3843" width="12" style="524" customWidth="1"/>
    <col min="3844" max="3844" width="11" style="524" customWidth="1"/>
    <col min="3845" max="3845" width="11.140625" style="524" customWidth="1"/>
    <col min="3846" max="3846" width="8.85546875" style="524" customWidth="1"/>
    <col min="3847" max="3847" width="9.140625" style="524" customWidth="1"/>
    <col min="3848" max="3848" width="11.7109375" style="524" customWidth="1"/>
    <col min="3849" max="3849" width="10" style="524" customWidth="1"/>
    <col min="3850" max="4096" width="9.140625" style="524"/>
    <col min="4097" max="4097" width="4.85546875" style="524" customWidth="1"/>
    <col min="4098" max="4098" width="47.5703125" style="524" customWidth="1"/>
    <col min="4099" max="4099" width="12" style="524" customWidth="1"/>
    <col min="4100" max="4100" width="11" style="524" customWidth="1"/>
    <col min="4101" max="4101" width="11.140625" style="524" customWidth="1"/>
    <col min="4102" max="4102" width="8.85546875" style="524" customWidth="1"/>
    <col min="4103" max="4103" width="9.140625" style="524" customWidth="1"/>
    <col min="4104" max="4104" width="11.7109375" style="524" customWidth="1"/>
    <col min="4105" max="4105" width="10" style="524" customWidth="1"/>
    <col min="4106" max="4352" width="9.140625" style="524"/>
    <col min="4353" max="4353" width="4.85546875" style="524" customWidth="1"/>
    <col min="4354" max="4354" width="47.5703125" style="524" customWidth="1"/>
    <col min="4355" max="4355" width="12" style="524" customWidth="1"/>
    <col min="4356" max="4356" width="11" style="524" customWidth="1"/>
    <col min="4357" max="4357" width="11.140625" style="524" customWidth="1"/>
    <col min="4358" max="4358" width="8.85546875" style="524" customWidth="1"/>
    <col min="4359" max="4359" width="9.140625" style="524" customWidth="1"/>
    <col min="4360" max="4360" width="11.7109375" style="524" customWidth="1"/>
    <col min="4361" max="4361" width="10" style="524" customWidth="1"/>
    <col min="4362" max="4608" width="9.140625" style="524"/>
    <col min="4609" max="4609" width="4.85546875" style="524" customWidth="1"/>
    <col min="4610" max="4610" width="47.5703125" style="524" customWidth="1"/>
    <col min="4611" max="4611" width="12" style="524" customWidth="1"/>
    <col min="4612" max="4612" width="11" style="524" customWidth="1"/>
    <col min="4613" max="4613" width="11.140625" style="524" customWidth="1"/>
    <col min="4614" max="4614" width="8.85546875" style="524" customWidth="1"/>
    <col min="4615" max="4615" width="9.140625" style="524" customWidth="1"/>
    <col min="4616" max="4616" width="11.7109375" style="524" customWidth="1"/>
    <col min="4617" max="4617" width="10" style="524" customWidth="1"/>
    <col min="4618" max="4864" width="9.140625" style="524"/>
    <col min="4865" max="4865" width="4.85546875" style="524" customWidth="1"/>
    <col min="4866" max="4866" width="47.5703125" style="524" customWidth="1"/>
    <col min="4867" max="4867" width="12" style="524" customWidth="1"/>
    <col min="4868" max="4868" width="11" style="524" customWidth="1"/>
    <col min="4869" max="4869" width="11.140625" style="524" customWidth="1"/>
    <col min="4870" max="4870" width="8.85546875" style="524" customWidth="1"/>
    <col min="4871" max="4871" width="9.140625" style="524" customWidth="1"/>
    <col min="4872" max="4872" width="11.7109375" style="524" customWidth="1"/>
    <col min="4873" max="4873" width="10" style="524" customWidth="1"/>
    <col min="4874" max="5120" width="9.140625" style="524"/>
    <col min="5121" max="5121" width="4.85546875" style="524" customWidth="1"/>
    <col min="5122" max="5122" width="47.5703125" style="524" customWidth="1"/>
    <col min="5123" max="5123" width="12" style="524" customWidth="1"/>
    <col min="5124" max="5124" width="11" style="524" customWidth="1"/>
    <col min="5125" max="5125" width="11.140625" style="524" customWidth="1"/>
    <col min="5126" max="5126" width="8.85546875" style="524" customWidth="1"/>
    <col min="5127" max="5127" width="9.140625" style="524" customWidth="1"/>
    <col min="5128" max="5128" width="11.7109375" style="524" customWidth="1"/>
    <col min="5129" max="5129" width="10" style="524" customWidth="1"/>
    <col min="5130" max="5376" width="9.140625" style="524"/>
    <col min="5377" max="5377" width="4.85546875" style="524" customWidth="1"/>
    <col min="5378" max="5378" width="47.5703125" style="524" customWidth="1"/>
    <col min="5379" max="5379" width="12" style="524" customWidth="1"/>
    <col min="5380" max="5380" width="11" style="524" customWidth="1"/>
    <col min="5381" max="5381" width="11.140625" style="524" customWidth="1"/>
    <col min="5382" max="5382" width="8.85546875" style="524" customWidth="1"/>
    <col min="5383" max="5383" width="9.140625" style="524" customWidth="1"/>
    <col min="5384" max="5384" width="11.7109375" style="524" customWidth="1"/>
    <col min="5385" max="5385" width="10" style="524" customWidth="1"/>
    <col min="5386" max="5632" width="9.140625" style="524"/>
    <col min="5633" max="5633" width="4.85546875" style="524" customWidth="1"/>
    <col min="5634" max="5634" width="47.5703125" style="524" customWidth="1"/>
    <col min="5635" max="5635" width="12" style="524" customWidth="1"/>
    <col min="5636" max="5636" width="11" style="524" customWidth="1"/>
    <col min="5637" max="5637" width="11.140625" style="524" customWidth="1"/>
    <col min="5638" max="5638" width="8.85546875" style="524" customWidth="1"/>
    <col min="5639" max="5639" width="9.140625" style="524" customWidth="1"/>
    <col min="5640" max="5640" width="11.7109375" style="524" customWidth="1"/>
    <col min="5641" max="5641" width="10" style="524" customWidth="1"/>
    <col min="5642" max="5888" width="9.140625" style="524"/>
    <col min="5889" max="5889" width="4.85546875" style="524" customWidth="1"/>
    <col min="5890" max="5890" width="47.5703125" style="524" customWidth="1"/>
    <col min="5891" max="5891" width="12" style="524" customWidth="1"/>
    <col min="5892" max="5892" width="11" style="524" customWidth="1"/>
    <col min="5893" max="5893" width="11.140625" style="524" customWidth="1"/>
    <col min="5894" max="5894" width="8.85546875" style="524" customWidth="1"/>
    <col min="5895" max="5895" width="9.140625" style="524" customWidth="1"/>
    <col min="5896" max="5896" width="11.7109375" style="524" customWidth="1"/>
    <col min="5897" max="5897" width="10" style="524" customWidth="1"/>
    <col min="5898" max="6144" width="9.140625" style="524"/>
    <col min="6145" max="6145" width="4.85546875" style="524" customWidth="1"/>
    <col min="6146" max="6146" width="47.5703125" style="524" customWidth="1"/>
    <col min="6147" max="6147" width="12" style="524" customWidth="1"/>
    <col min="6148" max="6148" width="11" style="524" customWidth="1"/>
    <col min="6149" max="6149" width="11.140625" style="524" customWidth="1"/>
    <col min="6150" max="6150" width="8.85546875" style="524" customWidth="1"/>
    <col min="6151" max="6151" width="9.140625" style="524" customWidth="1"/>
    <col min="6152" max="6152" width="11.7109375" style="524" customWidth="1"/>
    <col min="6153" max="6153" width="10" style="524" customWidth="1"/>
    <col min="6154" max="6400" width="9.140625" style="524"/>
    <col min="6401" max="6401" width="4.85546875" style="524" customWidth="1"/>
    <col min="6402" max="6402" width="47.5703125" style="524" customWidth="1"/>
    <col min="6403" max="6403" width="12" style="524" customWidth="1"/>
    <col min="6404" max="6404" width="11" style="524" customWidth="1"/>
    <col min="6405" max="6405" width="11.140625" style="524" customWidth="1"/>
    <col min="6406" max="6406" width="8.85546875" style="524" customWidth="1"/>
    <col min="6407" max="6407" width="9.140625" style="524" customWidth="1"/>
    <col min="6408" max="6408" width="11.7109375" style="524" customWidth="1"/>
    <col min="6409" max="6409" width="10" style="524" customWidth="1"/>
    <col min="6410" max="6656" width="9.140625" style="524"/>
    <col min="6657" max="6657" width="4.85546875" style="524" customWidth="1"/>
    <col min="6658" max="6658" width="47.5703125" style="524" customWidth="1"/>
    <col min="6659" max="6659" width="12" style="524" customWidth="1"/>
    <col min="6660" max="6660" width="11" style="524" customWidth="1"/>
    <col min="6661" max="6661" width="11.140625" style="524" customWidth="1"/>
    <col min="6662" max="6662" width="8.85546875" style="524" customWidth="1"/>
    <col min="6663" max="6663" width="9.140625" style="524" customWidth="1"/>
    <col min="6664" max="6664" width="11.7109375" style="524" customWidth="1"/>
    <col min="6665" max="6665" width="10" style="524" customWidth="1"/>
    <col min="6666" max="6912" width="9.140625" style="524"/>
    <col min="6913" max="6913" width="4.85546875" style="524" customWidth="1"/>
    <col min="6914" max="6914" width="47.5703125" style="524" customWidth="1"/>
    <col min="6915" max="6915" width="12" style="524" customWidth="1"/>
    <col min="6916" max="6916" width="11" style="524" customWidth="1"/>
    <col min="6917" max="6917" width="11.140625" style="524" customWidth="1"/>
    <col min="6918" max="6918" width="8.85546875" style="524" customWidth="1"/>
    <col min="6919" max="6919" width="9.140625" style="524" customWidth="1"/>
    <col min="6920" max="6920" width="11.7109375" style="524" customWidth="1"/>
    <col min="6921" max="6921" width="10" style="524" customWidth="1"/>
    <col min="6922" max="7168" width="9.140625" style="524"/>
    <col min="7169" max="7169" width="4.85546875" style="524" customWidth="1"/>
    <col min="7170" max="7170" width="47.5703125" style="524" customWidth="1"/>
    <col min="7171" max="7171" width="12" style="524" customWidth="1"/>
    <col min="7172" max="7172" width="11" style="524" customWidth="1"/>
    <col min="7173" max="7173" width="11.140625" style="524" customWidth="1"/>
    <col min="7174" max="7174" width="8.85546875" style="524" customWidth="1"/>
    <col min="7175" max="7175" width="9.140625" style="524" customWidth="1"/>
    <col min="7176" max="7176" width="11.7109375" style="524" customWidth="1"/>
    <col min="7177" max="7177" width="10" style="524" customWidth="1"/>
    <col min="7178" max="7424" width="9.140625" style="524"/>
    <col min="7425" max="7425" width="4.85546875" style="524" customWidth="1"/>
    <col min="7426" max="7426" width="47.5703125" style="524" customWidth="1"/>
    <col min="7427" max="7427" width="12" style="524" customWidth="1"/>
    <col min="7428" max="7428" width="11" style="524" customWidth="1"/>
    <col min="7429" max="7429" width="11.140625" style="524" customWidth="1"/>
    <col min="7430" max="7430" width="8.85546875" style="524" customWidth="1"/>
    <col min="7431" max="7431" width="9.140625" style="524" customWidth="1"/>
    <col min="7432" max="7432" width="11.7109375" style="524" customWidth="1"/>
    <col min="7433" max="7433" width="10" style="524" customWidth="1"/>
    <col min="7434" max="7680" width="9.140625" style="524"/>
    <col min="7681" max="7681" width="4.85546875" style="524" customWidth="1"/>
    <col min="7682" max="7682" width="47.5703125" style="524" customWidth="1"/>
    <col min="7683" max="7683" width="12" style="524" customWidth="1"/>
    <col min="7684" max="7684" width="11" style="524" customWidth="1"/>
    <col min="7685" max="7685" width="11.140625" style="524" customWidth="1"/>
    <col min="7686" max="7686" width="8.85546875" style="524" customWidth="1"/>
    <col min="7687" max="7687" width="9.140625" style="524" customWidth="1"/>
    <col min="7688" max="7688" width="11.7109375" style="524" customWidth="1"/>
    <col min="7689" max="7689" width="10" style="524" customWidth="1"/>
    <col min="7690" max="7936" width="9.140625" style="524"/>
    <col min="7937" max="7937" width="4.85546875" style="524" customWidth="1"/>
    <col min="7938" max="7938" width="47.5703125" style="524" customWidth="1"/>
    <col min="7939" max="7939" width="12" style="524" customWidth="1"/>
    <col min="7940" max="7940" width="11" style="524" customWidth="1"/>
    <col min="7941" max="7941" width="11.140625" style="524" customWidth="1"/>
    <col min="7942" max="7942" width="8.85546875" style="524" customWidth="1"/>
    <col min="7943" max="7943" width="9.140625" style="524" customWidth="1"/>
    <col min="7944" max="7944" width="11.7109375" style="524" customWidth="1"/>
    <col min="7945" max="7945" width="10" style="524" customWidth="1"/>
    <col min="7946" max="8192" width="9.140625" style="524"/>
    <col min="8193" max="8193" width="4.85546875" style="524" customWidth="1"/>
    <col min="8194" max="8194" width="47.5703125" style="524" customWidth="1"/>
    <col min="8195" max="8195" width="12" style="524" customWidth="1"/>
    <col min="8196" max="8196" width="11" style="524" customWidth="1"/>
    <col min="8197" max="8197" width="11.140625" style="524" customWidth="1"/>
    <col min="8198" max="8198" width="8.85546875" style="524" customWidth="1"/>
    <col min="8199" max="8199" width="9.140625" style="524" customWidth="1"/>
    <col min="8200" max="8200" width="11.7109375" style="524" customWidth="1"/>
    <col min="8201" max="8201" width="10" style="524" customWidth="1"/>
    <col min="8202" max="8448" width="9.140625" style="524"/>
    <col min="8449" max="8449" width="4.85546875" style="524" customWidth="1"/>
    <col min="8450" max="8450" width="47.5703125" style="524" customWidth="1"/>
    <col min="8451" max="8451" width="12" style="524" customWidth="1"/>
    <col min="8452" max="8452" width="11" style="524" customWidth="1"/>
    <col min="8453" max="8453" width="11.140625" style="524" customWidth="1"/>
    <col min="8454" max="8454" width="8.85546875" style="524" customWidth="1"/>
    <col min="8455" max="8455" width="9.140625" style="524" customWidth="1"/>
    <col min="8456" max="8456" width="11.7109375" style="524" customWidth="1"/>
    <col min="8457" max="8457" width="10" style="524" customWidth="1"/>
    <col min="8458" max="8704" width="9.140625" style="524"/>
    <col min="8705" max="8705" width="4.85546875" style="524" customWidth="1"/>
    <col min="8706" max="8706" width="47.5703125" style="524" customWidth="1"/>
    <col min="8707" max="8707" width="12" style="524" customWidth="1"/>
    <col min="8708" max="8708" width="11" style="524" customWidth="1"/>
    <col min="8709" max="8709" width="11.140625" style="524" customWidth="1"/>
    <col min="8710" max="8710" width="8.85546875" style="524" customWidth="1"/>
    <col min="8711" max="8711" width="9.140625" style="524" customWidth="1"/>
    <col min="8712" max="8712" width="11.7109375" style="524" customWidth="1"/>
    <col min="8713" max="8713" width="10" style="524" customWidth="1"/>
    <col min="8714" max="8960" width="9.140625" style="524"/>
    <col min="8961" max="8961" width="4.85546875" style="524" customWidth="1"/>
    <col min="8962" max="8962" width="47.5703125" style="524" customWidth="1"/>
    <col min="8963" max="8963" width="12" style="524" customWidth="1"/>
    <col min="8964" max="8964" width="11" style="524" customWidth="1"/>
    <col min="8965" max="8965" width="11.140625" style="524" customWidth="1"/>
    <col min="8966" max="8966" width="8.85546875" style="524" customWidth="1"/>
    <col min="8967" max="8967" width="9.140625" style="524" customWidth="1"/>
    <col min="8968" max="8968" width="11.7109375" style="524" customWidth="1"/>
    <col min="8969" max="8969" width="10" style="524" customWidth="1"/>
    <col min="8970" max="9216" width="9.140625" style="524"/>
    <col min="9217" max="9217" width="4.85546875" style="524" customWidth="1"/>
    <col min="9218" max="9218" width="47.5703125" style="524" customWidth="1"/>
    <col min="9219" max="9219" width="12" style="524" customWidth="1"/>
    <col min="9220" max="9220" width="11" style="524" customWidth="1"/>
    <col min="9221" max="9221" width="11.140625" style="524" customWidth="1"/>
    <col min="9222" max="9222" width="8.85546875" style="524" customWidth="1"/>
    <col min="9223" max="9223" width="9.140625" style="524" customWidth="1"/>
    <col min="9224" max="9224" width="11.7109375" style="524" customWidth="1"/>
    <col min="9225" max="9225" width="10" style="524" customWidth="1"/>
    <col min="9226" max="9472" width="9.140625" style="524"/>
    <col min="9473" max="9473" width="4.85546875" style="524" customWidth="1"/>
    <col min="9474" max="9474" width="47.5703125" style="524" customWidth="1"/>
    <col min="9475" max="9475" width="12" style="524" customWidth="1"/>
    <col min="9476" max="9476" width="11" style="524" customWidth="1"/>
    <col min="9477" max="9477" width="11.140625" style="524" customWidth="1"/>
    <col min="9478" max="9478" width="8.85546875" style="524" customWidth="1"/>
    <col min="9479" max="9479" width="9.140625" style="524" customWidth="1"/>
    <col min="9480" max="9480" width="11.7109375" style="524" customWidth="1"/>
    <col min="9481" max="9481" width="10" style="524" customWidth="1"/>
    <col min="9482" max="9728" width="9.140625" style="524"/>
    <col min="9729" max="9729" width="4.85546875" style="524" customWidth="1"/>
    <col min="9730" max="9730" width="47.5703125" style="524" customWidth="1"/>
    <col min="9731" max="9731" width="12" style="524" customWidth="1"/>
    <col min="9732" max="9732" width="11" style="524" customWidth="1"/>
    <col min="9733" max="9733" width="11.140625" style="524" customWidth="1"/>
    <col min="9734" max="9734" width="8.85546875" style="524" customWidth="1"/>
    <col min="9735" max="9735" width="9.140625" style="524" customWidth="1"/>
    <col min="9736" max="9736" width="11.7109375" style="524" customWidth="1"/>
    <col min="9737" max="9737" width="10" style="524" customWidth="1"/>
    <col min="9738" max="9984" width="9.140625" style="524"/>
    <col min="9985" max="9985" width="4.85546875" style="524" customWidth="1"/>
    <col min="9986" max="9986" width="47.5703125" style="524" customWidth="1"/>
    <col min="9987" max="9987" width="12" style="524" customWidth="1"/>
    <col min="9988" max="9988" width="11" style="524" customWidth="1"/>
    <col min="9989" max="9989" width="11.140625" style="524" customWidth="1"/>
    <col min="9990" max="9990" width="8.85546875" style="524" customWidth="1"/>
    <col min="9991" max="9991" width="9.140625" style="524" customWidth="1"/>
    <col min="9992" max="9992" width="11.7109375" style="524" customWidth="1"/>
    <col min="9993" max="9993" width="10" style="524" customWidth="1"/>
    <col min="9994" max="10240" width="9.140625" style="524"/>
    <col min="10241" max="10241" width="4.85546875" style="524" customWidth="1"/>
    <col min="10242" max="10242" width="47.5703125" style="524" customWidth="1"/>
    <col min="10243" max="10243" width="12" style="524" customWidth="1"/>
    <col min="10244" max="10244" width="11" style="524" customWidth="1"/>
    <col min="10245" max="10245" width="11.140625" style="524" customWidth="1"/>
    <col min="10246" max="10246" width="8.85546875" style="524" customWidth="1"/>
    <col min="10247" max="10247" width="9.140625" style="524" customWidth="1"/>
    <col min="10248" max="10248" width="11.7109375" style="524" customWidth="1"/>
    <col min="10249" max="10249" width="10" style="524" customWidth="1"/>
    <col min="10250" max="10496" width="9.140625" style="524"/>
    <col min="10497" max="10497" width="4.85546875" style="524" customWidth="1"/>
    <col min="10498" max="10498" width="47.5703125" style="524" customWidth="1"/>
    <col min="10499" max="10499" width="12" style="524" customWidth="1"/>
    <col min="10500" max="10500" width="11" style="524" customWidth="1"/>
    <col min="10501" max="10501" width="11.140625" style="524" customWidth="1"/>
    <col min="10502" max="10502" width="8.85546875" style="524" customWidth="1"/>
    <col min="10503" max="10503" width="9.140625" style="524" customWidth="1"/>
    <col min="10504" max="10504" width="11.7109375" style="524" customWidth="1"/>
    <col min="10505" max="10505" width="10" style="524" customWidth="1"/>
    <col min="10506" max="10752" width="9.140625" style="524"/>
    <col min="10753" max="10753" width="4.85546875" style="524" customWidth="1"/>
    <col min="10754" max="10754" width="47.5703125" style="524" customWidth="1"/>
    <col min="10755" max="10755" width="12" style="524" customWidth="1"/>
    <col min="10756" max="10756" width="11" style="524" customWidth="1"/>
    <col min="10757" max="10757" width="11.140625" style="524" customWidth="1"/>
    <col min="10758" max="10758" width="8.85546875" style="524" customWidth="1"/>
    <col min="10759" max="10759" width="9.140625" style="524" customWidth="1"/>
    <col min="10760" max="10760" width="11.7109375" style="524" customWidth="1"/>
    <col min="10761" max="10761" width="10" style="524" customWidth="1"/>
    <col min="10762" max="11008" width="9.140625" style="524"/>
    <col min="11009" max="11009" width="4.85546875" style="524" customWidth="1"/>
    <col min="11010" max="11010" width="47.5703125" style="524" customWidth="1"/>
    <col min="11011" max="11011" width="12" style="524" customWidth="1"/>
    <col min="11012" max="11012" width="11" style="524" customWidth="1"/>
    <col min="11013" max="11013" width="11.140625" style="524" customWidth="1"/>
    <col min="11014" max="11014" width="8.85546875" style="524" customWidth="1"/>
    <col min="11015" max="11015" width="9.140625" style="524" customWidth="1"/>
    <col min="11016" max="11016" width="11.7109375" style="524" customWidth="1"/>
    <col min="11017" max="11017" width="10" style="524" customWidth="1"/>
    <col min="11018" max="11264" width="9.140625" style="524"/>
    <col min="11265" max="11265" width="4.85546875" style="524" customWidth="1"/>
    <col min="11266" max="11266" width="47.5703125" style="524" customWidth="1"/>
    <col min="11267" max="11267" width="12" style="524" customWidth="1"/>
    <col min="11268" max="11268" width="11" style="524" customWidth="1"/>
    <col min="11269" max="11269" width="11.140625" style="524" customWidth="1"/>
    <col min="11270" max="11270" width="8.85546875" style="524" customWidth="1"/>
    <col min="11271" max="11271" width="9.140625" style="524" customWidth="1"/>
    <col min="11272" max="11272" width="11.7109375" style="524" customWidth="1"/>
    <col min="11273" max="11273" width="10" style="524" customWidth="1"/>
    <col min="11274" max="11520" width="9.140625" style="524"/>
    <col min="11521" max="11521" width="4.85546875" style="524" customWidth="1"/>
    <col min="11522" max="11522" width="47.5703125" style="524" customWidth="1"/>
    <col min="11523" max="11523" width="12" style="524" customWidth="1"/>
    <col min="11524" max="11524" width="11" style="524" customWidth="1"/>
    <col min="11525" max="11525" width="11.140625" style="524" customWidth="1"/>
    <col min="11526" max="11526" width="8.85546875" style="524" customWidth="1"/>
    <col min="11527" max="11527" width="9.140625" style="524" customWidth="1"/>
    <col min="11528" max="11528" width="11.7109375" style="524" customWidth="1"/>
    <col min="11529" max="11529" width="10" style="524" customWidth="1"/>
    <col min="11530" max="11776" width="9.140625" style="524"/>
    <col min="11777" max="11777" width="4.85546875" style="524" customWidth="1"/>
    <col min="11778" max="11778" width="47.5703125" style="524" customWidth="1"/>
    <col min="11779" max="11779" width="12" style="524" customWidth="1"/>
    <col min="11780" max="11780" width="11" style="524" customWidth="1"/>
    <col min="11781" max="11781" width="11.140625" style="524" customWidth="1"/>
    <col min="11782" max="11782" width="8.85546875" style="524" customWidth="1"/>
    <col min="11783" max="11783" width="9.140625" style="524" customWidth="1"/>
    <col min="11784" max="11784" width="11.7109375" style="524" customWidth="1"/>
    <col min="11785" max="11785" width="10" style="524" customWidth="1"/>
    <col min="11786" max="12032" width="9.140625" style="524"/>
    <col min="12033" max="12033" width="4.85546875" style="524" customWidth="1"/>
    <col min="12034" max="12034" width="47.5703125" style="524" customWidth="1"/>
    <col min="12035" max="12035" width="12" style="524" customWidth="1"/>
    <col min="12036" max="12036" width="11" style="524" customWidth="1"/>
    <col min="12037" max="12037" width="11.140625" style="524" customWidth="1"/>
    <col min="12038" max="12038" width="8.85546875" style="524" customWidth="1"/>
    <col min="12039" max="12039" width="9.140625" style="524" customWidth="1"/>
    <col min="12040" max="12040" width="11.7109375" style="524" customWidth="1"/>
    <col min="12041" max="12041" width="10" style="524" customWidth="1"/>
    <col min="12042" max="12288" width="9.140625" style="524"/>
    <col min="12289" max="12289" width="4.85546875" style="524" customWidth="1"/>
    <col min="12290" max="12290" width="47.5703125" style="524" customWidth="1"/>
    <col min="12291" max="12291" width="12" style="524" customWidth="1"/>
    <col min="12292" max="12292" width="11" style="524" customWidth="1"/>
    <col min="12293" max="12293" width="11.140625" style="524" customWidth="1"/>
    <col min="12294" max="12294" width="8.85546875" style="524" customWidth="1"/>
    <col min="12295" max="12295" width="9.140625" style="524" customWidth="1"/>
    <col min="12296" max="12296" width="11.7109375" style="524" customWidth="1"/>
    <col min="12297" max="12297" width="10" style="524" customWidth="1"/>
    <col min="12298" max="12544" width="9.140625" style="524"/>
    <col min="12545" max="12545" width="4.85546875" style="524" customWidth="1"/>
    <col min="12546" max="12546" width="47.5703125" style="524" customWidth="1"/>
    <col min="12547" max="12547" width="12" style="524" customWidth="1"/>
    <col min="12548" max="12548" width="11" style="524" customWidth="1"/>
    <col min="12549" max="12549" width="11.140625" style="524" customWidth="1"/>
    <col min="12550" max="12550" width="8.85546875" style="524" customWidth="1"/>
    <col min="12551" max="12551" width="9.140625" style="524" customWidth="1"/>
    <col min="12552" max="12552" width="11.7109375" style="524" customWidth="1"/>
    <col min="12553" max="12553" width="10" style="524" customWidth="1"/>
    <col min="12554" max="12800" width="9.140625" style="524"/>
    <col min="12801" max="12801" width="4.85546875" style="524" customWidth="1"/>
    <col min="12802" max="12802" width="47.5703125" style="524" customWidth="1"/>
    <col min="12803" max="12803" width="12" style="524" customWidth="1"/>
    <col min="12804" max="12804" width="11" style="524" customWidth="1"/>
    <col min="12805" max="12805" width="11.140625" style="524" customWidth="1"/>
    <col min="12806" max="12806" width="8.85546875" style="524" customWidth="1"/>
    <col min="12807" max="12807" width="9.140625" style="524" customWidth="1"/>
    <col min="12808" max="12808" width="11.7109375" style="524" customWidth="1"/>
    <col min="12809" max="12809" width="10" style="524" customWidth="1"/>
    <col min="12810" max="13056" width="9.140625" style="524"/>
    <col min="13057" max="13057" width="4.85546875" style="524" customWidth="1"/>
    <col min="13058" max="13058" width="47.5703125" style="524" customWidth="1"/>
    <col min="13059" max="13059" width="12" style="524" customWidth="1"/>
    <col min="13060" max="13060" width="11" style="524" customWidth="1"/>
    <col min="13061" max="13061" width="11.140625" style="524" customWidth="1"/>
    <col min="13062" max="13062" width="8.85546875" style="524" customWidth="1"/>
    <col min="13063" max="13063" width="9.140625" style="524" customWidth="1"/>
    <col min="13064" max="13064" width="11.7109375" style="524" customWidth="1"/>
    <col min="13065" max="13065" width="10" style="524" customWidth="1"/>
    <col min="13066" max="13312" width="9.140625" style="524"/>
    <col min="13313" max="13313" width="4.85546875" style="524" customWidth="1"/>
    <col min="13314" max="13314" width="47.5703125" style="524" customWidth="1"/>
    <col min="13315" max="13315" width="12" style="524" customWidth="1"/>
    <col min="13316" max="13316" width="11" style="524" customWidth="1"/>
    <col min="13317" max="13317" width="11.140625" style="524" customWidth="1"/>
    <col min="13318" max="13318" width="8.85546875" style="524" customWidth="1"/>
    <col min="13319" max="13319" width="9.140625" style="524" customWidth="1"/>
    <col min="13320" max="13320" width="11.7109375" style="524" customWidth="1"/>
    <col min="13321" max="13321" width="10" style="524" customWidth="1"/>
    <col min="13322" max="13568" width="9.140625" style="524"/>
    <col min="13569" max="13569" width="4.85546875" style="524" customWidth="1"/>
    <col min="13570" max="13570" width="47.5703125" style="524" customWidth="1"/>
    <col min="13571" max="13571" width="12" style="524" customWidth="1"/>
    <col min="13572" max="13572" width="11" style="524" customWidth="1"/>
    <col min="13573" max="13573" width="11.140625" style="524" customWidth="1"/>
    <col min="13574" max="13574" width="8.85546875" style="524" customWidth="1"/>
    <col min="13575" max="13575" width="9.140625" style="524" customWidth="1"/>
    <col min="13576" max="13576" width="11.7109375" style="524" customWidth="1"/>
    <col min="13577" max="13577" width="10" style="524" customWidth="1"/>
    <col min="13578" max="13824" width="9.140625" style="524"/>
    <col min="13825" max="13825" width="4.85546875" style="524" customWidth="1"/>
    <col min="13826" max="13826" width="47.5703125" style="524" customWidth="1"/>
    <col min="13827" max="13827" width="12" style="524" customWidth="1"/>
    <col min="13828" max="13828" width="11" style="524" customWidth="1"/>
    <col min="13829" max="13829" width="11.140625" style="524" customWidth="1"/>
    <col min="13830" max="13830" width="8.85546875" style="524" customWidth="1"/>
    <col min="13831" max="13831" width="9.140625" style="524" customWidth="1"/>
    <col min="13832" max="13832" width="11.7109375" style="524" customWidth="1"/>
    <col min="13833" max="13833" width="10" style="524" customWidth="1"/>
    <col min="13834" max="14080" width="9.140625" style="524"/>
    <col min="14081" max="14081" width="4.85546875" style="524" customWidth="1"/>
    <col min="14082" max="14082" width="47.5703125" style="524" customWidth="1"/>
    <col min="14083" max="14083" width="12" style="524" customWidth="1"/>
    <col min="14084" max="14084" width="11" style="524" customWidth="1"/>
    <col min="14085" max="14085" width="11.140625" style="524" customWidth="1"/>
    <col min="14086" max="14086" width="8.85546875" style="524" customWidth="1"/>
    <col min="14087" max="14087" width="9.140625" style="524" customWidth="1"/>
    <col min="14088" max="14088" width="11.7109375" style="524" customWidth="1"/>
    <col min="14089" max="14089" width="10" style="524" customWidth="1"/>
    <col min="14090" max="14336" width="9.140625" style="524"/>
    <col min="14337" max="14337" width="4.85546875" style="524" customWidth="1"/>
    <col min="14338" max="14338" width="47.5703125" style="524" customWidth="1"/>
    <col min="14339" max="14339" width="12" style="524" customWidth="1"/>
    <col min="14340" max="14340" width="11" style="524" customWidth="1"/>
    <col min="14341" max="14341" width="11.140625" style="524" customWidth="1"/>
    <col min="14342" max="14342" width="8.85546875" style="524" customWidth="1"/>
    <col min="14343" max="14343" width="9.140625" style="524" customWidth="1"/>
    <col min="14344" max="14344" width="11.7109375" style="524" customWidth="1"/>
    <col min="14345" max="14345" width="10" style="524" customWidth="1"/>
    <col min="14346" max="14592" width="9.140625" style="524"/>
    <col min="14593" max="14593" width="4.85546875" style="524" customWidth="1"/>
    <col min="14594" max="14594" width="47.5703125" style="524" customWidth="1"/>
    <col min="14595" max="14595" width="12" style="524" customWidth="1"/>
    <col min="14596" max="14596" width="11" style="524" customWidth="1"/>
    <col min="14597" max="14597" width="11.140625" style="524" customWidth="1"/>
    <col min="14598" max="14598" width="8.85546875" style="524" customWidth="1"/>
    <col min="14599" max="14599" width="9.140625" style="524" customWidth="1"/>
    <col min="14600" max="14600" width="11.7109375" style="524" customWidth="1"/>
    <col min="14601" max="14601" width="10" style="524" customWidth="1"/>
    <col min="14602" max="14848" width="9.140625" style="524"/>
    <col min="14849" max="14849" width="4.85546875" style="524" customWidth="1"/>
    <col min="14850" max="14850" width="47.5703125" style="524" customWidth="1"/>
    <col min="14851" max="14851" width="12" style="524" customWidth="1"/>
    <col min="14852" max="14852" width="11" style="524" customWidth="1"/>
    <col min="14853" max="14853" width="11.140625" style="524" customWidth="1"/>
    <col min="14854" max="14854" width="8.85546875" style="524" customWidth="1"/>
    <col min="14855" max="14855" width="9.140625" style="524" customWidth="1"/>
    <col min="14856" max="14856" width="11.7109375" style="524" customWidth="1"/>
    <col min="14857" max="14857" width="10" style="524" customWidth="1"/>
    <col min="14858" max="15104" width="9.140625" style="524"/>
    <col min="15105" max="15105" width="4.85546875" style="524" customWidth="1"/>
    <col min="15106" max="15106" width="47.5703125" style="524" customWidth="1"/>
    <col min="15107" max="15107" width="12" style="524" customWidth="1"/>
    <col min="15108" max="15108" width="11" style="524" customWidth="1"/>
    <col min="15109" max="15109" width="11.140625" style="524" customWidth="1"/>
    <col min="15110" max="15110" width="8.85546875" style="524" customWidth="1"/>
    <col min="15111" max="15111" width="9.140625" style="524" customWidth="1"/>
    <col min="15112" max="15112" width="11.7109375" style="524" customWidth="1"/>
    <col min="15113" max="15113" width="10" style="524" customWidth="1"/>
    <col min="15114" max="15360" width="9.140625" style="524"/>
    <col min="15361" max="15361" width="4.85546875" style="524" customWidth="1"/>
    <col min="15362" max="15362" width="47.5703125" style="524" customWidth="1"/>
    <col min="15363" max="15363" width="12" style="524" customWidth="1"/>
    <col min="15364" max="15364" width="11" style="524" customWidth="1"/>
    <col min="15365" max="15365" width="11.140625" style="524" customWidth="1"/>
    <col min="15366" max="15366" width="8.85546875" style="524" customWidth="1"/>
    <col min="15367" max="15367" width="9.140625" style="524" customWidth="1"/>
    <col min="15368" max="15368" width="11.7109375" style="524" customWidth="1"/>
    <col min="15369" max="15369" width="10" style="524" customWidth="1"/>
    <col min="15370" max="15616" width="9.140625" style="524"/>
    <col min="15617" max="15617" width="4.85546875" style="524" customWidth="1"/>
    <col min="15618" max="15618" width="47.5703125" style="524" customWidth="1"/>
    <col min="15619" max="15619" width="12" style="524" customWidth="1"/>
    <col min="15620" max="15620" width="11" style="524" customWidth="1"/>
    <col min="15621" max="15621" width="11.140625" style="524" customWidth="1"/>
    <col min="15622" max="15622" width="8.85546875" style="524" customWidth="1"/>
    <col min="15623" max="15623" width="9.140625" style="524" customWidth="1"/>
    <col min="15624" max="15624" width="11.7109375" style="524" customWidth="1"/>
    <col min="15625" max="15625" width="10" style="524" customWidth="1"/>
    <col min="15626" max="15872" width="9.140625" style="524"/>
    <col min="15873" max="15873" width="4.85546875" style="524" customWidth="1"/>
    <col min="15874" max="15874" width="47.5703125" style="524" customWidth="1"/>
    <col min="15875" max="15875" width="12" style="524" customWidth="1"/>
    <col min="15876" max="15876" width="11" style="524" customWidth="1"/>
    <col min="15877" max="15877" width="11.140625" style="524" customWidth="1"/>
    <col min="15878" max="15878" width="8.85546875" style="524" customWidth="1"/>
    <col min="15879" max="15879" width="9.140625" style="524" customWidth="1"/>
    <col min="15880" max="15880" width="11.7109375" style="524" customWidth="1"/>
    <col min="15881" max="15881" width="10" style="524" customWidth="1"/>
    <col min="15882" max="16128" width="9.140625" style="524"/>
    <col min="16129" max="16129" width="4.85546875" style="524" customWidth="1"/>
    <col min="16130" max="16130" width="47.5703125" style="524" customWidth="1"/>
    <col min="16131" max="16131" width="12" style="524" customWidth="1"/>
    <col min="16132" max="16132" width="11" style="524" customWidth="1"/>
    <col min="16133" max="16133" width="11.140625" style="524" customWidth="1"/>
    <col min="16134" max="16134" width="8.85546875" style="524" customWidth="1"/>
    <col min="16135" max="16135" width="9.140625" style="524" customWidth="1"/>
    <col min="16136" max="16136" width="11.7109375" style="524" customWidth="1"/>
    <col min="16137" max="16137" width="10" style="524" customWidth="1"/>
    <col min="16138" max="16384" width="9.140625" style="524"/>
  </cols>
  <sheetData>
    <row r="1" spans="1:9" ht="22.5" customHeight="1">
      <c r="A1" s="1675" t="s">
        <v>221</v>
      </c>
      <c r="B1" s="1675"/>
      <c r="D1" s="1681" t="s">
        <v>2228</v>
      </c>
      <c r="E1" s="1681"/>
      <c r="F1" s="1681"/>
    </row>
    <row r="2" spans="1:9" ht="22.5" customHeight="1">
      <c r="A2" s="1674" t="s">
        <v>2181</v>
      </c>
      <c r="B2" s="1674"/>
      <c r="C2" s="1674"/>
      <c r="D2" s="1674"/>
      <c r="E2" s="1674"/>
      <c r="F2" s="1674"/>
    </row>
    <row r="3" spans="1:9" ht="18" customHeight="1">
      <c r="A3" s="1674" t="str">
        <f>B62CK!A3</f>
        <v>(Quyết toán đã được Hội đồng nhân dân tỉnh phê chuẩn)</v>
      </c>
      <c r="B3" s="1674"/>
      <c r="C3" s="1674"/>
      <c r="D3" s="1674"/>
      <c r="E3" s="1674"/>
      <c r="F3" s="1674"/>
    </row>
    <row r="4" spans="1:9" ht="18.75" customHeight="1">
      <c r="A4" s="1676" t="str">
        <f>B62CK!A4</f>
        <v>(Kèm theo Quyết định số            /QĐ-UBND ngày         tháng 01 năm 2020 của UBND tỉnh)</v>
      </c>
      <c r="B4" s="1676"/>
      <c r="C4" s="1676"/>
      <c r="D4" s="1676"/>
      <c r="E4" s="1676"/>
      <c r="F4" s="1676"/>
    </row>
    <row r="5" spans="1:9" ht="15" customHeight="1">
      <c r="E5" s="1695" t="s">
        <v>5</v>
      </c>
      <c r="F5" s="1695"/>
    </row>
    <row r="6" spans="1:9" ht="19.5" customHeight="1">
      <c r="A6" s="1678" t="s">
        <v>316</v>
      </c>
      <c r="B6" s="1678" t="s">
        <v>1</v>
      </c>
      <c r="C6" s="1678" t="s">
        <v>136</v>
      </c>
      <c r="D6" s="1678" t="s">
        <v>155</v>
      </c>
      <c r="E6" s="1678" t="s">
        <v>41</v>
      </c>
      <c r="F6" s="1678"/>
    </row>
    <row r="7" spans="1:9" ht="31.5">
      <c r="A7" s="1678"/>
      <c r="B7" s="1678"/>
      <c r="C7" s="1678"/>
      <c r="D7" s="1678"/>
      <c r="E7" s="531" t="s">
        <v>42</v>
      </c>
      <c r="F7" s="531" t="s">
        <v>86</v>
      </c>
      <c r="H7" s="1342"/>
    </row>
    <row r="8" spans="1:9" ht="18.75" customHeight="1">
      <c r="A8" s="531" t="s">
        <v>2</v>
      </c>
      <c r="B8" s="531" t="s">
        <v>3</v>
      </c>
      <c r="C8" s="531">
        <v>1</v>
      </c>
      <c r="D8" s="531">
        <v>2</v>
      </c>
      <c r="E8" s="531" t="s">
        <v>68</v>
      </c>
      <c r="F8" s="531" t="s">
        <v>69</v>
      </c>
    </row>
    <row r="9" spans="1:9" ht="27" customHeight="1">
      <c r="A9" s="531"/>
      <c r="B9" s="531" t="s">
        <v>14</v>
      </c>
      <c r="C9" s="1348">
        <f>C10+C11+C49</f>
        <v>4849277</v>
      </c>
      <c r="D9" s="1348">
        <f>D10+D11+D49</f>
        <v>5450047.4045059998</v>
      </c>
      <c r="E9" s="1343">
        <f>D9-C9</f>
        <v>600770.40450599976</v>
      </c>
      <c r="F9" s="1344">
        <f>D9/C9</f>
        <v>1.1238886548460729</v>
      </c>
      <c r="G9" s="1345"/>
      <c r="H9" s="1346"/>
    </row>
    <row r="10" spans="1:9" ht="38.25" customHeight="1">
      <c r="A10" s="531" t="s">
        <v>2</v>
      </c>
      <c r="B10" s="1347" t="s">
        <v>1694</v>
      </c>
      <c r="C10" s="1348">
        <f>1608890+84822+317168+100362</f>
        <v>2111242</v>
      </c>
      <c r="D10" s="1348">
        <f>'[2]62-TT342'!F46</f>
        <v>2289806.653624</v>
      </c>
      <c r="E10" s="1343">
        <f t="shared" ref="E10:E47" si="0">D10-C10</f>
        <v>178564.65362400003</v>
      </c>
      <c r="F10" s="1344">
        <f>D10/C10</f>
        <v>1.0845780131429745</v>
      </c>
      <c r="G10" s="1345"/>
      <c r="H10" s="1346"/>
    </row>
    <row r="11" spans="1:9" ht="38.25" customHeight="1">
      <c r="A11" s="531" t="s">
        <v>3</v>
      </c>
      <c r="B11" s="1347" t="s">
        <v>1616</v>
      </c>
      <c r="C11" s="1348">
        <f>C12+C29+C44+C45+C46+C47+C48</f>
        <v>2738035</v>
      </c>
      <c r="D11" s="1348">
        <f>D12+D29+D44+D45+D46+D47+D48</f>
        <v>2263060.0024629999</v>
      </c>
      <c r="E11" s="1343">
        <f t="shared" si="0"/>
        <v>-474974.9975370001</v>
      </c>
      <c r="F11" s="1344">
        <f>D11/C11</f>
        <v>0.82652705405993709</v>
      </c>
      <c r="H11" s="1349"/>
    </row>
    <row r="12" spans="1:9" ht="21" customHeight="1">
      <c r="A12" s="1350" t="s">
        <v>11</v>
      </c>
      <c r="B12" s="1351" t="s">
        <v>109</v>
      </c>
      <c r="C12" s="1352">
        <f>C13+C27+C28</f>
        <v>1471125</v>
      </c>
      <c r="D12" s="1352">
        <f>D13+D27+D28</f>
        <v>904564.45008799993</v>
      </c>
      <c r="E12" s="1353">
        <f t="shared" si="0"/>
        <v>-566560.54991200007</v>
      </c>
      <c r="F12" s="1354">
        <f>D12/C12</f>
        <v>0.61487939508063549</v>
      </c>
      <c r="G12" s="1355"/>
      <c r="H12" s="1356"/>
      <c r="I12" s="1303"/>
    </row>
    <row r="13" spans="1:9" ht="20.25" customHeight="1">
      <c r="A13" s="1357">
        <v>1</v>
      </c>
      <c r="B13" s="1358" t="s">
        <v>88</v>
      </c>
      <c r="C13" s="1359">
        <f>SUM(C14:C26)</f>
        <v>1471125</v>
      </c>
      <c r="D13" s="1359">
        <f>SUM(D14:D26)</f>
        <v>904564.45008799993</v>
      </c>
      <c r="E13" s="1360">
        <f>SUM(E14:E26)</f>
        <v>-566560.54991200007</v>
      </c>
      <c r="F13" s="1361">
        <f>D13/C13</f>
        <v>0.61487939508063549</v>
      </c>
    </row>
    <row r="14" spans="1:9" ht="17.25" customHeight="1">
      <c r="A14" s="541" t="s">
        <v>4</v>
      </c>
      <c r="B14" s="1386" t="s">
        <v>110</v>
      </c>
      <c r="C14" s="1362">
        <v>23989</v>
      </c>
      <c r="D14" s="1363">
        <f>[2]B55!G8</f>
        <v>23530</v>
      </c>
      <c r="E14" s="1364">
        <f>D14-C14</f>
        <v>-459</v>
      </c>
      <c r="F14" s="1365"/>
    </row>
    <row r="15" spans="1:9" ht="17.25" customHeight="1">
      <c r="A15" s="541" t="s">
        <v>4</v>
      </c>
      <c r="B15" s="1386" t="s">
        <v>111</v>
      </c>
      <c r="C15" s="1362">
        <v>0</v>
      </c>
      <c r="D15" s="1366">
        <f>[2]B55!H8</f>
        <v>0</v>
      </c>
      <c r="E15" s="1364">
        <f t="shared" ref="E15:E28" si="1">D15-C15</f>
        <v>0</v>
      </c>
      <c r="F15" s="1365"/>
    </row>
    <row r="16" spans="1:9" ht="17.25" customHeight="1">
      <c r="A16" s="541" t="s">
        <v>4</v>
      </c>
      <c r="B16" s="1386" t="s">
        <v>90</v>
      </c>
      <c r="C16" s="1362">
        <v>52183</v>
      </c>
      <c r="D16" s="1363">
        <f>[2]B55!E8</f>
        <v>66915</v>
      </c>
      <c r="E16" s="1364">
        <f t="shared" si="1"/>
        <v>14732</v>
      </c>
      <c r="F16" s="1365"/>
    </row>
    <row r="17" spans="1:6" ht="18" customHeight="1">
      <c r="A17" s="541" t="s">
        <v>4</v>
      </c>
      <c r="B17" s="1386" t="s">
        <v>91</v>
      </c>
      <c r="C17" s="1362">
        <v>6569</v>
      </c>
      <c r="D17" s="1367">
        <f>[2]B55!F8</f>
        <v>8113</v>
      </c>
      <c r="E17" s="1364">
        <f t="shared" si="1"/>
        <v>1544</v>
      </c>
      <c r="F17" s="1365"/>
    </row>
    <row r="18" spans="1:6" ht="18.75" customHeight="1">
      <c r="A18" s="541" t="s">
        <v>4</v>
      </c>
      <c r="B18" s="1386" t="s">
        <v>112</v>
      </c>
      <c r="C18" s="1362">
        <v>17154</v>
      </c>
      <c r="D18" s="1363">
        <f>[2]B55!I8</f>
        <v>18470</v>
      </c>
      <c r="E18" s="1364">
        <f t="shared" si="1"/>
        <v>1316</v>
      </c>
      <c r="F18" s="1365"/>
    </row>
    <row r="19" spans="1:6" ht="18.75" customHeight="1">
      <c r="A19" s="541" t="s">
        <v>4</v>
      </c>
      <c r="B19" s="1386" t="s">
        <v>113</v>
      </c>
      <c r="C19" s="1362">
        <v>2734</v>
      </c>
      <c r="D19" s="1363">
        <f>[2]B55!J8</f>
        <v>4239</v>
      </c>
      <c r="E19" s="1364">
        <f t="shared" si="1"/>
        <v>1505</v>
      </c>
      <c r="F19" s="1365"/>
    </row>
    <row r="20" spans="1:6" ht="18.75" customHeight="1">
      <c r="A20" s="541" t="s">
        <v>4</v>
      </c>
      <c r="B20" s="1386" t="s">
        <v>114</v>
      </c>
      <c r="C20" s="1362">
        <v>228</v>
      </c>
      <c r="D20" s="1363">
        <f>[2]B55!K8</f>
        <v>228</v>
      </c>
      <c r="E20" s="1364">
        <f t="shared" si="1"/>
        <v>0</v>
      </c>
      <c r="F20" s="1365"/>
    </row>
    <row r="21" spans="1:6" ht="19.5" customHeight="1">
      <c r="A21" s="541" t="s">
        <v>4</v>
      </c>
      <c r="B21" s="1386" t="s">
        <v>115</v>
      </c>
      <c r="C21" s="1362">
        <v>0</v>
      </c>
      <c r="D21" s="1368">
        <f>[2]B55!L8</f>
        <v>0</v>
      </c>
      <c r="E21" s="1364">
        <f t="shared" si="1"/>
        <v>0</v>
      </c>
      <c r="F21" s="1365"/>
    </row>
    <row r="22" spans="1:6" ht="18" customHeight="1">
      <c r="A22" s="541" t="s">
        <v>4</v>
      </c>
      <c r="B22" s="1386" t="s">
        <v>116</v>
      </c>
      <c r="C22" s="1362">
        <v>7332</v>
      </c>
      <c r="D22" s="1363">
        <f>[2]B55!M8</f>
        <v>6426</v>
      </c>
      <c r="E22" s="1364">
        <f t="shared" si="1"/>
        <v>-906</v>
      </c>
      <c r="F22" s="1365"/>
    </row>
    <row r="23" spans="1:6" ht="18" customHeight="1">
      <c r="A23" s="541" t="s">
        <v>4</v>
      </c>
      <c r="B23" s="1386" t="s">
        <v>117</v>
      </c>
      <c r="C23" s="1362">
        <v>989688</v>
      </c>
      <c r="D23" s="1363">
        <f>[2]B55!N8</f>
        <v>735237.96008799993</v>
      </c>
      <c r="E23" s="1364">
        <f t="shared" si="1"/>
        <v>-254450.03991200007</v>
      </c>
      <c r="F23" s="1365"/>
    </row>
    <row r="24" spans="1:6" ht="31.5">
      <c r="A24" s="541" t="s">
        <v>4</v>
      </c>
      <c r="B24" s="1386" t="s">
        <v>2073</v>
      </c>
      <c r="C24" s="1362">
        <v>40918</v>
      </c>
      <c r="D24" s="1363">
        <f>[2]B55!Q8</f>
        <v>36024.49</v>
      </c>
      <c r="E24" s="1364">
        <f t="shared" si="1"/>
        <v>-4893.510000000002</v>
      </c>
      <c r="F24" s="1365"/>
    </row>
    <row r="25" spans="1:6" ht="21" customHeight="1">
      <c r="A25" s="541" t="s">
        <v>4</v>
      </c>
      <c r="B25" s="1386" t="s">
        <v>119</v>
      </c>
      <c r="C25" s="1362">
        <v>8614</v>
      </c>
      <c r="D25" s="1367">
        <f>[2]B55!R8</f>
        <v>5381</v>
      </c>
      <c r="E25" s="1364">
        <f t="shared" si="1"/>
        <v>-3233</v>
      </c>
      <c r="F25" s="1365"/>
    </row>
    <row r="26" spans="1:6" ht="21" customHeight="1">
      <c r="A26" s="541" t="s">
        <v>4</v>
      </c>
      <c r="B26" s="1386" t="s">
        <v>2075</v>
      </c>
      <c r="C26" s="1362">
        <v>321716</v>
      </c>
      <c r="D26" s="1366">
        <f>[2]B55!S8</f>
        <v>0</v>
      </c>
      <c r="E26" s="1364">
        <f t="shared" si="1"/>
        <v>-321716</v>
      </c>
      <c r="F26" s="1365"/>
    </row>
    <row r="27" spans="1:6" ht="83.25" customHeight="1">
      <c r="A27" s="1357">
        <v>2</v>
      </c>
      <c r="B27" s="1369" t="s">
        <v>94</v>
      </c>
      <c r="C27" s="1359">
        <v>0</v>
      </c>
      <c r="D27" s="1370">
        <v>0</v>
      </c>
      <c r="E27" s="1364">
        <f t="shared" si="1"/>
        <v>0</v>
      </c>
      <c r="F27" s="1371"/>
    </row>
    <row r="28" spans="1:6" ht="21.75" customHeight="1">
      <c r="A28" s="1357">
        <v>3</v>
      </c>
      <c r="B28" s="1358" t="s">
        <v>95</v>
      </c>
      <c r="C28" s="1359">
        <v>0</v>
      </c>
      <c r="D28" s="1372">
        <v>0</v>
      </c>
      <c r="E28" s="1364">
        <f t="shared" si="1"/>
        <v>0</v>
      </c>
      <c r="F28" s="1365"/>
    </row>
    <row r="29" spans="1:6" ht="22.5" customHeight="1">
      <c r="A29" s="536" t="s">
        <v>7</v>
      </c>
      <c r="B29" s="537" t="s">
        <v>15</v>
      </c>
      <c r="C29" s="1373">
        <f>SUM(C30:C43)</f>
        <v>1230160</v>
      </c>
      <c r="D29" s="1373">
        <f>SUM(D30:D43)</f>
        <v>1297767.4121270003</v>
      </c>
      <c r="E29" s="1373">
        <f t="shared" si="0"/>
        <v>67607.41212700028</v>
      </c>
      <c r="F29" s="1374">
        <f t="shared" ref="F29:F45" si="2">D29/C29</f>
        <v>1.0549582266753921</v>
      </c>
    </row>
    <row r="30" spans="1:6" ht="18" customHeight="1">
      <c r="A30" s="541" t="s">
        <v>4</v>
      </c>
      <c r="B30" s="1375" t="s">
        <v>110</v>
      </c>
      <c r="C30" s="1367">
        <v>19548</v>
      </c>
      <c r="D30" s="1362">
        <f>'[2]62-TT342'!F29</f>
        <v>19563.435185999999</v>
      </c>
      <c r="E30" s="1364">
        <f t="shared" si="0"/>
        <v>15.435185999998794</v>
      </c>
      <c r="F30" s="1376">
        <f t="shared" si="2"/>
        <v>1.0007896043585021</v>
      </c>
    </row>
    <row r="31" spans="1:6" ht="16.5" customHeight="1">
      <c r="A31" s="541" t="s">
        <v>4</v>
      </c>
      <c r="B31" s="1375" t="s">
        <v>111</v>
      </c>
      <c r="C31" s="1367">
        <v>11276</v>
      </c>
      <c r="D31" s="1362">
        <f>'[2]62-TT342'!F30</f>
        <v>19129.580999999998</v>
      </c>
      <c r="E31" s="1364">
        <f t="shared" si="0"/>
        <v>7853.5809999999983</v>
      </c>
      <c r="F31" s="1376">
        <f t="shared" si="2"/>
        <v>1.6964864313586376</v>
      </c>
    </row>
    <row r="32" spans="1:6" ht="17.25" customHeight="1">
      <c r="A32" s="541" t="s">
        <v>4</v>
      </c>
      <c r="B32" s="1375" t="s">
        <v>90</v>
      </c>
      <c r="C32" s="1367">
        <v>238543</v>
      </c>
      <c r="D32" s="1362">
        <f>'[2]62-TT342'!F31</f>
        <v>254494.99600899999</v>
      </c>
      <c r="E32" s="1364">
        <f t="shared" si="0"/>
        <v>15951.996008999995</v>
      </c>
      <c r="F32" s="1376">
        <f t="shared" si="2"/>
        <v>1.066872622583769</v>
      </c>
    </row>
    <row r="33" spans="1:6" ht="18" customHeight="1">
      <c r="A33" s="541" t="s">
        <v>4</v>
      </c>
      <c r="B33" s="1375" t="s">
        <v>91</v>
      </c>
      <c r="C33" s="1367">
        <v>12127</v>
      </c>
      <c r="D33" s="1362">
        <f>'[2]62-TT342'!F32</f>
        <v>9069.1242129999991</v>
      </c>
      <c r="E33" s="1364">
        <f t="shared" si="0"/>
        <v>-3057.8757870000009</v>
      </c>
      <c r="F33" s="1376">
        <f t="shared" si="2"/>
        <v>0.74784565127401659</v>
      </c>
    </row>
    <row r="34" spans="1:6" ht="18" customHeight="1">
      <c r="A34" s="541" t="s">
        <v>4</v>
      </c>
      <c r="B34" s="1375" t="s">
        <v>112</v>
      </c>
      <c r="C34" s="1367">
        <v>399754</v>
      </c>
      <c r="D34" s="1362">
        <f>'[2]62-TT342'!F33</f>
        <v>432529.49366699997</v>
      </c>
      <c r="E34" s="1364">
        <f t="shared" si="0"/>
        <v>32775.493666999973</v>
      </c>
      <c r="F34" s="1376">
        <f t="shared" si="2"/>
        <v>1.0819891574993621</v>
      </c>
    </row>
    <row r="35" spans="1:6" ht="17.25" customHeight="1">
      <c r="A35" s="541" t="s">
        <v>4</v>
      </c>
      <c r="B35" s="1375" t="s">
        <v>113</v>
      </c>
      <c r="C35" s="1367">
        <v>24103.8</v>
      </c>
      <c r="D35" s="1362">
        <f>'[2]62-TT342'!F34</f>
        <v>35934.127627000002</v>
      </c>
      <c r="E35" s="1364">
        <f t="shared" si="0"/>
        <v>11830.327627000002</v>
      </c>
      <c r="F35" s="1376">
        <f t="shared" si="2"/>
        <v>1.4908075750296634</v>
      </c>
    </row>
    <row r="36" spans="1:6" ht="18" customHeight="1">
      <c r="A36" s="541" t="s">
        <v>4</v>
      </c>
      <c r="B36" s="530" t="s">
        <v>114</v>
      </c>
      <c r="C36" s="1367">
        <v>16496</v>
      </c>
      <c r="D36" s="1362">
        <f>'[2]62-TT342'!F35</f>
        <v>16697.310000000001</v>
      </c>
      <c r="E36" s="1364">
        <f t="shared" si="0"/>
        <v>201.31000000000131</v>
      </c>
      <c r="F36" s="1376">
        <f t="shared" si="2"/>
        <v>1.012203564500485</v>
      </c>
    </row>
    <row r="37" spans="1:6" ht="18" customHeight="1">
      <c r="A37" s="541" t="s">
        <v>4</v>
      </c>
      <c r="B37" s="1375" t="s">
        <v>115</v>
      </c>
      <c r="C37" s="1367">
        <v>6100</v>
      </c>
      <c r="D37" s="1362">
        <f>'[2]62-TT342'!F36</f>
        <v>6182.7840919999999</v>
      </c>
      <c r="E37" s="1364">
        <f t="shared" si="0"/>
        <v>82.784091999999873</v>
      </c>
      <c r="F37" s="1376">
        <f t="shared" si="2"/>
        <v>1.0135711626229509</v>
      </c>
    </row>
    <row r="38" spans="1:6" ht="19.5" customHeight="1">
      <c r="A38" s="541" t="s">
        <v>4</v>
      </c>
      <c r="B38" s="1375" t="s">
        <v>116</v>
      </c>
      <c r="C38" s="1367">
        <v>18619.66</v>
      </c>
      <c r="D38" s="1362">
        <f>'[2]62-TT342'!F37</f>
        <v>17985.745865000001</v>
      </c>
      <c r="E38" s="1364">
        <f t="shared" si="0"/>
        <v>-633.91413499999908</v>
      </c>
      <c r="F38" s="1376">
        <f t="shared" si="2"/>
        <v>0.96595458053476813</v>
      </c>
    </row>
    <row r="39" spans="1:6" ht="19.5" customHeight="1">
      <c r="A39" s="541" t="s">
        <v>4</v>
      </c>
      <c r="B39" s="1375" t="s">
        <v>117</v>
      </c>
      <c r="C39" s="1367">
        <v>169656</v>
      </c>
      <c r="D39" s="1362">
        <f>'[2]62-TT342'!F38</f>
        <v>166049.21817800001</v>
      </c>
      <c r="E39" s="1364">
        <f t="shared" si="0"/>
        <v>-3606.7818219999899</v>
      </c>
      <c r="F39" s="1376">
        <f t="shared" si="2"/>
        <v>0.97874061735511864</v>
      </c>
    </row>
    <row r="40" spans="1:6" ht="33.75" customHeight="1">
      <c r="A40" s="541" t="s">
        <v>4</v>
      </c>
      <c r="B40" s="530" t="s">
        <v>1699</v>
      </c>
      <c r="C40" s="1367">
        <v>267123.54000000004</v>
      </c>
      <c r="D40" s="1362">
        <f>'[2]62-TT342'!F39</f>
        <v>286404.23726900003</v>
      </c>
      <c r="E40" s="1364">
        <f t="shared" si="0"/>
        <v>19280.697268999997</v>
      </c>
      <c r="F40" s="1376">
        <f t="shared" si="2"/>
        <v>1.0721789523641383</v>
      </c>
    </row>
    <row r="41" spans="1:6" ht="20.25" customHeight="1">
      <c r="A41" s="541" t="s">
        <v>4</v>
      </c>
      <c r="B41" s="1375" t="s">
        <v>119</v>
      </c>
      <c r="C41" s="1367">
        <v>28345</v>
      </c>
      <c r="D41" s="1362">
        <f>'[2]62-TT342'!F40</f>
        <v>30536.941030999998</v>
      </c>
      <c r="E41" s="1364">
        <f t="shared" si="0"/>
        <v>2191.9410309999985</v>
      </c>
      <c r="F41" s="1376">
        <f t="shared" si="2"/>
        <v>1.0773307825366025</v>
      </c>
    </row>
    <row r="42" spans="1:6" ht="20.25" customHeight="1">
      <c r="A42" s="541" t="s">
        <v>4</v>
      </c>
      <c r="B42" s="1375" t="s">
        <v>1700</v>
      </c>
      <c r="C42" s="1367">
        <v>14565</v>
      </c>
      <c r="D42" s="1362">
        <f>'[2]62-TT342'!F41</f>
        <v>3190.4179899999999</v>
      </c>
      <c r="E42" s="1364">
        <f t="shared" si="0"/>
        <v>-11374.58201</v>
      </c>
      <c r="F42" s="1376">
        <f t="shared" si="2"/>
        <v>0.21904689255063509</v>
      </c>
    </row>
    <row r="43" spans="1:6" ht="20.25" customHeight="1">
      <c r="A43" s="541"/>
      <c r="B43" s="1375" t="s">
        <v>2182</v>
      </c>
      <c r="C43" s="1367">
        <v>3903</v>
      </c>
      <c r="D43" s="1362">
        <f>'[2]62-TT342'!F42</f>
        <v>0</v>
      </c>
      <c r="E43" s="1364">
        <f t="shared" si="0"/>
        <v>-3903</v>
      </c>
      <c r="F43" s="1376">
        <f t="shared" si="2"/>
        <v>0</v>
      </c>
    </row>
    <row r="44" spans="1:6" ht="34.5" customHeight="1">
      <c r="A44" s="536" t="s">
        <v>8</v>
      </c>
      <c r="B44" s="537" t="s">
        <v>16</v>
      </c>
      <c r="C44" s="1377">
        <f>[2]B53a!D49</f>
        <v>548</v>
      </c>
      <c r="D44" s="1377">
        <f>[2]B53a!G49</f>
        <v>376.38898399999999</v>
      </c>
      <c r="E44" s="1373">
        <f t="shared" si="0"/>
        <v>-171.61101600000001</v>
      </c>
      <c r="F44" s="1374">
        <f t="shared" si="2"/>
        <v>0.68684121167883205</v>
      </c>
    </row>
    <row r="45" spans="1:6" ht="21.75" customHeight="1">
      <c r="A45" s="536" t="s">
        <v>9</v>
      </c>
      <c r="B45" s="537" t="s">
        <v>47</v>
      </c>
      <c r="C45" s="1377">
        <f>[2]B53a!D50</f>
        <v>1000</v>
      </c>
      <c r="D45" s="1377">
        <f>[2]B53a!G50</f>
        <v>1000</v>
      </c>
      <c r="E45" s="1373">
        <f t="shared" si="0"/>
        <v>0</v>
      </c>
      <c r="F45" s="1374">
        <f t="shared" si="2"/>
        <v>1</v>
      </c>
    </row>
    <row r="46" spans="1:6" ht="22.5" customHeight="1">
      <c r="A46" s="536" t="s">
        <v>23</v>
      </c>
      <c r="B46" s="537" t="s">
        <v>48</v>
      </c>
      <c r="C46" s="1377">
        <f>[2]B53a!D51</f>
        <v>35202</v>
      </c>
      <c r="D46" s="1377">
        <f>[2]B53a!G51</f>
        <v>0</v>
      </c>
      <c r="E46" s="1373">
        <f t="shared" si="0"/>
        <v>-35202</v>
      </c>
      <c r="F46" s="1378">
        <f>D46/C46%</f>
        <v>0</v>
      </c>
    </row>
    <row r="47" spans="1:6" ht="23.25" customHeight="1">
      <c r="A47" s="536" t="s">
        <v>96</v>
      </c>
      <c r="B47" s="537" t="s">
        <v>17</v>
      </c>
      <c r="C47" s="1379">
        <f>[2]B53a!D52</f>
        <v>0</v>
      </c>
      <c r="D47" s="1379">
        <f>[2]B53a!G52</f>
        <v>0</v>
      </c>
      <c r="E47" s="1373">
        <f t="shared" si="0"/>
        <v>0</v>
      </c>
      <c r="F47" s="1378"/>
    </row>
    <row r="48" spans="1:6" ht="23.25" customHeight="1">
      <c r="A48" s="536" t="s">
        <v>139</v>
      </c>
      <c r="B48" s="537" t="s">
        <v>229</v>
      </c>
      <c r="C48" s="1379">
        <f>[2]B53a!D53</f>
        <v>0</v>
      </c>
      <c r="D48" s="1377">
        <f>[2]B53a!G53</f>
        <v>59351.751263999999</v>
      </c>
      <c r="E48" s="1373">
        <v>0</v>
      </c>
      <c r="F48" s="1378">
        <v>0</v>
      </c>
    </row>
    <row r="49" spans="1:6" ht="26.25" customHeight="1">
      <c r="A49" s="1380" t="s">
        <v>10</v>
      </c>
      <c r="B49" s="1381" t="s">
        <v>99</v>
      </c>
      <c r="C49" s="1382">
        <f>[2]B53a!D61</f>
        <v>0</v>
      </c>
      <c r="D49" s="1382">
        <f>[2]B53a!G61</f>
        <v>897180.74841900019</v>
      </c>
      <c r="E49" s="1383"/>
      <c r="F49" s="1384"/>
    </row>
    <row r="50" spans="1:6" ht="13.5" customHeight="1">
      <c r="A50" s="1385"/>
    </row>
  </sheetData>
  <mergeCells count="11">
    <mergeCell ref="A3:F3"/>
    <mergeCell ref="A1:B1"/>
    <mergeCell ref="D1:F1"/>
    <mergeCell ref="A2:F2"/>
    <mergeCell ref="A4:F4"/>
    <mergeCell ref="E5:F5"/>
    <mergeCell ref="A6:A7"/>
    <mergeCell ref="B6:B7"/>
    <mergeCell ref="C6:C7"/>
    <mergeCell ref="D6:D7"/>
    <mergeCell ref="E6:F6"/>
  </mergeCells>
  <pageMargins left="0.45" right="0.38" top="0.49" bottom="0.54" header="0.3" footer="0.3"/>
  <pageSetup paperSize="9" scale="99" firstPageNumber="10" fitToHeight="0" orientation="portrait" useFirstPageNumber="1" r:id="rId1"/>
  <headerFooter>
    <oddFooter>&amp;R&amp;P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N78"/>
  <sheetViews>
    <sheetView zoomScaleNormal="100" workbookViewId="0">
      <pane xSplit="2" ySplit="6" topLeftCell="C7" activePane="bottomRight" state="frozen"/>
      <selection pane="topRight" activeCell="C1" sqref="C1"/>
      <selection pane="bottomLeft" activeCell="A6" sqref="A6"/>
      <selection pane="bottomRight" activeCell="M72" sqref="M72"/>
    </sheetView>
  </sheetViews>
  <sheetFormatPr defaultRowHeight="15"/>
  <cols>
    <col min="1" max="1" width="4.42578125" style="313" customWidth="1"/>
    <col min="2" max="2" width="43.42578125" style="314" customWidth="1"/>
    <col min="3" max="3" width="11.28515625" style="312" customWidth="1"/>
    <col min="4" max="5" width="10.140625" style="312" customWidth="1"/>
    <col min="6" max="6" width="10.42578125" style="312" customWidth="1"/>
    <col min="7" max="7" width="10.5703125" style="312" customWidth="1"/>
    <col min="8" max="8" width="9.42578125" style="312" customWidth="1"/>
    <col min="9" max="9" width="10.28515625" style="313" customWidth="1"/>
    <col min="10" max="10" width="9.42578125" style="313" customWidth="1"/>
    <col min="11" max="11" width="8.7109375" style="313" customWidth="1"/>
    <col min="12" max="12" width="8.5703125" style="313" customWidth="1"/>
    <col min="13" max="16384" width="9.140625" style="313"/>
  </cols>
  <sheetData>
    <row r="1" spans="1:11" ht="23.25" customHeight="1">
      <c r="A1" s="1683" t="s">
        <v>221</v>
      </c>
      <c r="B1" s="1683"/>
      <c r="I1" s="1684" t="s">
        <v>1696</v>
      </c>
      <c r="J1" s="1684"/>
      <c r="K1" s="1684"/>
    </row>
    <row r="2" spans="1:11" ht="34.5" customHeight="1">
      <c r="A2" s="1650" t="s">
        <v>1416</v>
      </c>
      <c r="B2" s="1650"/>
      <c r="C2" s="1650"/>
      <c r="D2" s="1650"/>
      <c r="E2" s="1650"/>
      <c r="F2" s="1650"/>
      <c r="G2" s="1650"/>
      <c r="H2" s="1650"/>
      <c r="I2" s="1650"/>
      <c r="J2" s="1650"/>
      <c r="K2" s="1650"/>
    </row>
    <row r="3" spans="1:11" ht="16.5" customHeight="1">
      <c r="A3" s="1648" t="e">
        <f>#REF!</f>
        <v>#REF!</v>
      </c>
      <c r="B3" s="1648"/>
      <c r="C3" s="1648"/>
      <c r="D3" s="1648"/>
      <c r="E3" s="1648"/>
      <c r="F3" s="1648"/>
      <c r="G3" s="1648"/>
      <c r="H3" s="1648"/>
      <c r="I3" s="1648"/>
      <c r="J3" s="1648"/>
      <c r="K3" s="1648"/>
    </row>
    <row r="4" spans="1:11" ht="15.75">
      <c r="K4" s="315" t="s">
        <v>5</v>
      </c>
    </row>
    <row r="5" spans="1:11" ht="18.75" customHeight="1">
      <c r="A5" s="1699" t="s">
        <v>0</v>
      </c>
      <c r="B5" s="1700" t="s">
        <v>67</v>
      </c>
      <c r="C5" s="1702" t="s">
        <v>2030</v>
      </c>
      <c r="D5" s="1702" t="s">
        <v>101</v>
      </c>
      <c r="E5" s="1702"/>
      <c r="F5" s="1702" t="s">
        <v>155</v>
      </c>
      <c r="G5" s="1702" t="s">
        <v>101</v>
      </c>
      <c r="H5" s="1702"/>
      <c r="I5" s="1699" t="s">
        <v>75</v>
      </c>
      <c r="J5" s="1699"/>
      <c r="K5" s="1699"/>
    </row>
    <row r="6" spans="1:11" ht="65.25" customHeight="1">
      <c r="A6" s="1699"/>
      <c r="B6" s="1701"/>
      <c r="C6" s="1702"/>
      <c r="D6" s="1072" t="s">
        <v>241</v>
      </c>
      <c r="E6" s="1072" t="s">
        <v>272</v>
      </c>
      <c r="F6" s="1702"/>
      <c r="G6" s="1072" t="s">
        <v>241</v>
      </c>
      <c r="H6" s="1072" t="s">
        <v>242</v>
      </c>
      <c r="I6" s="1070" t="s">
        <v>102</v>
      </c>
      <c r="J6" s="1070" t="s">
        <v>1417</v>
      </c>
      <c r="K6" s="1070" t="s">
        <v>272</v>
      </c>
    </row>
    <row r="7" spans="1:11">
      <c r="A7" s="1070" t="s">
        <v>2</v>
      </c>
      <c r="B7" s="1070" t="s">
        <v>3</v>
      </c>
      <c r="C7" s="1072" t="s">
        <v>103</v>
      </c>
      <c r="D7" s="316">
        <v>2</v>
      </c>
      <c r="E7" s="316">
        <v>3</v>
      </c>
      <c r="F7" s="1072" t="s">
        <v>104</v>
      </c>
      <c r="G7" s="316">
        <v>5</v>
      </c>
      <c r="H7" s="316">
        <v>6</v>
      </c>
      <c r="I7" s="1070" t="s">
        <v>105</v>
      </c>
      <c r="J7" s="1070" t="s">
        <v>106</v>
      </c>
      <c r="K7" s="1070" t="s">
        <v>107</v>
      </c>
    </row>
    <row r="8" spans="1:11" ht="18.75" customHeight="1">
      <c r="A8" s="1071"/>
      <c r="B8" s="1071" t="s">
        <v>1697</v>
      </c>
      <c r="C8" s="317">
        <f>C9+C58+C74</f>
        <v>3757410</v>
      </c>
      <c r="D8" s="317">
        <f t="shared" ref="D8:H8" si="0">D9+D58+D74</f>
        <v>1571595</v>
      </c>
      <c r="E8" s="317">
        <f t="shared" si="0"/>
        <v>2185815</v>
      </c>
      <c r="F8" s="317" t="e">
        <f>F9+F58+F74</f>
        <v>#REF!</v>
      </c>
      <c r="G8" s="317" t="e">
        <f>G9+G58+G74</f>
        <v>#REF!</v>
      </c>
      <c r="H8" s="317" t="e">
        <f t="shared" si="0"/>
        <v>#REF!</v>
      </c>
      <c r="I8" s="318" t="e">
        <f t="shared" ref="I8:K11" si="1">F8/C8*100</f>
        <v>#REF!</v>
      </c>
      <c r="J8" s="318" t="e">
        <f t="shared" si="1"/>
        <v>#REF!</v>
      </c>
      <c r="K8" s="318" t="e">
        <f t="shared" si="1"/>
        <v>#REF!</v>
      </c>
    </row>
    <row r="9" spans="1:11" ht="17.25" customHeight="1">
      <c r="A9" s="1070" t="s">
        <v>2</v>
      </c>
      <c r="B9" s="347" t="s">
        <v>1698</v>
      </c>
      <c r="C9" s="1072">
        <f>C10+C38+C52+C53+C54+C55+C56</f>
        <v>3462317</v>
      </c>
      <c r="D9" s="1072">
        <f t="shared" ref="D9:E9" si="2">D10+D38+D52+D53+D54+D55+D56</f>
        <v>1561586</v>
      </c>
      <c r="E9" s="1072">
        <f t="shared" si="2"/>
        <v>1900731</v>
      </c>
      <c r="F9" s="1072">
        <f>F10+F38+F52+F53+F54+F55+F56+F57</f>
        <v>3884116.209154</v>
      </c>
      <c r="G9" s="1072">
        <f>G10+G38+G52+G53+G54+G55+G56+G57</f>
        <v>1880907.4418549999</v>
      </c>
      <c r="H9" s="1072">
        <f t="shared" ref="H9" si="3">H10+H38+H52+H53+H54+H55+H56</f>
        <v>2003208.7672990002</v>
      </c>
      <c r="I9" s="318">
        <f t="shared" si="1"/>
        <v>112.18257049120575</v>
      </c>
      <c r="J9" s="318">
        <f t="shared" si="1"/>
        <v>120.44853385308269</v>
      </c>
      <c r="K9" s="318">
        <f t="shared" si="1"/>
        <v>105.39149239418941</v>
      </c>
    </row>
    <row r="10" spans="1:11" ht="17.25" customHeight="1">
      <c r="A10" s="319" t="s">
        <v>11</v>
      </c>
      <c r="B10" s="320" t="s">
        <v>73</v>
      </c>
      <c r="C10" s="321">
        <f>C11+C18+C26+C27+C28+C29+C30+C31+C32+C33+C34+C35+C36+C37</f>
        <v>582544</v>
      </c>
      <c r="D10" s="321">
        <f>D11+D18+D26+D27+D28+D29+D30+D31+D32+D33+D34+D35+D36+D37</f>
        <v>459855</v>
      </c>
      <c r="E10" s="321">
        <f>E11+E18+E26+E27+E28+E29+E30+E31+E32+E33+E34+E35+E36+E37</f>
        <v>122689</v>
      </c>
      <c r="F10" s="321">
        <f>G10+H10</f>
        <v>733507.64185499994</v>
      </c>
      <c r="G10" s="321">
        <f>G11+G18+G26+G27+G28+G29+G30+G31+G32+G33+G34+G35+G36+G37</f>
        <v>584917.64185499994</v>
      </c>
      <c r="H10" s="321">
        <f>H11+H18+H26+H27+H28+H29+H30+H31+H32+H33+H34+H35+H36+H37</f>
        <v>148590</v>
      </c>
      <c r="I10" s="318">
        <f t="shared" si="1"/>
        <v>125.91454754576476</v>
      </c>
      <c r="J10" s="318">
        <f t="shared" si="1"/>
        <v>127.19610352284958</v>
      </c>
      <c r="K10" s="318">
        <f t="shared" si="1"/>
        <v>121.11110205478894</v>
      </c>
    </row>
    <row r="11" spans="1:11" ht="17.25" customHeight="1">
      <c r="A11" s="322">
        <v>1</v>
      </c>
      <c r="B11" s="233" t="s">
        <v>2088</v>
      </c>
      <c r="C11" s="323">
        <f>D11+E11</f>
        <v>283780</v>
      </c>
      <c r="D11" s="323">
        <v>161091</v>
      </c>
      <c r="E11" s="323">
        <f>122689</f>
        <v>122689</v>
      </c>
      <c r="F11" s="324">
        <f>G11+H11</f>
        <v>310146</v>
      </c>
      <c r="G11" s="323">
        <v>163105</v>
      </c>
      <c r="H11" s="323">
        <f>147041</f>
        <v>147041</v>
      </c>
      <c r="I11" s="325">
        <f t="shared" si="1"/>
        <v>109.29100007047714</v>
      </c>
      <c r="J11" s="325">
        <f t="shared" si="1"/>
        <v>101.25022502808972</v>
      </c>
      <c r="K11" s="325">
        <f t="shared" si="1"/>
        <v>119.84856018061929</v>
      </c>
    </row>
    <row r="12" spans="1:11">
      <c r="A12" s="326"/>
      <c r="B12" s="327" t="s">
        <v>89</v>
      </c>
      <c r="C12" s="302"/>
      <c r="D12" s="302"/>
      <c r="E12" s="302"/>
      <c r="F12" s="302"/>
      <c r="G12" s="302"/>
      <c r="H12" s="302"/>
      <c r="I12" s="328"/>
      <c r="J12" s="328"/>
      <c r="K12" s="328"/>
    </row>
    <row r="13" spans="1:11">
      <c r="A13" s="326" t="s">
        <v>4</v>
      </c>
      <c r="B13" s="327" t="s">
        <v>90</v>
      </c>
      <c r="C13" s="329">
        <f t="shared" ref="C13:C14" si="4">D13+E13</f>
        <v>50000</v>
      </c>
      <c r="D13" s="302">
        <v>50000</v>
      </c>
      <c r="E13" s="302">
        <v>0</v>
      </c>
      <c r="F13" s="329">
        <f t="shared" ref="F13:F25" si="5">G13+H13</f>
        <v>116130</v>
      </c>
      <c r="G13" s="302">
        <v>48511</v>
      </c>
      <c r="H13" s="329">
        <v>67619</v>
      </c>
      <c r="I13" s="328"/>
      <c r="J13" s="328"/>
      <c r="K13" s="328"/>
    </row>
    <row r="14" spans="1:11">
      <c r="A14" s="326" t="s">
        <v>4</v>
      </c>
      <c r="B14" s="327" t="s">
        <v>91</v>
      </c>
      <c r="C14" s="329">
        <f t="shared" si="4"/>
        <v>10000</v>
      </c>
      <c r="D14" s="302">
        <v>10000</v>
      </c>
      <c r="E14" s="302">
        <v>0</v>
      </c>
      <c r="F14" s="329">
        <f t="shared" si="5"/>
        <v>8118</v>
      </c>
      <c r="G14" s="302">
        <v>8118</v>
      </c>
      <c r="H14" s="302">
        <v>0</v>
      </c>
      <c r="I14" s="328"/>
      <c r="J14" s="328"/>
      <c r="K14" s="328"/>
    </row>
    <row r="15" spans="1:11">
      <c r="A15" s="326"/>
      <c r="B15" s="327" t="s">
        <v>92</v>
      </c>
      <c r="C15" s="302"/>
      <c r="D15" s="302"/>
      <c r="E15" s="302"/>
      <c r="F15" s="302"/>
      <c r="G15" s="302"/>
      <c r="H15" s="302"/>
      <c r="I15" s="328"/>
      <c r="J15" s="328"/>
      <c r="K15" s="328"/>
    </row>
    <row r="16" spans="1:11" ht="16.5" customHeight="1">
      <c r="A16" s="326" t="s">
        <v>4</v>
      </c>
      <c r="B16" s="327" t="s">
        <v>93</v>
      </c>
      <c r="C16" s="329">
        <f t="shared" ref="C16:C38" si="6">D16+E16</f>
        <v>49500</v>
      </c>
      <c r="D16" s="302">
        <v>0</v>
      </c>
      <c r="E16" s="302">
        <v>49500</v>
      </c>
      <c r="F16" s="329">
        <f t="shared" si="5"/>
        <v>40861</v>
      </c>
      <c r="G16" s="302"/>
      <c r="H16" s="329">
        <v>40861</v>
      </c>
      <c r="I16" s="328"/>
      <c r="J16" s="328"/>
      <c r="K16" s="328"/>
    </row>
    <row r="17" spans="1:11" ht="17.25" customHeight="1">
      <c r="A17" s="326" t="s">
        <v>4</v>
      </c>
      <c r="B17" s="327" t="s">
        <v>108</v>
      </c>
      <c r="C17" s="329">
        <f t="shared" si="6"/>
        <v>13000</v>
      </c>
      <c r="D17" s="302">
        <v>13000</v>
      </c>
      <c r="E17" s="302">
        <v>0</v>
      </c>
      <c r="F17" s="329">
        <f t="shared" si="5"/>
        <v>14589</v>
      </c>
      <c r="G17" s="302">
        <v>14589</v>
      </c>
      <c r="H17" s="302"/>
      <c r="I17" s="330"/>
      <c r="J17" s="330"/>
      <c r="K17" s="330"/>
    </row>
    <row r="18" spans="1:11" ht="18" customHeight="1">
      <c r="A18" s="322">
        <v>2</v>
      </c>
      <c r="B18" s="233" t="s">
        <v>1423</v>
      </c>
      <c r="C18" s="323">
        <f>D18+E18</f>
        <v>176863</v>
      </c>
      <c r="D18" s="323">
        <f>SUM(D19:D25)</f>
        <v>176863</v>
      </c>
      <c r="E18" s="323">
        <v>0</v>
      </c>
      <c r="F18" s="323">
        <f t="shared" si="5"/>
        <v>230506.55544899998</v>
      </c>
      <c r="G18" s="323">
        <f>SUM(G19:G25)</f>
        <v>230506.55544899998</v>
      </c>
      <c r="H18" s="323"/>
      <c r="I18" s="325">
        <f t="shared" ref="I18:J18" si="7">F18/C18*100</f>
        <v>130.33056967766009</v>
      </c>
      <c r="J18" s="325">
        <f t="shared" si="7"/>
        <v>130.33056967766009</v>
      </c>
      <c r="K18" s="325"/>
    </row>
    <row r="19" spans="1:11" ht="18.75" customHeight="1">
      <c r="A19" s="326" t="s">
        <v>287</v>
      </c>
      <c r="B19" s="331" t="s">
        <v>1422</v>
      </c>
      <c r="C19" s="302">
        <f>D19+E19</f>
        <v>33400</v>
      </c>
      <c r="D19" s="302">
        <v>33400</v>
      </c>
      <c r="E19" s="302">
        <v>0</v>
      </c>
      <c r="F19" s="302">
        <f t="shared" si="5"/>
        <v>67299.586721999993</v>
      </c>
      <c r="G19" s="302">
        <v>67299.586721999993</v>
      </c>
      <c r="H19" s="302"/>
      <c r="I19" s="328"/>
      <c r="J19" s="328"/>
      <c r="K19" s="328"/>
    </row>
    <row r="20" spans="1:11" ht="27" customHeight="1">
      <c r="A20" s="326" t="s">
        <v>287</v>
      </c>
      <c r="B20" s="331" t="s">
        <v>1424</v>
      </c>
      <c r="C20" s="302">
        <f t="shared" ref="C20:C29" si="8">D20+E20</f>
        <v>20957</v>
      </c>
      <c r="D20" s="302">
        <v>20957</v>
      </c>
      <c r="E20" s="302">
        <v>0</v>
      </c>
      <c r="F20" s="302">
        <f t="shared" si="5"/>
        <v>34832.145598000003</v>
      </c>
      <c r="G20" s="302">
        <v>34832.145598000003</v>
      </c>
      <c r="H20" s="302"/>
      <c r="I20" s="328"/>
      <c r="J20" s="328"/>
      <c r="K20" s="328"/>
    </row>
    <row r="21" spans="1:11" ht="16.5" customHeight="1">
      <c r="A21" s="326" t="s">
        <v>287</v>
      </c>
      <c r="B21" s="232" t="s">
        <v>1425</v>
      </c>
      <c r="C21" s="302">
        <f t="shared" si="8"/>
        <v>4623</v>
      </c>
      <c r="D21" s="302">
        <v>4623</v>
      </c>
      <c r="E21" s="302">
        <v>0</v>
      </c>
      <c r="F21" s="302">
        <f t="shared" si="5"/>
        <v>4596.2</v>
      </c>
      <c r="G21" s="302">
        <v>4596.2</v>
      </c>
      <c r="H21" s="302"/>
      <c r="I21" s="328"/>
      <c r="J21" s="328"/>
      <c r="K21" s="328"/>
    </row>
    <row r="22" spans="1:11" ht="18.75" customHeight="1">
      <c r="A22" s="326" t="s">
        <v>287</v>
      </c>
      <c r="B22" s="232" t="s">
        <v>1426</v>
      </c>
      <c r="C22" s="302">
        <f t="shared" si="8"/>
        <v>29999.999999999996</v>
      </c>
      <c r="D22" s="302">
        <v>29999.999999999996</v>
      </c>
      <c r="E22" s="302">
        <v>0</v>
      </c>
      <c r="F22" s="302">
        <f t="shared" si="5"/>
        <v>35510.505713999999</v>
      </c>
      <c r="G22" s="302">
        <v>35510.505713999999</v>
      </c>
      <c r="H22" s="302"/>
      <c r="I22" s="328"/>
      <c r="J22" s="328"/>
      <c r="K22" s="328"/>
    </row>
    <row r="23" spans="1:11" ht="28.5" customHeight="1">
      <c r="A23" s="326" t="s">
        <v>287</v>
      </c>
      <c r="B23" s="232" t="s">
        <v>1427</v>
      </c>
      <c r="C23" s="302">
        <f t="shared" si="8"/>
        <v>5000</v>
      </c>
      <c r="D23" s="302">
        <v>5000</v>
      </c>
      <c r="E23" s="302">
        <v>0</v>
      </c>
      <c r="F23" s="302">
        <f t="shared" si="5"/>
        <v>5000</v>
      </c>
      <c r="G23" s="302">
        <v>5000</v>
      </c>
      <c r="H23" s="302"/>
      <c r="I23" s="328"/>
      <c r="J23" s="328"/>
      <c r="K23" s="328"/>
    </row>
    <row r="24" spans="1:11" ht="18" customHeight="1">
      <c r="A24" s="326" t="s">
        <v>287</v>
      </c>
      <c r="B24" s="232" t="s">
        <v>1428</v>
      </c>
      <c r="C24" s="302">
        <f t="shared" si="8"/>
        <v>72883</v>
      </c>
      <c r="D24" s="302">
        <v>72883</v>
      </c>
      <c r="E24" s="302">
        <v>0</v>
      </c>
      <c r="F24" s="302">
        <f t="shared" si="5"/>
        <v>73268.117415000001</v>
      </c>
      <c r="G24" s="302">
        <v>73268.117415000001</v>
      </c>
      <c r="H24" s="302"/>
      <c r="I24" s="328"/>
      <c r="J24" s="328"/>
      <c r="K24" s="328"/>
    </row>
    <row r="25" spans="1:11" ht="18" customHeight="1">
      <c r="A25" s="326" t="s">
        <v>287</v>
      </c>
      <c r="B25" s="232" t="s">
        <v>1429</v>
      </c>
      <c r="C25" s="302">
        <f t="shared" si="8"/>
        <v>10000</v>
      </c>
      <c r="D25" s="302">
        <v>10000</v>
      </c>
      <c r="E25" s="302">
        <v>0</v>
      </c>
      <c r="F25" s="302">
        <f t="shared" si="5"/>
        <v>10000</v>
      </c>
      <c r="G25" s="302">
        <v>10000</v>
      </c>
      <c r="H25" s="302"/>
      <c r="I25" s="330"/>
      <c r="J25" s="330"/>
      <c r="K25" s="330"/>
    </row>
    <row r="26" spans="1:11" ht="18" customHeight="1">
      <c r="A26" s="322">
        <v>3</v>
      </c>
      <c r="B26" s="332" t="s">
        <v>1430</v>
      </c>
      <c r="C26" s="323">
        <f t="shared" si="8"/>
        <v>105521</v>
      </c>
      <c r="D26" s="323">
        <v>105521</v>
      </c>
      <c r="E26" s="323">
        <v>0</v>
      </c>
      <c r="F26" s="323">
        <f>G26+H26</f>
        <v>105538</v>
      </c>
      <c r="G26" s="323">
        <v>105538</v>
      </c>
      <c r="H26" s="323"/>
      <c r="I26" s="325">
        <f>F26/C26*100</f>
        <v>100.01611053723903</v>
      </c>
      <c r="J26" s="325">
        <f>G26/D26*100</f>
        <v>100.01611053723903</v>
      </c>
      <c r="K26" s="325"/>
    </row>
    <row r="27" spans="1:11" ht="16.5" customHeight="1">
      <c r="A27" s="322">
        <v>4</v>
      </c>
      <c r="B27" s="233" t="s">
        <v>1431</v>
      </c>
      <c r="C27" s="323">
        <f t="shared" si="8"/>
        <v>0</v>
      </c>
      <c r="D27" s="323">
        <v>0</v>
      </c>
      <c r="E27" s="323">
        <v>0</v>
      </c>
      <c r="F27" s="323">
        <f>G27+H27</f>
        <v>55204.370258000003</v>
      </c>
      <c r="G27" s="323">
        <v>55204.370258000003</v>
      </c>
      <c r="H27" s="323"/>
      <c r="I27" s="333"/>
      <c r="J27" s="333"/>
      <c r="K27" s="333"/>
    </row>
    <row r="28" spans="1:11" ht="18.75" customHeight="1">
      <c r="A28" s="322">
        <v>5</v>
      </c>
      <c r="B28" s="233" t="s">
        <v>1435</v>
      </c>
      <c r="C28" s="323">
        <f t="shared" si="8"/>
        <v>0</v>
      </c>
      <c r="D28" s="323">
        <v>0</v>
      </c>
      <c r="E28" s="323">
        <v>0</v>
      </c>
      <c r="F28" s="323">
        <f>G28+H28</f>
        <v>11267.762000000001</v>
      </c>
      <c r="G28" s="323">
        <v>11267.762000000001</v>
      </c>
      <c r="H28" s="323"/>
      <c r="I28" s="333"/>
      <c r="J28" s="333"/>
      <c r="K28" s="333"/>
    </row>
    <row r="29" spans="1:11" ht="19.5" customHeight="1">
      <c r="A29" s="322">
        <v>6</v>
      </c>
      <c r="B29" s="233" t="s">
        <v>1437</v>
      </c>
      <c r="C29" s="323">
        <f t="shared" si="8"/>
        <v>0</v>
      </c>
      <c r="D29" s="323">
        <v>0</v>
      </c>
      <c r="E29" s="323">
        <v>0</v>
      </c>
      <c r="F29" s="323">
        <f>G29+H29</f>
        <v>519.31550000000004</v>
      </c>
      <c r="G29" s="323">
        <v>519.31550000000004</v>
      </c>
      <c r="H29" s="323"/>
      <c r="I29" s="333"/>
      <c r="J29" s="333"/>
      <c r="K29" s="333"/>
    </row>
    <row r="30" spans="1:11" ht="18.75" customHeight="1">
      <c r="A30" s="322">
        <v>7</v>
      </c>
      <c r="B30" s="334" t="s">
        <v>1486</v>
      </c>
      <c r="C30" s="323">
        <v>0</v>
      </c>
      <c r="D30" s="323">
        <v>0</v>
      </c>
      <c r="E30" s="323"/>
      <c r="F30" s="323">
        <f>G30+H30</f>
        <v>1549</v>
      </c>
      <c r="G30" s="323">
        <v>0</v>
      </c>
      <c r="H30" s="323">
        <v>1549</v>
      </c>
      <c r="I30" s="333"/>
      <c r="J30" s="333"/>
      <c r="K30" s="333"/>
    </row>
    <row r="31" spans="1:11" ht="18.75" customHeight="1">
      <c r="A31" s="322">
        <v>8</v>
      </c>
      <c r="B31" s="233" t="s">
        <v>1477</v>
      </c>
      <c r="C31" s="323">
        <f t="shared" ref="C31:C34" si="9">D31+E31</f>
        <v>0</v>
      </c>
      <c r="D31" s="323">
        <v>0</v>
      </c>
      <c r="E31" s="323">
        <v>0</v>
      </c>
      <c r="F31" s="323">
        <f t="shared" ref="F31:F34" si="10">G31+H31</f>
        <v>1180.6386480000001</v>
      </c>
      <c r="G31" s="323">
        <v>1180.6386480000001</v>
      </c>
      <c r="H31" s="323"/>
      <c r="I31" s="333"/>
      <c r="J31" s="333"/>
      <c r="K31" s="333"/>
    </row>
    <row r="32" spans="1:11" ht="18.75" customHeight="1">
      <c r="A32" s="322">
        <v>9</v>
      </c>
      <c r="B32" s="233" t="s">
        <v>1480</v>
      </c>
      <c r="C32" s="323">
        <f t="shared" si="9"/>
        <v>0</v>
      </c>
      <c r="D32" s="323">
        <v>0</v>
      </c>
      <c r="E32" s="323">
        <v>0</v>
      </c>
      <c r="F32" s="323">
        <f t="shared" si="10"/>
        <v>945</v>
      </c>
      <c r="G32" s="323">
        <v>945</v>
      </c>
      <c r="H32" s="323"/>
      <c r="I32" s="333"/>
      <c r="J32" s="333"/>
      <c r="K32" s="333"/>
    </row>
    <row r="33" spans="1:12" ht="18.75" customHeight="1">
      <c r="A33" s="322">
        <v>10</v>
      </c>
      <c r="B33" s="233" t="s">
        <v>1482</v>
      </c>
      <c r="C33" s="323">
        <f t="shared" si="9"/>
        <v>0</v>
      </c>
      <c r="D33" s="323">
        <v>0</v>
      </c>
      <c r="E33" s="323">
        <v>0</v>
      </c>
      <c r="F33" s="323">
        <f t="shared" si="10"/>
        <v>441</v>
      </c>
      <c r="G33" s="323">
        <v>441</v>
      </c>
      <c r="H33" s="323"/>
      <c r="I33" s="333"/>
      <c r="J33" s="333"/>
      <c r="K33" s="333"/>
    </row>
    <row r="34" spans="1:12" ht="18.75" customHeight="1">
      <c r="A34" s="322">
        <v>11</v>
      </c>
      <c r="B34" s="233" t="s">
        <v>1484</v>
      </c>
      <c r="C34" s="323">
        <f t="shared" si="9"/>
        <v>0</v>
      </c>
      <c r="D34" s="323">
        <v>0</v>
      </c>
      <c r="E34" s="323">
        <v>0</v>
      </c>
      <c r="F34" s="323">
        <f t="shared" si="10"/>
        <v>1016</v>
      </c>
      <c r="G34" s="323">
        <v>1016</v>
      </c>
      <c r="H34" s="323"/>
      <c r="I34" s="335"/>
      <c r="J34" s="335"/>
      <c r="K34" s="335"/>
    </row>
    <row r="35" spans="1:12" ht="59.25" customHeight="1">
      <c r="A35" s="322">
        <v>12</v>
      </c>
      <c r="B35" s="233" t="s">
        <v>94</v>
      </c>
      <c r="C35" s="323">
        <f t="shared" si="6"/>
        <v>5500</v>
      </c>
      <c r="D35" s="323">
        <v>5500</v>
      </c>
      <c r="E35" s="323">
        <v>0</v>
      </c>
      <c r="F35" s="323">
        <f>G35+H35</f>
        <v>11500</v>
      </c>
      <c r="G35" s="323">
        <v>11500</v>
      </c>
      <c r="H35" s="323">
        <v>0</v>
      </c>
      <c r="I35" s="325">
        <f t="shared" ref="I35:J37" si="11">F35/C35*100</f>
        <v>209.09090909090909</v>
      </c>
      <c r="J35" s="325">
        <f t="shared" si="11"/>
        <v>209.09090909090909</v>
      </c>
      <c r="K35" s="325"/>
    </row>
    <row r="36" spans="1:12" ht="22.5" customHeight="1">
      <c r="A36" s="322">
        <v>13</v>
      </c>
      <c r="B36" s="233" t="s">
        <v>1478</v>
      </c>
      <c r="C36" s="323">
        <f t="shared" si="6"/>
        <v>9880</v>
      </c>
      <c r="D36" s="323">
        <v>9880</v>
      </c>
      <c r="E36" s="323">
        <v>0</v>
      </c>
      <c r="F36" s="323">
        <f t="shared" ref="F36:F37" si="12">G36+H36</f>
        <v>3694</v>
      </c>
      <c r="G36" s="323">
        <v>3694</v>
      </c>
      <c r="H36" s="323">
        <v>0</v>
      </c>
      <c r="I36" s="325">
        <f t="shared" si="11"/>
        <v>37.388663967611336</v>
      </c>
      <c r="J36" s="325">
        <f t="shared" si="11"/>
        <v>37.388663967611336</v>
      </c>
      <c r="K36" s="325"/>
    </row>
    <row r="37" spans="1:12" ht="22.5" customHeight="1">
      <c r="A37" s="322">
        <v>14</v>
      </c>
      <c r="B37" s="233" t="s">
        <v>95</v>
      </c>
      <c r="C37" s="323">
        <f t="shared" si="6"/>
        <v>1000</v>
      </c>
      <c r="D37" s="323">
        <v>1000</v>
      </c>
      <c r="E37" s="323">
        <v>0</v>
      </c>
      <c r="F37" s="323">
        <f t="shared" si="12"/>
        <v>0</v>
      </c>
      <c r="G37" s="323">
        <v>0</v>
      </c>
      <c r="H37" s="323">
        <v>0</v>
      </c>
      <c r="I37" s="325">
        <f t="shared" si="11"/>
        <v>0</v>
      </c>
      <c r="J37" s="325">
        <f t="shared" si="11"/>
        <v>0</v>
      </c>
      <c r="K37" s="325"/>
    </row>
    <row r="38" spans="1:12" ht="21" customHeight="1">
      <c r="A38" s="336" t="s">
        <v>7</v>
      </c>
      <c r="B38" s="337" t="s">
        <v>15</v>
      </c>
      <c r="C38" s="324">
        <f t="shared" si="6"/>
        <v>2810503</v>
      </c>
      <c r="D38" s="324">
        <f>SUM(D39:D51)</f>
        <v>1069618</v>
      </c>
      <c r="E38" s="324">
        <f>SUM(E39:E51)</f>
        <v>1740885</v>
      </c>
      <c r="F38" s="324">
        <f>G38+H38</f>
        <v>2954408.567299</v>
      </c>
      <c r="G38" s="324">
        <f>SUM(G39:G51)</f>
        <v>1127904.8</v>
      </c>
      <c r="H38" s="324">
        <f>SUM(H39:H51)</f>
        <v>1826503.7672990002</v>
      </c>
      <c r="I38" s="342">
        <f>F38/C38*100</f>
        <v>105.12027801781389</v>
      </c>
      <c r="J38" s="342">
        <f>G38/D38*100</f>
        <v>105.44930994055821</v>
      </c>
      <c r="K38" s="342">
        <f>H38/E38*100</f>
        <v>104.91811735404694</v>
      </c>
      <c r="L38" s="312"/>
    </row>
    <row r="39" spans="1:12" ht="21" customHeight="1">
      <c r="A39" s="326">
        <v>1</v>
      </c>
      <c r="B39" s="597" t="s">
        <v>110</v>
      </c>
      <c r="C39" s="302">
        <f>D39+E39</f>
        <v>57525</v>
      </c>
      <c r="D39" s="302">
        <v>18191</v>
      </c>
      <c r="E39" s="302">
        <v>39334</v>
      </c>
      <c r="F39" s="302">
        <f t="shared" ref="F39:F61" si="13">G39+H39</f>
        <v>78158</v>
      </c>
      <c r="G39" s="599">
        <v>19642</v>
      </c>
      <c r="H39" s="302">
        <v>58516</v>
      </c>
      <c r="I39" s="596">
        <f t="shared" ref="I39:K54" si="14">F39/C39*100</f>
        <v>135.86788352890048</v>
      </c>
      <c r="J39" s="596">
        <f t="shared" si="14"/>
        <v>107.97647188169974</v>
      </c>
      <c r="K39" s="596">
        <f t="shared" si="14"/>
        <v>148.76697005135506</v>
      </c>
      <c r="L39" s="312"/>
    </row>
    <row r="40" spans="1:12" ht="21" customHeight="1">
      <c r="A40" s="326">
        <v>2</v>
      </c>
      <c r="B40" s="597" t="s">
        <v>111</v>
      </c>
      <c r="C40" s="302">
        <f t="shared" ref="C40:C56" si="15">D40+E40</f>
        <v>13828</v>
      </c>
      <c r="D40" s="302">
        <v>7646</v>
      </c>
      <c r="E40" s="302">
        <v>6182</v>
      </c>
      <c r="F40" s="302">
        <f t="shared" si="13"/>
        <v>38888</v>
      </c>
      <c r="G40" s="599">
        <v>12889</v>
      </c>
      <c r="H40" s="302">
        <v>25999</v>
      </c>
      <c r="I40" s="596">
        <f t="shared" si="14"/>
        <v>281.22649696268439</v>
      </c>
      <c r="J40" s="596">
        <f t="shared" si="14"/>
        <v>168.57180224954226</v>
      </c>
      <c r="K40" s="596">
        <f t="shared" si="14"/>
        <v>420.55968942089936</v>
      </c>
      <c r="L40" s="312"/>
    </row>
    <row r="41" spans="1:12" ht="21" customHeight="1">
      <c r="A41" s="326">
        <v>3</v>
      </c>
      <c r="B41" s="597" t="s">
        <v>90</v>
      </c>
      <c r="C41" s="302">
        <f t="shared" si="15"/>
        <v>1112479</v>
      </c>
      <c r="D41" s="302">
        <v>221562</v>
      </c>
      <c r="E41" s="302">
        <v>890917</v>
      </c>
      <c r="F41" s="302">
        <f t="shared" si="13"/>
        <v>1151833.3999999999</v>
      </c>
      <c r="G41" s="599">
        <v>233210</v>
      </c>
      <c r="H41" s="302">
        <v>918623.4</v>
      </c>
      <c r="I41" s="596">
        <f t="shared" si="14"/>
        <v>103.53754093335694</v>
      </c>
      <c r="J41" s="596">
        <f t="shared" si="14"/>
        <v>105.25721919823796</v>
      </c>
      <c r="K41" s="596">
        <f t="shared" si="14"/>
        <v>103.10987443274739</v>
      </c>
      <c r="L41" s="312"/>
    </row>
    <row r="42" spans="1:12" ht="21" customHeight="1">
      <c r="A42" s="326">
        <v>4</v>
      </c>
      <c r="B42" s="597" t="s">
        <v>91</v>
      </c>
      <c r="C42" s="302">
        <f t="shared" si="15"/>
        <v>12580</v>
      </c>
      <c r="D42" s="302">
        <v>12580</v>
      </c>
      <c r="E42" s="302">
        <v>0</v>
      </c>
      <c r="F42" s="302">
        <f t="shared" si="13"/>
        <v>11966</v>
      </c>
      <c r="G42" s="599">
        <v>11767</v>
      </c>
      <c r="H42" s="302">
        <v>199</v>
      </c>
      <c r="I42" s="596">
        <f t="shared" si="14"/>
        <v>95.119236883942776</v>
      </c>
      <c r="J42" s="596">
        <f t="shared" si="14"/>
        <v>93.537360890302068</v>
      </c>
      <c r="K42" s="596">
        <v>0</v>
      </c>
      <c r="L42" s="312"/>
    </row>
    <row r="43" spans="1:12" ht="21" customHeight="1">
      <c r="A43" s="326">
        <v>5</v>
      </c>
      <c r="B43" s="597" t="s">
        <v>112</v>
      </c>
      <c r="C43" s="302">
        <f t="shared" si="15"/>
        <v>327823</v>
      </c>
      <c r="D43" s="302">
        <v>327823</v>
      </c>
      <c r="E43" s="302">
        <v>0</v>
      </c>
      <c r="F43" s="302">
        <f t="shared" si="13"/>
        <v>318593</v>
      </c>
      <c r="G43" s="599">
        <v>318182</v>
      </c>
      <c r="H43" s="302">
        <v>411</v>
      </c>
      <c r="I43" s="596">
        <f t="shared" si="14"/>
        <v>97.184456246206025</v>
      </c>
      <c r="J43" s="596">
        <f t="shared" si="14"/>
        <v>97.059083712857245</v>
      </c>
      <c r="K43" s="596">
        <v>0</v>
      </c>
      <c r="L43" s="312"/>
    </row>
    <row r="44" spans="1:12" ht="21" customHeight="1">
      <c r="A44" s="326">
        <v>6</v>
      </c>
      <c r="B44" s="597" t="s">
        <v>113</v>
      </c>
      <c r="C44" s="302">
        <f t="shared" si="15"/>
        <v>26556</v>
      </c>
      <c r="D44" s="302">
        <v>18858</v>
      </c>
      <c r="E44" s="302">
        <v>7698</v>
      </c>
      <c r="F44" s="302">
        <f t="shared" si="13"/>
        <v>34685</v>
      </c>
      <c r="G44" s="599">
        <v>20835</v>
      </c>
      <c r="H44" s="302">
        <v>13850</v>
      </c>
      <c r="I44" s="596">
        <f t="shared" si="14"/>
        <v>130.61078475674049</v>
      </c>
      <c r="J44" s="596">
        <f t="shared" si="14"/>
        <v>110.4836143811645</v>
      </c>
      <c r="K44" s="596">
        <f t="shared" si="14"/>
        <v>179.91686152247337</v>
      </c>
      <c r="L44" s="312"/>
    </row>
    <row r="45" spans="1:12" ht="21" customHeight="1">
      <c r="A45" s="326">
        <v>7</v>
      </c>
      <c r="B45" s="598" t="s">
        <v>114</v>
      </c>
      <c r="C45" s="302">
        <f t="shared" si="15"/>
        <v>26716</v>
      </c>
      <c r="D45" s="302">
        <v>16556</v>
      </c>
      <c r="E45" s="302">
        <v>10160</v>
      </c>
      <c r="F45" s="302">
        <f t="shared" si="13"/>
        <v>24834</v>
      </c>
      <c r="G45" s="599">
        <v>16621</v>
      </c>
      <c r="H45" s="302">
        <v>8213</v>
      </c>
      <c r="I45" s="596">
        <f t="shared" si="14"/>
        <v>92.955532265309188</v>
      </c>
      <c r="J45" s="596">
        <f t="shared" si="14"/>
        <v>100.39260690988161</v>
      </c>
      <c r="K45" s="596">
        <f t="shared" si="14"/>
        <v>80.836614173228355</v>
      </c>
      <c r="L45" s="312"/>
    </row>
    <row r="46" spans="1:12" ht="21" customHeight="1">
      <c r="A46" s="326">
        <v>8</v>
      </c>
      <c r="B46" s="597" t="s">
        <v>115</v>
      </c>
      <c r="C46" s="302">
        <f t="shared" si="15"/>
        <v>5145</v>
      </c>
      <c r="D46" s="302">
        <v>4046</v>
      </c>
      <c r="E46" s="302">
        <v>1099</v>
      </c>
      <c r="F46" s="302">
        <f t="shared" si="13"/>
        <v>10329</v>
      </c>
      <c r="G46" s="599">
        <v>4521</v>
      </c>
      <c r="H46" s="302">
        <v>5808</v>
      </c>
      <c r="I46" s="596">
        <f t="shared" si="14"/>
        <v>200.75801749271136</v>
      </c>
      <c r="J46" s="596">
        <f t="shared" si="14"/>
        <v>111.73999011369253</v>
      </c>
      <c r="K46" s="596">
        <f t="shared" si="14"/>
        <v>528.48043676069153</v>
      </c>
      <c r="L46" s="312"/>
    </row>
    <row r="47" spans="1:12" ht="21" customHeight="1">
      <c r="A47" s="326">
        <v>9</v>
      </c>
      <c r="B47" s="597" t="s">
        <v>116</v>
      </c>
      <c r="C47" s="302">
        <f t="shared" si="15"/>
        <v>24683</v>
      </c>
      <c r="D47" s="302">
        <v>18483</v>
      </c>
      <c r="E47" s="302">
        <v>6200</v>
      </c>
      <c r="F47" s="302">
        <f t="shared" si="13"/>
        <v>39247.6345</v>
      </c>
      <c r="G47" s="599">
        <v>37242</v>
      </c>
      <c r="H47" s="302">
        <v>2005.6344999999999</v>
      </c>
      <c r="I47" s="596">
        <f t="shared" si="14"/>
        <v>159.00674350767733</v>
      </c>
      <c r="J47" s="596">
        <f t="shared" si="14"/>
        <v>201.49326408050641</v>
      </c>
      <c r="K47" s="596">
        <f t="shared" si="14"/>
        <v>32.348943548387091</v>
      </c>
      <c r="L47" s="312"/>
    </row>
    <row r="48" spans="1:12" ht="18.75" customHeight="1">
      <c r="A48" s="326">
        <v>10</v>
      </c>
      <c r="B48" s="597" t="s">
        <v>117</v>
      </c>
      <c r="C48" s="302">
        <f t="shared" si="15"/>
        <v>284544</v>
      </c>
      <c r="D48" s="302">
        <v>173214</v>
      </c>
      <c r="E48" s="302">
        <v>111330</v>
      </c>
      <c r="F48" s="302">
        <f>G48+H48</f>
        <v>263658.95759900002</v>
      </c>
      <c r="G48" s="599">
        <v>177987</v>
      </c>
      <c r="H48" s="302">
        <v>85671.957599000001</v>
      </c>
      <c r="I48" s="596">
        <f t="shared" si="14"/>
        <v>92.660171220971094</v>
      </c>
      <c r="J48" s="596">
        <f t="shared" si="14"/>
        <v>102.75555093699124</v>
      </c>
      <c r="K48" s="596">
        <f t="shared" si="14"/>
        <v>76.953164105811553</v>
      </c>
      <c r="L48" s="312"/>
    </row>
    <row r="49" spans="1:12" ht="22.5" customHeight="1">
      <c r="A49" s="326">
        <v>11</v>
      </c>
      <c r="B49" s="598" t="s">
        <v>1699</v>
      </c>
      <c r="C49" s="302">
        <f t="shared" si="15"/>
        <v>835804</v>
      </c>
      <c r="D49" s="302">
        <v>242383</v>
      </c>
      <c r="E49" s="302">
        <v>593421</v>
      </c>
      <c r="F49" s="302">
        <f t="shared" si="13"/>
        <v>873014.57520000008</v>
      </c>
      <c r="G49" s="599">
        <v>259339.8</v>
      </c>
      <c r="H49" s="302">
        <v>613674.77520000003</v>
      </c>
      <c r="I49" s="596">
        <f t="shared" si="14"/>
        <v>104.45206952826263</v>
      </c>
      <c r="J49" s="596">
        <f t="shared" si="14"/>
        <v>106.99587017241308</v>
      </c>
      <c r="K49" s="596">
        <f t="shared" si="14"/>
        <v>103.41305332976083</v>
      </c>
    </row>
    <row r="50" spans="1:12" ht="18.75" customHeight="1">
      <c r="A50" s="326">
        <v>12</v>
      </c>
      <c r="B50" s="597" t="s">
        <v>119</v>
      </c>
      <c r="C50" s="302">
        <f t="shared" si="15"/>
        <v>74157</v>
      </c>
      <c r="D50" s="302">
        <v>8276</v>
      </c>
      <c r="E50" s="302">
        <v>65881</v>
      </c>
      <c r="F50" s="302">
        <f t="shared" si="13"/>
        <v>90831</v>
      </c>
      <c r="G50" s="599">
        <v>9758</v>
      </c>
      <c r="H50" s="340">
        <v>81073</v>
      </c>
      <c r="I50" s="596">
        <f t="shared" si="14"/>
        <v>122.48472834661597</v>
      </c>
      <c r="J50" s="596">
        <f t="shared" si="14"/>
        <v>117.90720154664089</v>
      </c>
      <c r="K50" s="596">
        <f t="shared" si="14"/>
        <v>123.05975926291343</v>
      </c>
      <c r="L50" s="312"/>
    </row>
    <row r="51" spans="1:12" ht="18" customHeight="1">
      <c r="A51" s="326">
        <v>13</v>
      </c>
      <c r="B51" s="597" t="s">
        <v>1700</v>
      </c>
      <c r="C51" s="302">
        <f t="shared" si="15"/>
        <v>8663</v>
      </c>
      <c r="D51" s="302">
        <v>0</v>
      </c>
      <c r="E51" s="302">
        <v>8663</v>
      </c>
      <c r="F51" s="302">
        <f t="shared" si="13"/>
        <v>18370</v>
      </c>
      <c r="G51" s="599">
        <v>5911</v>
      </c>
      <c r="H51" s="302">
        <v>12459</v>
      </c>
      <c r="I51" s="339">
        <f t="shared" si="14"/>
        <v>212.05125245296088</v>
      </c>
      <c r="J51" s="339"/>
      <c r="K51" s="339">
        <f t="shared" si="14"/>
        <v>143.8185386124899</v>
      </c>
      <c r="L51" s="595"/>
    </row>
    <row r="52" spans="1:12" ht="21" customHeight="1">
      <c r="A52" s="336" t="s">
        <v>8</v>
      </c>
      <c r="B52" s="320" t="s">
        <v>16</v>
      </c>
      <c r="C52" s="324">
        <f t="shared" si="15"/>
        <v>1800</v>
      </c>
      <c r="D52" s="302">
        <v>1800</v>
      </c>
      <c r="E52" s="302">
        <v>0</v>
      </c>
      <c r="F52" s="324">
        <f t="shared" si="13"/>
        <v>1735</v>
      </c>
      <c r="G52" s="341">
        <v>1735</v>
      </c>
      <c r="H52" s="302">
        <v>0</v>
      </c>
      <c r="I52" s="342">
        <f t="shared" si="14"/>
        <v>96.388888888888886</v>
      </c>
      <c r="J52" s="342">
        <f t="shared" si="14"/>
        <v>96.388888888888886</v>
      </c>
      <c r="K52" s="342">
        <v>0</v>
      </c>
      <c r="L52" s="595"/>
    </row>
    <row r="53" spans="1:12" ht="21" customHeight="1">
      <c r="A53" s="336" t="s">
        <v>9</v>
      </c>
      <c r="B53" s="343" t="s">
        <v>47</v>
      </c>
      <c r="C53" s="324">
        <f t="shared" si="15"/>
        <v>1000</v>
      </c>
      <c r="D53" s="302">
        <v>1000</v>
      </c>
      <c r="E53" s="324">
        <v>0</v>
      </c>
      <c r="F53" s="324">
        <f t="shared" si="13"/>
        <v>1000</v>
      </c>
      <c r="G53" s="302">
        <v>1000</v>
      </c>
      <c r="H53" s="324">
        <v>0</v>
      </c>
      <c r="I53" s="342">
        <f t="shared" si="14"/>
        <v>100</v>
      </c>
      <c r="J53" s="342">
        <f t="shared" si="14"/>
        <v>100</v>
      </c>
      <c r="K53" s="342">
        <v>0</v>
      </c>
      <c r="L53" s="595"/>
    </row>
    <row r="54" spans="1:12" ht="19.5" customHeight="1">
      <c r="A54" s="336" t="s">
        <v>23</v>
      </c>
      <c r="B54" s="343" t="s">
        <v>48</v>
      </c>
      <c r="C54" s="324">
        <f t="shared" si="15"/>
        <v>66470</v>
      </c>
      <c r="D54" s="302">
        <v>29313</v>
      </c>
      <c r="E54" s="302">
        <v>37157</v>
      </c>
      <c r="F54" s="324">
        <f t="shared" si="13"/>
        <v>0</v>
      </c>
      <c r="G54" s="324">
        <v>0</v>
      </c>
      <c r="H54" s="324">
        <v>0</v>
      </c>
      <c r="I54" s="338">
        <f t="shared" si="14"/>
        <v>0</v>
      </c>
      <c r="J54" s="338">
        <f t="shared" si="14"/>
        <v>0</v>
      </c>
      <c r="K54" s="338">
        <f>H54/E54*100</f>
        <v>0</v>
      </c>
    </row>
    <row r="55" spans="1:12" ht="18.75" customHeight="1">
      <c r="A55" s="336" t="s">
        <v>96</v>
      </c>
      <c r="B55" s="343" t="s">
        <v>17</v>
      </c>
      <c r="C55" s="324">
        <f t="shared" si="15"/>
        <v>0</v>
      </c>
      <c r="D55" s="302">
        <v>0</v>
      </c>
      <c r="E55" s="302">
        <v>0</v>
      </c>
      <c r="F55" s="324">
        <f t="shared" si="13"/>
        <v>0</v>
      </c>
      <c r="G55" s="302">
        <v>0</v>
      </c>
      <c r="H55" s="302">
        <v>0</v>
      </c>
      <c r="I55" s="344"/>
      <c r="J55" s="344"/>
      <c r="K55" s="344"/>
    </row>
    <row r="56" spans="1:12" ht="21" customHeight="1">
      <c r="A56" s="336" t="s">
        <v>139</v>
      </c>
      <c r="B56" s="343" t="s">
        <v>229</v>
      </c>
      <c r="C56" s="324">
        <f t="shared" si="15"/>
        <v>0</v>
      </c>
      <c r="D56" s="302">
        <v>0</v>
      </c>
      <c r="E56" s="302">
        <v>0</v>
      </c>
      <c r="F56" s="324">
        <f t="shared" si="13"/>
        <v>35765</v>
      </c>
      <c r="G56" s="324">
        <v>7650</v>
      </c>
      <c r="H56" s="324">
        <v>28115</v>
      </c>
      <c r="I56" s="344"/>
      <c r="J56" s="344"/>
      <c r="K56" s="344"/>
    </row>
    <row r="57" spans="1:12" ht="22.5" customHeight="1">
      <c r="A57" s="1064" t="s">
        <v>504</v>
      </c>
      <c r="B57" s="1065" t="s">
        <v>1967</v>
      </c>
      <c r="C57" s="1066">
        <v>0</v>
      </c>
      <c r="D57" s="1067">
        <v>0</v>
      </c>
      <c r="E57" s="1067">
        <v>0</v>
      </c>
      <c r="F57" s="1066">
        <v>157700</v>
      </c>
      <c r="G57" s="1066">
        <v>157700</v>
      </c>
      <c r="H57" s="1066">
        <v>0</v>
      </c>
      <c r="I57" s="1068"/>
      <c r="J57" s="1068"/>
      <c r="K57" s="1068"/>
    </row>
    <row r="58" spans="1:12" ht="25.5" customHeight="1">
      <c r="A58" s="1070" t="s">
        <v>3</v>
      </c>
      <c r="B58" s="347" t="s">
        <v>1701</v>
      </c>
      <c r="C58" s="1072">
        <f>C59+C62+C65+C68+C71</f>
        <v>295093</v>
      </c>
      <c r="D58" s="1072">
        <f t="shared" ref="D58:E58" si="16">D59+D62+D65+D68+D71</f>
        <v>10009</v>
      </c>
      <c r="E58" s="1072">
        <f t="shared" si="16"/>
        <v>285084</v>
      </c>
      <c r="F58" s="1072" t="e">
        <f t="shared" si="13"/>
        <v>#REF!</v>
      </c>
      <c r="G58" s="1072" t="e">
        <f>G59+G62+G65+G68+G71</f>
        <v>#REF!</v>
      </c>
      <c r="H58" s="1072" t="e">
        <f>H59+H62+H65+H68+H71</f>
        <v>#REF!</v>
      </c>
      <c r="I58" s="348" t="e">
        <f t="shared" ref="I58:K59" si="17">F58/C58*100</f>
        <v>#REF!</v>
      </c>
      <c r="J58" s="348" t="e">
        <f t="shared" si="17"/>
        <v>#REF!</v>
      </c>
      <c r="K58" s="348" t="e">
        <f t="shared" si="17"/>
        <v>#REF!</v>
      </c>
    </row>
    <row r="59" spans="1:12" ht="18.75" customHeight="1">
      <c r="A59" s="322">
        <v>1</v>
      </c>
      <c r="B59" s="349" t="s">
        <v>1419</v>
      </c>
      <c r="C59" s="323">
        <f>D59+E59</f>
        <v>157283</v>
      </c>
      <c r="D59" s="323">
        <f t="shared" ref="D59:H59" si="18">D60+D61</f>
        <v>2339</v>
      </c>
      <c r="E59" s="323">
        <f t="shared" si="18"/>
        <v>154944</v>
      </c>
      <c r="F59" s="323" t="e">
        <f t="shared" si="13"/>
        <v>#REF!</v>
      </c>
      <c r="G59" s="323" t="e">
        <f t="shared" si="18"/>
        <v>#REF!</v>
      </c>
      <c r="H59" s="323" t="e">
        <f t="shared" si="18"/>
        <v>#REF!</v>
      </c>
      <c r="I59" s="350" t="e">
        <f t="shared" si="17"/>
        <v>#REF!</v>
      </c>
      <c r="J59" s="350" t="e">
        <f t="shared" si="17"/>
        <v>#REF!</v>
      </c>
      <c r="K59" s="350" t="e">
        <f t="shared" si="17"/>
        <v>#REF!</v>
      </c>
    </row>
    <row r="60" spans="1:12" ht="15.75" customHeight="1">
      <c r="A60" s="326" t="s">
        <v>30</v>
      </c>
      <c r="B60" s="331" t="s">
        <v>1420</v>
      </c>
      <c r="C60" s="302">
        <f>D60+E60</f>
        <v>112555</v>
      </c>
      <c r="D60" s="302">
        <v>0</v>
      </c>
      <c r="E60" s="302">
        <v>112555</v>
      </c>
      <c r="F60" s="302" t="e">
        <f t="shared" si="13"/>
        <v>#REF!</v>
      </c>
      <c r="G60" s="302">
        <v>0</v>
      </c>
      <c r="H60" s="302" t="e">
        <f>#REF!</f>
        <v>#REF!</v>
      </c>
      <c r="I60" s="328"/>
      <c r="J60" s="328"/>
      <c r="K60" s="328"/>
    </row>
    <row r="61" spans="1:12">
      <c r="A61" s="326" t="s">
        <v>31</v>
      </c>
      <c r="B61" s="351" t="s">
        <v>1421</v>
      </c>
      <c r="C61" s="302">
        <f>D61+E61</f>
        <v>44728</v>
      </c>
      <c r="D61" s="302">
        <v>2339</v>
      </c>
      <c r="E61" s="302">
        <v>42389</v>
      </c>
      <c r="F61" s="302" t="e">
        <f t="shared" si="13"/>
        <v>#REF!</v>
      </c>
      <c r="G61" s="302" t="e">
        <f>#REF!</f>
        <v>#REF!</v>
      </c>
      <c r="H61" s="302" t="e">
        <f>#REF!</f>
        <v>#REF!</v>
      </c>
      <c r="I61" s="330"/>
      <c r="J61" s="330"/>
      <c r="K61" s="330"/>
    </row>
    <row r="62" spans="1:12" ht="18.75" customHeight="1">
      <c r="A62" s="322">
        <v>2</v>
      </c>
      <c r="B62" s="233" t="s">
        <v>1273</v>
      </c>
      <c r="C62" s="323">
        <f>D62+E62</f>
        <v>137810</v>
      </c>
      <c r="D62" s="323">
        <f t="shared" ref="D62:H62" si="19">D63+D64</f>
        <v>7670</v>
      </c>
      <c r="E62" s="323">
        <f t="shared" si="19"/>
        <v>130140</v>
      </c>
      <c r="F62" s="323" t="e">
        <f>G62+H62</f>
        <v>#REF!</v>
      </c>
      <c r="G62" s="323" t="e">
        <f t="shared" si="19"/>
        <v>#REF!</v>
      </c>
      <c r="H62" s="323" t="e">
        <f t="shared" si="19"/>
        <v>#REF!</v>
      </c>
      <c r="I62" s="325" t="e">
        <f>F62/C62*100</f>
        <v>#REF!</v>
      </c>
      <c r="J62" s="325" t="e">
        <f>G62/D62*100</f>
        <v>#REF!</v>
      </c>
      <c r="K62" s="325" t="e">
        <f>H62/E62*100</f>
        <v>#REF!</v>
      </c>
    </row>
    <row r="63" spans="1:12">
      <c r="A63" s="352" t="s">
        <v>30</v>
      </c>
      <c r="B63" s="292" t="s">
        <v>1420</v>
      </c>
      <c r="C63" s="329">
        <f t="shared" ref="C63:C71" si="20">D63+E63</f>
        <v>112510</v>
      </c>
      <c r="D63" s="329">
        <v>0</v>
      </c>
      <c r="E63" s="329">
        <f>93000+19510</f>
        <v>112510</v>
      </c>
      <c r="F63" s="302" t="e">
        <f t="shared" ref="F63:F72" si="21">G63+H63</f>
        <v>#REF!</v>
      </c>
      <c r="G63" s="329">
        <v>0</v>
      </c>
      <c r="H63" s="329" t="e">
        <f>#REF!</f>
        <v>#REF!</v>
      </c>
      <c r="I63" s="353"/>
      <c r="J63" s="353"/>
      <c r="K63" s="354" t="e">
        <f>H63/E63*100</f>
        <v>#REF!</v>
      </c>
    </row>
    <row r="64" spans="1:12">
      <c r="A64" s="352" t="s">
        <v>31</v>
      </c>
      <c r="B64" s="327" t="s">
        <v>1421</v>
      </c>
      <c r="C64" s="329">
        <f t="shared" si="20"/>
        <v>25300</v>
      </c>
      <c r="D64" s="329">
        <v>7670</v>
      </c>
      <c r="E64" s="329">
        <v>17630</v>
      </c>
      <c r="F64" s="302" t="e">
        <f t="shared" si="21"/>
        <v>#REF!</v>
      </c>
      <c r="G64" s="329" t="e">
        <f>#REF!</f>
        <v>#REF!</v>
      </c>
      <c r="H64" s="329" t="e">
        <f>#REF!</f>
        <v>#REF!</v>
      </c>
      <c r="I64" s="353"/>
      <c r="J64" s="354" t="e">
        <f>G64/D64*100</f>
        <v>#REF!</v>
      </c>
      <c r="K64" s="354" t="e">
        <f>H64/E64*100</f>
        <v>#REF!</v>
      </c>
    </row>
    <row r="65" spans="1:14" ht="29.25" customHeight="1">
      <c r="A65" s="322">
        <v>3</v>
      </c>
      <c r="B65" s="233" t="s">
        <v>1459</v>
      </c>
      <c r="C65" s="329">
        <f t="shared" si="20"/>
        <v>0</v>
      </c>
      <c r="D65" s="329">
        <v>0</v>
      </c>
      <c r="E65" s="329">
        <v>0</v>
      </c>
      <c r="F65" s="323" t="e">
        <f t="shared" si="21"/>
        <v>#REF!</v>
      </c>
      <c r="G65" s="323" t="e">
        <f>G66+G67</f>
        <v>#REF!</v>
      </c>
      <c r="H65" s="329">
        <v>0</v>
      </c>
      <c r="I65" s="344"/>
      <c r="J65" s="344"/>
      <c r="K65" s="344"/>
    </row>
    <row r="66" spans="1:14" ht="18.75" customHeight="1">
      <c r="A66" s="352" t="s">
        <v>30</v>
      </c>
      <c r="B66" s="292" t="s">
        <v>1420</v>
      </c>
      <c r="C66" s="329"/>
      <c r="D66" s="329"/>
      <c r="E66" s="329"/>
      <c r="F66" s="329">
        <f t="shared" si="21"/>
        <v>0</v>
      </c>
      <c r="G66" s="329">
        <v>0</v>
      </c>
      <c r="H66" s="329">
        <v>0</v>
      </c>
      <c r="I66" s="344"/>
      <c r="J66" s="344"/>
      <c r="K66" s="344"/>
    </row>
    <row r="67" spans="1:14" ht="18" customHeight="1">
      <c r="A67" s="352" t="s">
        <v>31</v>
      </c>
      <c r="B67" s="327" t="s">
        <v>1421</v>
      </c>
      <c r="C67" s="329"/>
      <c r="D67" s="329"/>
      <c r="E67" s="329"/>
      <c r="F67" s="329" t="e">
        <f t="shared" si="21"/>
        <v>#REF!</v>
      </c>
      <c r="G67" s="329" t="e">
        <f>#REF!</f>
        <v>#REF!</v>
      </c>
      <c r="H67" s="329">
        <v>0</v>
      </c>
      <c r="I67" s="344"/>
      <c r="J67" s="344"/>
      <c r="K67" s="344"/>
    </row>
    <row r="68" spans="1:14" ht="18" customHeight="1">
      <c r="A68" s="322">
        <v>4</v>
      </c>
      <c r="B68" s="233" t="s">
        <v>1458</v>
      </c>
      <c r="C68" s="329">
        <f t="shared" si="20"/>
        <v>0</v>
      </c>
      <c r="D68" s="329">
        <v>0</v>
      </c>
      <c r="E68" s="329">
        <v>0</v>
      </c>
      <c r="F68" s="323" t="e">
        <f t="shared" si="21"/>
        <v>#REF!</v>
      </c>
      <c r="G68" s="323" t="e">
        <f>G69+G70</f>
        <v>#REF!</v>
      </c>
      <c r="H68" s="329">
        <v>0</v>
      </c>
      <c r="I68" s="344"/>
      <c r="J68" s="344"/>
      <c r="K68" s="344"/>
    </row>
    <row r="69" spans="1:14" ht="18" customHeight="1">
      <c r="A69" s="352" t="s">
        <v>30</v>
      </c>
      <c r="B69" s="292" t="s">
        <v>1420</v>
      </c>
      <c r="C69" s="329"/>
      <c r="D69" s="329"/>
      <c r="E69" s="329"/>
      <c r="F69" s="329">
        <f t="shared" si="21"/>
        <v>0</v>
      </c>
      <c r="G69" s="329">
        <v>0</v>
      </c>
      <c r="H69" s="329">
        <v>0</v>
      </c>
      <c r="I69" s="346"/>
      <c r="J69" s="346"/>
      <c r="K69" s="346"/>
    </row>
    <row r="70" spans="1:14" ht="18" customHeight="1">
      <c r="A70" s="352" t="s">
        <v>31</v>
      </c>
      <c r="B70" s="327" t="s">
        <v>1421</v>
      </c>
      <c r="C70" s="329"/>
      <c r="D70" s="329"/>
      <c r="E70" s="329"/>
      <c r="F70" s="329" t="e">
        <f t="shared" si="21"/>
        <v>#REF!</v>
      </c>
      <c r="G70" s="329" t="e">
        <f>#REF!</f>
        <v>#REF!</v>
      </c>
      <c r="H70" s="329">
        <v>0</v>
      </c>
      <c r="I70" s="344"/>
      <c r="J70" s="344"/>
      <c r="K70" s="344"/>
    </row>
    <row r="71" spans="1:14" ht="16.5" customHeight="1">
      <c r="A71" s="322">
        <v>5</v>
      </c>
      <c r="B71" s="233" t="s">
        <v>232</v>
      </c>
      <c r="C71" s="329">
        <f t="shared" si="20"/>
        <v>0</v>
      </c>
      <c r="D71" s="329">
        <v>0</v>
      </c>
      <c r="E71" s="329">
        <v>0</v>
      </c>
      <c r="F71" s="323" t="e">
        <f>G71+H71</f>
        <v>#REF!</v>
      </c>
      <c r="G71" s="329">
        <v>0</v>
      </c>
      <c r="H71" s="323" t="e">
        <f>H72+H73</f>
        <v>#REF!</v>
      </c>
      <c r="I71" s="346"/>
      <c r="J71" s="346"/>
      <c r="K71" s="346"/>
    </row>
    <row r="72" spans="1:14" ht="16.5" customHeight="1">
      <c r="A72" s="352" t="s">
        <v>30</v>
      </c>
      <c r="B72" s="292" t="s">
        <v>1420</v>
      </c>
      <c r="C72" s="329"/>
      <c r="D72" s="329"/>
      <c r="E72" s="329"/>
      <c r="F72" s="329">
        <f t="shared" si="21"/>
        <v>0</v>
      </c>
      <c r="G72" s="329">
        <v>0</v>
      </c>
      <c r="H72" s="329">
        <v>0</v>
      </c>
      <c r="I72" s="346"/>
      <c r="J72" s="346"/>
      <c r="K72" s="346"/>
    </row>
    <row r="73" spans="1:14" ht="16.5" customHeight="1">
      <c r="A73" s="352" t="s">
        <v>31</v>
      </c>
      <c r="B73" s="327" t="s">
        <v>1421</v>
      </c>
      <c r="C73" s="329"/>
      <c r="D73" s="329"/>
      <c r="E73" s="329"/>
      <c r="F73" s="329" t="e">
        <f>G73+H73</f>
        <v>#REF!</v>
      </c>
      <c r="G73" s="329"/>
      <c r="H73" s="329" t="e">
        <f>#REF!</f>
        <v>#REF!</v>
      </c>
      <c r="I73" s="346"/>
      <c r="J73" s="346"/>
      <c r="K73" s="346"/>
    </row>
    <row r="74" spans="1:14" ht="21" customHeight="1">
      <c r="A74" s="1070" t="s">
        <v>10</v>
      </c>
      <c r="B74" s="347" t="s">
        <v>99</v>
      </c>
      <c r="C74" s="1072"/>
      <c r="D74" s="1072">
        <v>0</v>
      </c>
      <c r="E74" s="1072">
        <v>0</v>
      </c>
      <c r="F74" s="1072" t="e">
        <f>G74+H74</f>
        <v>#REF!</v>
      </c>
      <c r="G74" s="1072" t="e">
        <f>#REF!</f>
        <v>#REF!</v>
      </c>
      <c r="H74" s="1072">
        <f>'B58'!R11</f>
        <v>170434</v>
      </c>
      <c r="I74" s="355"/>
      <c r="J74" s="355"/>
      <c r="K74" s="355"/>
      <c r="L74" s="600"/>
      <c r="M74" s="601"/>
      <c r="N74" s="601"/>
    </row>
    <row r="75" spans="1:14" ht="27.75" customHeight="1">
      <c r="G75" s="1698" t="s">
        <v>1702</v>
      </c>
      <c r="H75" s="1698"/>
      <c r="I75" s="1698"/>
      <c r="J75" s="1698"/>
      <c r="K75" s="1698"/>
    </row>
    <row r="76" spans="1:14" ht="15.75" customHeight="1">
      <c r="G76" s="1650" t="s">
        <v>222</v>
      </c>
      <c r="H76" s="1650"/>
      <c r="I76" s="1650"/>
      <c r="J76" s="1650"/>
      <c r="K76" s="1650"/>
    </row>
    <row r="77" spans="1:14" ht="15.75" customHeight="1">
      <c r="G77" s="1650" t="s">
        <v>223</v>
      </c>
      <c r="H77" s="1650"/>
      <c r="I77" s="1650"/>
      <c r="J77" s="1650"/>
      <c r="K77" s="1650"/>
    </row>
    <row r="78" spans="1:14" ht="15.75" customHeight="1">
      <c r="G78" s="1648" t="s">
        <v>224</v>
      </c>
      <c r="H78" s="1648"/>
      <c r="I78" s="1648"/>
      <c r="J78" s="1648"/>
      <c r="K78" s="1648"/>
    </row>
  </sheetData>
  <mergeCells count="15">
    <mergeCell ref="G75:K75"/>
    <mergeCell ref="G76:K76"/>
    <mergeCell ref="G77:K77"/>
    <mergeCell ref="G78:K78"/>
    <mergeCell ref="A1:B1"/>
    <mergeCell ref="I1:K1"/>
    <mergeCell ref="A2:K2"/>
    <mergeCell ref="A5:A6"/>
    <mergeCell ref="B5:B6"/>
    <mergeCell ref="C5:C6"/>
    <mergeCell ref="D5:E5"/>
    <mergeCell ref="F5:F6"/>
    <mergeCell ref="G5:H5"/>
    <mergeCell ref="I5:K5"/>
    <mergeCell ref="A3:K3"/>
  </mergeCells>
  <pageMargins left="0.41" right="0.35" top="0.33" bottom="0.46" header="0.24" footer="0.3"/>
  <pageSetup paperSize="9" firstPageNumber="18" orientation="landscape" useFirstPageNumber="1" r:id="rId1"/>
  <headerFooter>
    <oddFooter>&amp;C&amp;P</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C121"/>
  <sheetViews>
    <sheetView zoomScaleNormal="100" workbookViewId="0">
      <pane xSplit="2" ySplit="8" topLeftCell="K9" activePane="bottomRight" state="frozen"/>
      <selection activeCell="D12" sqref="D12"/>
      <selection pane="topRight" activeCell="D12" sqref="D12"/>
      <selection pane="bottomLeft" activeCell="D12" sqref="D12"/>
      <selection pane="bottomRight" activeCell="A2" sqref="A2:AA2"/>
    </sheetView>
  </sheetViews>
  <sheetFormatPr defaultRowHeight="15"/>
  <cols>
    <col min="1" max="1" width="4.85546875" style="552" customWidth="1"/>
    <col min="2" max="2" width="39" style="552" customWidth="1"/>
    <col min="3" max="3" width="9.85546875" style="552" customWidth="1"/>
    <col min="4" max="4" width="8.5703125" style="552" customWidth="1"/>
    <col min="5" max="5" width="9.42578125" style="552" customWidth="1"/>
    <col min="6" max="6" width="8.28515625" style="552" customWidth="1"/>
    <col min="7" max="7" width="7" style="552" customWidth="1"/>
    <col min="8" max="8" width="6" style="552" customWidth="1"/>
    <col min="9" max="9" width="7.28515625" style="552" customWidth="1"/>
    <col min="10" max="10" width="9.28515625" style="552" customWidth="1"/>
    <col min="11" max="11" width="9.5703125" style="552" customWidth="1"/>
    <col min="12" max="12" width="8.28515625" style="552" customWidth="1"/>
    <col min="13" max="13" width="9.42578125" style="552" customWidth="1"/>
    <col min="14" max="14" width="7.140625" style="552" customWidth="1"/>
    <col min="15" max="15" width="7.42578125" style="552" customWidth="1"/>
    <col min="16" max="17" width="7.28515625" style="552" customWidth="1"/>
    <col min="18" max="18" width="7" style="552" customWidth="1"/>
    <col min="19" max="19" width="8.85546875" style="552" customWidth="1"/>
    <col min="20" max="20" width="8.28515625" style="552" customWidth="1"/>
    <col min="21" max="21" width="8" style="552" customWidth="1"/>
    <col min="22" max="22" width="6.5703125" style="552" customWidth="1"/>
    <col min="23" max="23" width="6.42578125" style="552" customWidth="1"/>
    <col min="24" max="24" width="7" style="552" customWidth="1"/>
    <col min="25" max="25" width="6.85546875" style="552" customWidth="1"/>
    <col min="26" max="26" width="6.5703125" style="552" customWidth="1"/>
    <col min="27" max="27" width="7.5703125" style="552" customWidth="1"/>
    <col min="28" max="28" width="7.85546875" style="552" customWidth="1"/>
    <col min="29" max="29" width="7.140625" style="552" customWidth="1"/>
    <col min="30" max="256" width="9.140625" style="552"/>
    <col min="257" max="257" width="4.85546875" style="552" customWidth="1"/>
    <col min="258" max="258" width="39" style="552" customWidth="1"/>
    <col min="259" max="259" width="9.85546875" style="552" customWidth="1"/>
    <col min="260" max="260" width="8.5703125" style="552" customWidth="1"/>
    <col min="261" max="261" width="9.42578125" style="552" customWidth="1"/>
    <col min="262" max="262" width="8.28515625" style="552" customWidth="1"/>
    <col min="263" max="263" width="7" style="552" customWidth="1"/>
    <col min="264" max="264" width="6" style="552" customWidth="1"/>
    <col min="265" max="265" width="7.28515625" style="552" customWidth="1"/>
    <col min="266" max="266" width="9.28515625" style="552" customWidth="1"/>
    <col min="267" max="267" width="9.5703125" style="552" customWidth="1"/>
    <col min="268" max="268" width="8.28515625" style="552" customWidth="1"/>
    <col min="269" max="269" width="9.42578125" style="552" customWidth="1"/>
    <col min="270" max="270" width="7.140625" style="552" customWidth="1"/>
    <col min="271" max="271" width="7.42578125" style="552" customWidth="1"/>
    <col min="272" max="273" width="7.28515625" style="552" customWidth="1"/>
    <col min="274" max="274" width="7" style="552" customWidth="1"/>
    <col min="275" max="275" width="8.85546875" style="552" customWidth="1"/>
    <col min="276" max="276" width="8.28515625" style="552" customWidth="1"/>
    <col min="277" max="277" width="8" style="552" customWidth="1"/>
    <col min="278" max="278" width="6.5703125" style="552" customWidth="1"/>
    <col min="279" max="279" width="6.42578125" style="552" customWidth="1"/>
    <col min="280" max="280" width="7" style="552" customWidth="1"/>
    <col min="281" max="281" width="6.85546875" style="552" customWidth="1"/>
    <col min="282" max="282" width="6.5703125" style="552" customWidth="1"/>
    <col min="283" max="283" width="7.5703125" style="552" customWidth="1"/>
    <col min="284" max="284" width="7.85546875" style="552" customWidth="1"/>
    <col min="285" max="285" width="7.140625" style="552" customWidth="1"/>
    <col min="286" max="512" width="9.140625" style="552"/>
    <col min="513" max="513" width="4.85546875" style="552" customWidth="1"/>
    <col min="514" max="514" width="39" style="552" customWidth="1"/>
    <col min="515" max="515" width="9.85546875" style="552" customWidth="1"/>
    <col min="516" max="516" width="8.5703125" style="552" customWidth="1"/>
    <col min="517" max="517" width="9.42578125" style="552" customWidth="1"/>
    <col min="518" max="518" width="8.28515625" style="552" customWidth="1"/>
    <col min="519" max="519" width="7" style="552" customWidth="1"/>
    <col min="520" max="520" width="6" style="552" customWidth="1"/>
    <col min="521" max="521" width="7.28515625" style="552" customWidth="1"/>
    <col min="522" max="522" width="9.28515625" style="552" customWidth="1"/>
    <col min="523" max="523" width="9.5703125" style="552" customWidth="1"/>
    <col min="524" max="524" width="8.28515625" style="552" customWidth="1"/>
    <col min="525" max="525" width="9.42578125" style="552" customWidth="1"/>
    <col min="526" max="526" width="7.140625" style="552" customWidth="1"/>
    <col min="527" max="527" width="7.42578125" style="552" customWidth="1"/>
    <col min="528" max="529" width="7.28515625" style="552" customWidth="1"/>
    <col min="530" max="530" width="7" style="552" customWidth="1"/>
    <col min="531" max="531" width="8.85546875" style="552" customWidth="1"/>
    <col min="532" max="532" width="8.28515625" style="552" customWidth="1"/>
    <col min="533" max="533" width="8" style="552" customWidth="1"/>
    <col min="534" max="534" width="6.5703125" style="552" customWidth="1"/>
    <col min="535" max="535" width="6.42578125" style="552" customWidth="1"/>
    <col min="536" max="536" width="7" style="552" customWidth="1"/>
    <col min="537" max="537" width="6.85546875" style="552" customWidth="1"/>
    <col min="538" max="538" width="6.5703125" style="552" customWidth="1"/>
    <col min="539" max="539" width="7.5703125" style="552" customWidth="1"/>
    <col min="540" max="540" width="7.85546875" style="552" customWidth="1"/>
    <col min="541" max="541" width="7.140625" style="552" customWidth="1"/>
    <col min="542" max="768" width="9.140625" style="552"/>
    <col min="769" max="769" width="4.85546875" style="552" customWidth="1"/>
    <col min="770" max="770" width="39" style="552" customWidth="1"/>
    <col min="771" max="771" width="9.85546875" style="552" customWidth="1"/>
    <col min="772" max="772" width="8.5703125" style="552" customWidth="1"/>
    <col min="773" max="773" width="9.42578125" style="552" customWidth="1"/>
    <col min="774" max="774" width="8.28515625" style="552" customWidth="1"/>
    <col min="775" max="775" width="7" style="552" customWidth="1"/>
    <col min="776" max="776" width="6" style="552" customWidth="1"/>
    <col min="777" max="777" width="7.28515625" style="552" customWidth="1"/>
    <col min="778" max="778" width="9.28515625" style="552" customWidth="1"/>
    <col min="779" max="779" width="9.5703125" style="552" customWidth="1"/>
    <col min="780" max="780" width="8.28515625" style="552" customWidth="1"/>
    <col min="781" max="781" width="9.42578125" style="552" customWidth="1"/>
    <col min="782" max="782" width="7.140625" style="552" customWidth="1"/>
    <col min="783" max="783" width="7.42578125" style="552" customWidth="1"/>
    <col min="784" max="785" width="7.28515625" style="552" customWidth="1"/>
    <col min="786" max="786" width="7" style="552" customWidth="1"/>
    <col min="787" max="787" width="8.85546875" style="552" customWidth="1"/>
    <col min="788" max="788" width="8.28515625" style="552" customWidth="1"/>
    <col min="789" max="789" width="8" style="552" customWidth="1"/>
    <col min="790" max="790" width="6.5703125" style="552" customWidth="1"/>
    <col min="791" max="791" width="6.42578125" style="552" customWidth="1"/>
    <col min="792" max="792" width="7" style="552" customWidth="1"/>
    <col min="793" max="793" width="6.85546875" style="552" customWidth="1"/>
    <col min="794" max="794" width="6.5703125" style="552" customWidth="1"/>
    <col min="795" max="795" width="7.5703125" style="552" customWidth="1"/>
    <col min="796" max="796" width="7.85546875" style="552" customWidth="1"/>
    <col min="797" max="797" width="7.140625" style="552" customWidth="1"/>
    <col min="798" max="1024" width="9.140625" style="552"/>
    <col min="1025" max="1025" width="4.85546875" style="552" customWidth="1"/>
    <col min="1026" max="1026" width="39" style="552" customWidth="1"/>
    <col min="1027" max="1027" width="9.85546875" style="552" customWidth="1"/>
    <col min="1028" max="1028" width="8.5703125" style="552" customWidth="1"/>
    <col min="1029" max="1029" width="9.42578125" style="552" customWidth="1"/>
    <col min="1030" max="1030" width="8.28515625" style="552" customWidth="1"/>
    <col min="1031" max="1031" width="7" style="552" customWidth="1"/>
    <col min="1032" max="1032" width="6" style="552" customWidth="1"/>
    <col min="1033" max="1033" width="7.28515625" style="552" customWidth="1"/>
    <col min="1034" max="1034" width="9.28515625" style="552" customWidth="1"/>
    <col min="1035" max="1035" width="9.5703125" style="552" customWidth="1"/>
    <col min="1036" max="1036" width="8.28515625" style="552" customWidth="1"/>
    <col min="1037" max="1037" width="9.42578125" style="552" customWidth="1"/>
    <col min="1038" max="1038" width="7.140625" style="552" customWidth="1"/>
    <col min="1039" max="1039" width="7.42578125" style="552" customWidth="1"/>
    <col min="1040" max="1041" width="7.28515625" style="552" customWidth="1"/>
    <col min="1042" max="1042" width="7" style="552" customWidth="1"/>
    <col min="1043" max="1043" width="8.85546875" style="552" customWidth="1"/>
    <col min="1044" max="1044" width="8.28515625" style="552" customWidth="1"/>
    <col min="1045" max="1045" width="8" style="552" customWidth="1"/>
    <col min="1046" max="1046" width="6.5703125" style="552" customWidth="1"/>
    <col min="1047" max="1047" width="6.42578125" style="552" customWidth="1"/>
    <col min="1048" max="1048" width="7" style="552" customWidth="1"/>
    <col min="1049" max="1049" width="6.85546875" style="552" customWidth="1"/>
    <col min="1050" max="1050" width="6.5703125" style="552" customWidth="1"/>
    <col min="1051" max="1051" width="7.5703125" style="552" customWidth="1"/>
    <col min="1052" max="1052" width="7.85546875" style="552" customWidth="1"/>
    <col min="1053" max="1053" width="7.140625" style="552" customWidth="1"/>
    <col min="1054" max="1280" width="9.140625" style="552"/>
    <col min="1281" max="1281" width="4.85546875" style="552" customWidth="1"/>
    <col min="1282" max="1282" width="39" style="552" customWidth="1"/>
    <col min="1283" max="1283" width="9.85546875" style="552" customWidth="1"/>
    <col min="1284" max="1284" width="8.5703125" style="552" customWidth="1"/>
    <col min="1285" max="1285" width="9.42578125" style="552" customWidth="1"/>
    <col min="1286" max="1286" width="8.28515625" style="552" customWidth="1"/>
    <col min="1287" max="1287" width="7" style="552" customWidth="1"/>
    <col min="1288" max="1288" width="6" style="552" customWidth="1"/>
    <col min="1289" max="1289" width="7.28515625" style="552" customWidth="1"/>
    <col min="1290" max="1290" width="9.28515625" style="552" customWidth="1"/>
    <col min="1291" max="1291" width="9.5703125" style="552" customWidth="1"/>
    <col min="1292" max="1292" width="8.28515625" style="552" customWidth="1"/>
    <col min="1293" max="1293" width="9.42578125" style="552" customWidth="1"/>
    <col min="1294" max="1294" width="7.140625" style="552" customWidth="1"/>
    <col min="1295" max="1295" width="7.42578125" style="552" customWidth="1"/>
    <col min="1296" max="1297" width="7.28515625" style="552" customWidth="1"/>
    <col min="1298" max="1298" width="7" style="552" customWidth="1"/>
    <col min="1299" max="1299" width="8.85546875" style="552" customWidth="1"/>
    <col min="1300" max="1300" width="8.28515625" style="552" customWidth="1"/>
    <col min="1301" max="1301" width="8" style="552" customWidth="1"/>
    <col min="1302" max="1302" width="6.5703125" style="552" customWidth="1"/>
    <col min="1303" max="1303" width="6.42578125" style="552" customWidth="1"/>
    <col min="1304" max="1304" width="7" style="552" customWidth="1"/>
    <col min="1305" max="1305" width="6.85546875" style="552" customWidth="1"/>
    <col min="1306" max="1306" width="6.5703125" style="552" customWidth="1"/>
    <col min="1307" max="1307" width="7.5703125" style="552" customWidth="1"/>
    <col min="1308" max="1308" width="7.85546875" style="552" customWidth="1"/>
    <col min="1309" max="1309" width="7.140625" style="552" customWidth="1"/>
    <col min="1310" max="1536" width="9.140625" style="552"/>
    <col min="1537" max="1537" width="4.85546875" style="552" customWidth="1"/>
    <col min="1538" max="1538" width="39" style="552" customWidth="1"/>
    <col min="1539" max="1539" width="9.85546875" style="552" customWidth="1"/>
    <col min="1540" max="1540" width="8.5703125" style="552" customWidth="1"/>
    <col min="1541" max="1541" width="9.42578125" style="552" customWidth="1"/>
    <col min="1542" max="1542" width="8.28515625" style="552" customWidth="1"/>
    <col min="1543" max="1543" width="7" style="552" customWidth="1"/>
    <col min="1544" max="1544" width="6" style="552" customWidth="1"/>
    <col min="1545" max="1545" width="7.28515625" style="552" customWidth="1"/>
    <col min="1546" max="1546" width="9.28515625" style="552" customWidth="1"/>
    <col min="1547" max="1547" width="9.5703125" style="552" customWidth="1"/>
    <col min="1548" max="1548" width="8.28515625" style="552" customWidth="1"/>
    <col min="1549" max="1549" width="9.42578125" style="552" customWidth="1"/>
    <col min="1550" max="1550" width="7.140625" style="552" customWidth="1"/>
    <col min="1551" max="1551" width="7.42578125" style="552" customWidth="1"/>
    <col min="1552" max="1553" width="7.28515625" style="552" customWidth="1"/>
    <col min="1554" max="1554" width="7" style="552" customWidth="1"/>
    <col min="1555" max="1555" width="8.85546875" style="552" customWidth="1"/>
    <col min="1556" max="1556" width="8.28515625" style="552" customWidth="1"/>
    <col min="1557" max="1557" width="8" style="552" customWidth="1"/>
    <col min="1558" max="1558" width="6.5703125" style="552" customWidth="1"/>
    <col min="1559" max="1559" width="6.42578125" style="552" customWidth="1"/>
    <col min="1560" max="1560" width="7" style="552" customWidth="1"/>
    <col min="1561" max="1561" width="6.85546875" style="552" customWidth="1"/>
    <col min="1562" max="1562" width="6.5703125" style="552" customWidth="1"/>
    <col min="1563" max="1563" width="7.5703125" style="552" customWidth="1"/>
    <col min="1564" max="1564" width="7.85546875" style="552" customWidth="1"/>
    <col min="1565" max="1565" width="7.140625" style="552" customWidth="1"/>
    <col min="1566" max="1792" width="9.140625" style="552"/>
    <col min="1793" max="1793" width="4.85546875" style="552" customWidth="1"/>
    <col min="1794" max="1794" width="39" style="552" customWidth="1"/>
    <col min="1795" max="1795" width="9.85546875" style="552" customWidth="1"/>
    <col min="1796" max="1796" width="8.5703125" style="552" customWidth="1"/>
    <col min="1797" max="1797" width="9.42578125" style="552" customWidth="1"/>
    <col min="1798" max="1798" width="8.28515625" style="552" customWidth="1"/>
    <col min="1799" max="1799" width="7" style="552" customWidth="1"/>
    <col min="1800" max="1800" width="6" style="552" customWidth="1"/>
    <col min="1801" max="1801" width="7.28515625" style="552" customWidth="1"/>
    <col min="1802" max="1802" width="9.28515625" style="552" customWidth="1"/>
    <col min="1803" max="1803" width="9.5703125" style="552" customWidth="1"/>
    <col min="1804" max="1804" width="8.28515625" style="552" customWidth="1"/>
    <col min="1805" max="1805" width="9.42578125" style="552" customWidth="1"/>
    <col min="1806" max="1806" width="7.140625" style="552" customWidth="1"/>
    <col min="1807" max="1807" width="7.42578125" style="552" customWidth="1"/>
    <col min="1808" max="1809" width="7.28515625" style="552" customWidth="1"/>
    <col min="1810" max="1810" width="7" style="552" customWidth="1"/>
    <col min="1811" max="1811" width="8.85546875" style="552" customWidth="1"/>
    <col min="1812" max="1812" width="8.28515625" style="552" customWidth="1"/>
    <col min="1813" max="1813" width="8" style="552" customWidth="1"/>
    <col min="1814" max="1814" width="6.5703125" style="552" customWidth="1"/>
    <col min="1815" max="1815" width="6.42578125" style="552" customWidth="1"/>
    <col min="1816" max="1816" width="7" style="552" customWidth="1"/>
    <col min="1817" max="1817" width="6.85546875" style="552" customWidth="1"/>
    <col min="1818" max="1818" width="6.5703125" style="552" customWidth="1"/>
    <col min="1819" max="1819" width="7.5703125" style="552" customWidth="1"/>
    <col min="1820" max="1820" width="7.85546875" style="552" customWidth="1"/>
    <col min="1821" max="1821" width="7.140625" style="552" customWidth="1"/>
    <col min="1822" max="2048" width="9.140625" style="552"/>
    <col min="2049" max="2049" width="4.85546875" style="552" customWidth="1"/>
    <col min="2050" max="2050" width="39" style="552" customWidth="1"/>
    <col min="2051" max="2051" width="9.85546875" style="552" customWidth="1"/>
    <col min="2052" max="2052" width="8.5703125" style="552" customWidth="1"/>
    <col min="2053" max="2053" width="9.42578125" style="552" customWidth="1"/>
    <col min="2054" max="2054" width="8.28515625" style="552" customWidth="1"/>
    <col min="2055" max="2055" width="7" style="552" customWidth="1"/>
    <col min="2056" max="2056" width="6" style="552" customWidth="1"/>
    <col min="2057" max="2057" width="7.28515625" style="552" customWidth="1"/>
    <col min="2058" max="2058" width="9.28515625" style="552" customWidth="1"/>
    <col min="2059" max="2059" width="9.5703125" style="552" customWidth="1"/>
    <col min="2060" max="2060" width="8.28515625" style="552" customWidth="1"/>
    <col min="2061" max="2061" width="9.42578125" style="552" customWidth="1"/>
    <col min="2062" max="2062" width="7.140625" style="552" customWidth="1"/>
    <col min="2063" max="2063" width="7.42578125" style="552" customWidth="1"/>
    <col min="2064" max="2065" width="7.28515625" style="552" customWidth="1"/>
    <col min="2066" max="2066" width="7" style="552" customWidth="1"/>
    <col min="2067" max="2067" width="8.85546875" style="552" customWidth="1"/>
    <col min="2068" max="2068" width="8.28515625" style="552" customWidth="1"/>
    <col min="2069" max="2069" width="8" style="552" customWidth="1"/>
    <col min="2070" max="2070" width="6.5703125" style="552" customWidth="1"/>
    <col min="2071" max="2071" width="6.42578125" style="552" customWidth="1"/>
    <col min="2072" max="2072" width="7" style="552" customWidth="1"/>
    <col min="2073" max="2073" width="6.85546875" style="552" customWidth="1"/>
    <col min="2074" max="2074" width="6.5703125" style="552" customWidth="1"/>
    <col min="2075" max="2075" width="7.5703125" style="552" customWidth="1"/>
    <col min="2076" max="2076" width="7.85546875" style="552" customWidth="1"/>
    <col min="2077" max="2077" width="7.140625" style="552" customWidth="1"/>
    <col min="2078" max="2304" width="9.140625" style="552"/>
    <col min="2305" max="2305" width="4.85546875" style="552" customWidth="1"/>
    <col min="2306" max="2306" width="39" style="552" customWidth="1"/>
    <col min="2307" max="2307" width="9.85546875" style="552" customWidth="1"/>
    <col min="2308" max="2308" width="8.5703125" style="552" customWidth="1"/>
    <col min="2309" max="2309" width="9.42578125" style="552" customWidth="1"/>
    <col min="2310" max="2310" width="8.28515625" style="552" customWidth="1"/>
    <col min="2311" max="2311" width="7" style="552" customWidth="1"/>
    <col min="2312" max="2312" width="6" style="552" customWidth="1"/>
    <col min="2313" max="2313" width="7.28515625" style="552" customWidth="1"/>
    <col min="2314" max="2314" width="9.28515625" style="552" customWidth="1"/>
    <col min="2315" max="2315" width="9.5703125" style="552" customWidth="1"/>
    <col min="2316" max="2316" width="8.28515625" style="552" customWidth="1"/>
    <col min="2317" max="2317" width="9.42578125" style="552" customWidth="1"/>
    <col min="2318" max="2318" width="7.140625" style="552" customWidth="1"/>
    <col min="2319" max="2319" width="7.42578125" style="552" customWidth="1"/>
    <col min="2320" max="2321" width="7.28515625" style="552" customWidth="1"/>
    <col min="2322" max="2322" width="7" style="552" customWidth="1"/>
    <col min="2323" max="2323" width="8.85546875" style="552" customWidth="1"/>
    <col min="2324" max="2324" width="8.28515625" style="552" customWidth="1"/>
    <col min="2325" max="2325" width="8" style="552" customWidth="1"/>
    <col min="2326" max="2326" width="6.5703125" style="552" customWidth="1"/>
    <col min="2327" max="2327" width="6.42578125" style="552" customWidth="1"/>
    <col min="2328" max="2328" width="7" style="552" customWidth="1"/>
    <col min="2329" max="2329" width="6.85546875" style="552" customWidth="1"/>
    <col min="2330" max="2330" width="6.5703125" style="552" customWidth="1"/>
    <col min="2331" max="2331" width="7.5703125" style="552" customWidth="1"/>
    <col min="2332" max="2332" width="7.85546875" style="552" customWidth="1"/>
    <col min="2333" max="2333" width="7.140625" style="552" customWidth="1"/>
    <col min="2334" max="2560" width="9.140625" style="552"/>
    <col min="2561" max="2561" width="4.85546875" style="552" customWidth="1"/>
    <col min="2562" max="2562" width="39" style="552" customWidth="1"/>
    <col min="2563" max="2563" width="9.85546875" style="552" customWidth="1"/>
    <col min="2564" max="2564" width="8.5703125" style="552" customWidth="1"/>
    <col min="2565" max="2565" width="9.42578125" style="552" customWidth="1"/>
    <col min="2566" max="2566" width="8.28515625" style="552" customWidth="1"/>
    <col min="2567" max="2567" width="7" style="552" customWidth="1"/>
    <col min="2568" max="2568" width="6" style="552" customWidth="1"/>
    <col min="2569" max="2569" width="7.28515625" style="552" customWidth="1"/>
    <col min="2570" max="2570" width="9.28515625" style="552" customWidth="1"/>
    <col min="2571" max="2571" width="9.5703125" style="552" customWidth="1"/>
    <col min="2572" max="2572" width="8.28515625" style="552" customWidth="1"/>
    <col min="2573" max="2573" width="9.42578125" style="552" customWidth="1"/>
    <col min="2574" max="2574" width="7.140625" style="552" customWidth="1"/>
    <col min="2575" max="2575" width="7.42578125" style="552" customWidth="1"/>
    <col min="2576" max="2577" width="7.28515625" style="552" customWidth="1"/>
    <col min="2578" max="2578" width="7" style="552" customWidth="1"/>
    <col min="2579" max="2579" width="8.85546875" style="552" customWidth="1"/>
    <col min="2580" max="2580" width="8.28515625" style="552" customWidth="1"/>
    <col min="2581" max="2581" width="8" style="552" customWidth="1"/>
    <col min="2582" max="2582" width="6.5703125" style="552" customWidth="1"/>
    <col min="2583" max="2583" width="6.42578125" style="552" customWidth="1"/>
    <col min="2584" max="2584" width="7" style="552" customWidth="1"/>
    <col min="2585" max="2585" width="6.85546875" style="552" customWidth="1"/>
    <col min="2586" max="2586" width="6.5703125" style="552" customWidth="1"/>
    <col min="2587" max="2587" width="7.5703125" style="552" customWidth="1"/>
    <col min="2588" max="2588" width="7.85546875" style="552" customWidth="1"/>
    <col min="2589" max="2589" width="7.140625" style="552" customWidth="1"/>
    <col min="2590" max="2816" width="9.140625" style="552"/>
    <col min="2817" max="2817" width="4.85546875" style="552" customWidth="1"/>
    <col min="2818" max="2818" width="39" style="552" customWidth="1"/>
    <col min="2819" max="2819" width="9.85546875" style="552" customWidth="1"/>
    <col min="2820" max="2820" width="8.5703125" style="552" customWidth="1"/>
    <col min="2821" max="2821" width="9.42578125" style="552" customWidth="1"/>
    <col min="2822" max="2822" width="8.28515625" style="552" customWidth="1"/>
    <col min="2823" max="2823" width="7" style="552" customWidth="1"/>
    <col min="2824" max="2824" width="6" style="552" customWidth="1"/>
    <col min="2825" max="2825" width="7.28515625" style="552" customWidth="1"/>
    <col min="2826" max="2826" width="9.28515625" style="552" customWidth="1"/>
    <col min="2827" max="2827" width="9.5703125" style="552" customWidth="1"/>
    <col min="2828" max="2828" width="8.28515625" style="552" customWidth="1"/>
    <col min="2829" max="2829" width="9.42578125" style="552" customWidth="1"/>
    <col min="2830" max="2830" width="7.140625" style="552" customWidth="1"/>
    <col min="2831" max="2831" width="7.42578125" style="552" customWidth="1"/>
    <col min="2832" max="2833" width="7.28515625" style="552" customWidth="1"/>
    <col min="2834" max="2834" width="7" style="552" customWidth="1"/>
    <col min="2835" max="2835" width="8.85546875" style="552" customWidth="1"/>
    <col min="2836" max="2836" width="8.28515625" style="552" customWidth="1"/>
    <col min="2837" max="2837" width="8" style="552" customWidth="1"/>
    <col min="2838" max="2838" width="6.5703125" style="552" customWidth="1"/>
    <col min="2839" max="2839" width="6.42578125" style="552" customWidth="1"/>
    <col min="2840" max="2840" width="7" style="552" customWidth="1"/>
    <col min="2841" max="2841" width="6.85546875" style="552" customWidth="1"/>
    <col min="2842" max="2842" width="6.5703125" style="552" customWidth="1"/>
    <col min="2843" max="2843" width="7.5703125" style="552" customWidth="1"/>
    <col min="2844" max="2844" width="7.85546875" style="552" customWidth="1"/>
    <col min="2845" max="2845" width="7.140625" style="552" customWidth="1"/>
    <col min="2846" max="3072" width="9.140625" style="552"/>
    <col min="3073" max="3073" width="4.85546875" style="552" customWidth="1"/>
    <col min="3074" max="3074" width="39" style="552" customWidth="1"/>
    <col min="3075" max="3075" width="9.85546875" style="552" customWidth="1"/>
    <col min="3076" max="3076" width="8.5703125" style="552" customWidth="1"/>
    <col min="3077" max="3077" width="9.42578125" style="552" customWidth="1"/>
    <col min="3078" max="3078" width="8.28515625" style="552" customWidth="1"/>
    <col min="3079" max="3079" width="7" style="552" customWidth="1"/>
    <col min="3080" max="3080" width="6" style="552" customWidth="1"/>
    <col min="3081" max="3081" width="7.28515625" style="552" customWidth="1"/>
    <col min="3082" max="3082" width="9.28515625" style="552" customWidth="1"/>
    <col min="3083" max="3083" width="9.5703125" style="552" customWidth="1"/>
    <col min="3084" max="3084" width="8.28515625" style="552" customWidth="1"/>
    <col min="3085" max="3085" width="9.42578125" style="552" customWidth="1"/>
    <col min="3086" max="3086" width="7.140625" style="552" customWidth="1"/>
    <col min="3087" max="3087" width="7.42578125" style="552" customWidth="1"/>
    <col min="3088" max="3089" width="7.28515625" style="552" customWidth="1"/>
    <col min="3090" max="3090" width="7" style="552" customWidth="1"/>
    <col min="3091" max="3091" width="8.85546875" style="552" customWidth="1"/>
    <col min="3092" max="3092" width="8.28515625" style="552" customWidth="1"/>
    <col min="3093" max="3093" width="8" style="552" customWidth="1"/>
    <col min="3094" max="3094" width="6.5703125" style="552" customWidth="1"/>
    <col min="3095" max="3095" width="6.42578125" style="552" customWidth="1"/>
    <col min="3096" max="3096" width="7" style="552" customWidth="1"/>
    <col min="3097" max="3097" width="6.85546875" style="552" customWidth="1"/>
    <col min="3098" max="3098" width="6.5703125" style="552" customWidth="1"/>
    <col min="3099" max="3099" width="7.5703125" style="552" customWidth="1"/>
    <col min="3100" max="3100" width="7.85546875" style="552" customWidth="1"/>
    <col min="3101" max="3101" width="7.140625" style="552" customWidth="1"/>
    <col min="3102" max="3328" width="9.140625" style="552"/>
    <col min="3329" max="3329" width="4.85546875" style="552" customWidth="1"/>
    <col min="3330" max="3330" width="39" style="552" customWidth="1"/>
    <col min="3331" max="3331" width="9.85546875" style="552" customWidth="1"/>
    <col min="3332" max="3332" width="8.5703125" style="552" customWidth="1"/>
    <col min="3333" max="3333" width="9.42578125" style="552" customWidth="1"/>
    <col min="3334" max="3334" width="8.28515625" style="552" customWidth="1"/>
    <col min="3335" max="3335" width="7" style="552" customWidth="1"/>
    <col min="3336" max="3336" width="6" style="552" customWidth="1"/>
    <col min="3337" max="3337" width="7.28515625" style="552" customWidth="1"/>
    <col min="3338" max="3338" width="9.28515625" style="552" customWidth="1"/>
    <col min="3339" max="3339" width="9.5703125" style="552" customWidth="1"/>
    <col min="3340" max="3340" width="8.28515625" style="552" customWidth="1"/>
    <col min="3341" max="3341" width="9.42578125" style="552" customWidth="1"/>
    <col min="3342" max="3342" width="7.140625" style="552" customWidth="1"/>
    <col min="3343" max="3343" width="7.42578125" style="552" customWidth="1"/>
    <col min="3344" max="3345" width="7.28515625" style="552" customWidth="1"/>
    <col min="3346" max="3346" width="7" style="552" customWidth="1"/>
    <col min="3347" max="3347" width="8.85546875" style="552" customWidth="1"/>
    <col min="3348" max="3348" width="8.28515625" style="552" customWidth="1"/>
    <col min="3349" max="3349" width="8" style="552" customWidth="1"/>
    <col min="3350" max="3350" width="6.5703125" style="552" customWidth="1"/>
    <col min="3351" max="3351" width="6.42578125" style="552" customWidth="1"/>
    <col min="3352" max="3352" width="7" style="552" customWidth="1"/>
    <col min="3353" max="3353" width="6.85546875" style="552" customWidth="1"/>
    <col min="3354" max="3354" width="6.5703125" style="552" customWidth="1"/>
    <col min="3355" max="3355" width="7.5703125" style="552" customWidth="1"/>
    <col min="3356" max="3356" width="7.85546875" style="552" customWidth="1"/>
    <col min="3357" max="3357" width="7.140625" style="552" customWidth="1"/>
    <col min="3358" max="3584" width="9.140625" style="552"/>
    <col min="3585" max="3585" width="4.85546875" style="552" customWidth="1"/>
    <col min="3586" max="3586" width="39" style="552" customWidth="1"/>
    <col min="3587" max="3587" width="9.85546875" style="552" customWidth="1"/>
    <col min="3588" max="3588" width="8.5703125" style="552" customWidth="1"/>
    <col min="3589" max="3589" width="9.42578125" style="552" customWidth="1"/>
    <col min="3590" max="3590" width="8.28515625" style="552" customWidth="1"/>
    <col min="3591" max="3591" width="7" style="552" customWidth="1"/>
    <col min="3592" max="3592" width="6" style="552" customWidth="1"/>
    <col min="3593" max="3593" width="7.28515625" style="552" customWidth="1"/>
    <col min="3594" max="3594" width="9.28515625" style="552" customWidth="1"/>
    <col min="3595" max="3595" width="9.5703125" style="552" customWidth="1"/>
    <col min="3596" max="3596" width="8.28515625" style="552" customWidth="1"/>
    <col min="3597" max="3597" width="9.42578125" style="552" customWidth="1"/>
    <col min="3598" max="3598" width="7.140625" style="552" customWidth="1"/>
    <col min="3599" max="3599" width="7.42578125" style="552" customWidth="1"/>
    <col min="3600" max="3601" width="7.28515625" style="552" customWidth="1"/>
    <col min="3602" max="3602" width="7" style="552" customWidth="1"/>
    <col min="3603" max="3603" width="8.85546875" style="552" customWidth="1"/>
    <col min="3604" max="3604" width="8.28515625" style="552" customWidth="1"/>
    <col min="3605" max="3605" width="8" style="552" customWidth="1"/>
    <col min="3606" max="3606" width="6.5703125" style="552" customWidth="1"/>
    <col min="3607" max="3607" width="6.42578125" style="552" customWidth="1"/>
    <col min="3608" max="3608" width="7" style="552" customWidth="1"/>
    <col min="3609" max="3609" width="6.85546875" style="552" customWidth="1"/>
    <col min="3610" max="3610" width="6.5703125" style="552" customWidth="1"/>
    <col min="3611" max="3611" width="7.5703125" style="552" customWidth="1"/>
    <col min="3612" max="3612" width="7.85546875" style="552" customWidth="1"/>
    <col min="3613" max="3613" width="7.140625" style="552" customWidth="1"/>
    <col min="3614" max="3840" width="9.140625" style="552"/>
    <col min="3841" max="3841" width="4.85546875" style="552" customWidth="1"/>
    <col min="3842" max="3842" width="39" style="552" customWidth="1"/>
    <col min="3843" max="3843" width="9.85546875" style="552" customWidth="1"/>
    <col min="3844" max="3844" width="8.5703125" style="552" customWidth="1"/>
    <col min="3845" max="3845" width="9.42578125" style="552" customWidth="1"/>
    <col min="3846" max="3846" width="8.28515625" style="552" customWidth="1"/>
    <col min="3847" max="3847" width="7" style="552" customWidth="1"/>
    <col min="3848" max="3848" width="6" style="552" customWidth="1"/>
    <col min="3849" max="3849" width="7.28515625" style="552" customWidth="1"/>
    <col min="3850" max="3850" width="9.28515625" style="552" customWidth="1"/>
    <col min="3851" max="3851" width="9.5703125" style="552" customWidth="1"/>
    <col min="3852" max="3852" width="8.28515625" style="552" customWidth="1"/>
    <col min="3853" max="3853" width="9.42578125" style="552" customWidth="1"/>
    <col min="3854" max="3854" width="7.140625" style="552" customWidth="1"/>
    <col min="3855" max="3855" width="7.42578125" style="552" customWidth="1"/>
    <col min="3856" max="3857" width="7.28515625" style="552" customWidth="1"/>
    <col min="3858" max="3858" width="7" style="552" customWidth="1"/>
    <col min="3859" max="3859" width="8.85546875" style="552" customWidth="1"/>
    <col min="3860" max="3860" width="8.28515625" style="552" customWidth="1"/>
    <col min="3861" max="3861" width="8" style="552" customWidth="1"/>
    <col min="3862" max="3862" width="6.5703125" style="552" customWidth="1"/>
    <col min="3863" max="3863" width="6.42578125" style="552" customWidth="1"/>
    <col min="3864" max="3864" width="7" style="552" customWidth="1"/>
    <col min="3865" max="3865" width="6.85546875" style="552" customWidth="1"/>
    <col min="3866" max="3866" width="6.5703125" style="552" customWidth="1"/>
    <col min="3867" max="3867" width="7.5703125" style="552" customWidth="1"/>
    <col min="3868" max="3868" width="7.85546875" style="552" customWidth="1"/>
    <col min="3869" max="3869" width="7.140625" style="552" customWidth="1"/>
    <col min="3870" max="4096" width="9.140625" style="552"/>
    <col min="4097" max="4097" width="4.85546875" style="552" customWidth="1"/>
    <col min="4098" max="4098" width="39" style="552" customWidth="1"/>
    <col min="4099" max="4099" width="9.85546875" style="552" customWidth="1"/>
    <col min="4100" max="4100" width="8.5703125" style="552" customWidth="1"/>
    <col min="4101" max="4101" width="9.42578125" style="552" customWidth="1"/>
    <col min="4102" max="4102" width="8.28515625" style="552" customWidth="1"/>
    <col min="4103" max="4103" width="7" style="552" customWidth="1"/>
    <col min="4104" max="4104" width="6" style="552" customWidth="1"/>
    <col min="4105" max="4105" width="7.28515625" style="552" customWidth="1"/>
    <col min="4106" max="4106" width="9.28515625" style="552" customWidth="1"/>
    <col min="4107" max="4107" width="9.5703125" style="552" customWidth="1"/>
    <col min="4108" max="4108" width="8.28515625" style="552" customWidth="1"/>
    <col min="4109" max="4109" width="9.42578125" style="552" customWidth="1"/>
    <col min="4110" max="4110" width="7.140625" style="552" customWidth="1"/>
    <col min="4111" max="4111" width="7.42578125" style="552" customWidth="1"/>
    <col min="4112" max="4113" width="7.28515625" style="552" customWidth="1"/>
    <col min="4114" max="4114" width="7" style="552" customWidth="1"/>
    <col min="4115" max="4115" width="8.85546875" style="552" customWidth="1"/>
    <col min="4116" max="4116" width="8.28515625" style="552" customWidth="1"/>
    <col min="4117" max="4117" width="8" style="552" customWidth="1"/>
    <col min="4118" max="4118" width="6.5703125" style="552" customWidth="1"/>
    <col min="4119" max="4119" width="6.42578125" style="552" customWidth="1"/>
    <col min="4120" max="4120" width="7" style="552" customWidth="1"/>
    <col min="4121" max="4121" width="6.85546875" style="552" customWidth="1"/>
    <col min="4122" max="4122" width="6.5703125" style="552" customWidth="1"/>
    <col min="4123" max="4123" width="7.5703125" style="552" customWidth="1"/>
    <col min="4124" max="4124" width="7.85546875" style="552" customWidth="1"/>
    <col min="4125" max="4125" width="7.140625" style="552" customWidth="1"/>
    <col min="4126" max="4352" width="9.140625" style="552"/>
    <col min="4353" max="4353" width="4.85546875" style="552" customWidth="1"/>
    <col min="4354" max="4354" width="39" style="552" customWidth="1"/>
    <col min="4355" max="4355" width="9.85546875" style="552" customWidth="1"/>
    <col min="4356" max="4356" width="8.5703125" style="552" customWidth="1"/>
    <col min="4357" max="4357" width="9.42578125" style="552" customWidth="1"/>
    <col min="4358" max="4358" width="8.28515625" style="552" customWidth="1"/>
    <col min="4359" max="4359" width="7" style="552" customWidth="1"/>
    <col min="4360" max="4360" width="6" style="552" customWidth="1"/>
    <col min="4361" max="4361" width="7.28515625" style="552" customWidth="1"/>
    <col min="4362" max="4362" width="9.28515625" style="552" customWidth="1"/>
    <col min="4363" max="4363" width="9.5703125" style="552" customWidth="1"/>
    <col min="4364" max="4364" width="8.28515625" style="552" customWidth="1"/>
    <col min="4365" max="4365" width="9.42578125" style="552" customWidth="1"/>
    <col min="4366" max="4366" width="7.140625" style="552" customWidth="1"/>
    <col min="4367" max="4367" width="7.42578125" style="552" customWidth="1"/>
    <col min="4368" max="4369" width="7.28515625" style="552" customWidth="1"/>
    <col min="4370" max="4370" width="7" style="552" customWidth="1"/>
    <col min="4371" max="4371" width="8.85546875" style="552" customWidth="1"/>
    <col min="4372" max="4372" width="8.28515625" style="552" customWidth="1"/>
    <col min="4373" max="4373" width="8" style="552" customWidth="1"/>
    <col min="4374" max="4374" width="6.5703125" style="552" customWidth="1"/>
    <col min="4375" max="4375" width="6.42578125" style="552" customWidth="1"/>
    <col min="4376" max="4376" width="7" style="552" customWidth="1"/>
    <col min="4377" max="4377" width="6.85546875" style="552" customWidth="1"/>
    <col min="4378" max="4378" width="6.5703125" style="552" customWidth="1"/>
    <col min="4379" max="4379" width="7.5703125" style="552" customWidth="1"/>
    <col min="4380" max="4380" width="7.85546875" style="552" customWidth="1"/>
    <col min="4381" max="4381" width="7.140625" style="552" customWidth="1"/>
    <col min="4382" max="4608" width="9.140625" style="552"/>
    <col min="4609" max="4609" width="4.85546875" style="552" customWidth="1"/>
    <col min="4610" max="4610" width="39" style="552" customWidth="1"/>
    <col min="4611" max="4611" width="9.85546875" style="552" customWidth="1"/>
    <col min="4612" max="4612" width="8.5703125" style="552" customWidth="1"/>
    <col min="4613" max="4613" width="9.42578125" style="552" customWidth="1"/>
    <col min="4614" max="4614" width="8.28515625" style="552" customWidth="1"/>
    <col min="4615" max="4615" width="7" style="552" customWidth="1"/>
    <col min="4616" max="4616" width="6" style="552" customWidth="1"/>
    <col min="4617" max="4617" width="7.28515625" style="552" customWidth="1"/>
    <col min="4618" max="4618" width="9.28515625" style="552" customWidth="1"/>
    <col min="4619" max="4619" width="9.5703125" style="552" customWidth="1"/>
    <col min="4620" max="4620" width="8.28515625" style="552" customWidth="1"/>
    <col min="4621" max="4621" width="9.42578125" style="552" customWidth="1"/>
    <col min="4622" max="4622" width="7.140625" style="552" customWidth="1"/>
    <col min="4623" max="4623" width="7.42578125" style="552" customWidth="1"/>
    <col min="4624" max="4625" width="7.28515625" style="552" customWidth="1"/>
    <col min="4626" max="4626" width="7" style="552" customWidth="1"/>
    <col min="4627" max="4627" width="8.85546875" style="552" customWidth="1"/>
    <col min="4628" max="4628" width="8.28515625" style="552" customWidth="1"/>
    <col min="4629" max="4629" width="8" style="552" customWidth="1"/>
    <col min="4630" max="4630" width="6.5703125" style="552" customWidth="1"/>
    <col min="4631" max="4631" width="6.42578125" style="552" customWidth="1"/>
    <col min="4632" max="4632" width="7" style="552" customWidth="1"/>
    <col min="4633" max="4633" width="6.85546875" style="552" customWidth="1"/>
    <col min="4634" max="4634" width="6.5703125" style="552" customWidth="1"/>
    <col min="4635" max="4635" width="7.5703125" style="552" customWidth="1"/>
    <col min="4636" max="4636" width="7.85546875" style="552" customWidth="1"/>
    <col min="4637" max="4637" width="7.140625" style="552" customWidth="1"/>
    <col min="4638" max="4864" width="9.140625" style="552"/>
    <col min="4865" max="4865" width="4.85546875" style="552" customWidth="1"/>
    <col min="4866" max="4866" width="39" style="552" customWidth="1"/>
    <col min="4867" max="4867" width="9.85546875" style="552" customWidth="1"/>
    <col min="4868" max="4868" width="8.5703125" style="552" customWidth="1"/>
    <col min="4869" max="4869" width="9.42578125" style="552" customWidth="1"/>
    <col min="4870" max="4870" width="8.28515625" style="552" customWidth="1"/>
    <col min="4871" max="4871" width="7" style="552" customWidth="1"/>
    <col min="4872" max="4872" width="6" style="552" customWidth="1"/>
    <col min="4873" max="4873" width="7.28515625" style="552" customWidth="1"/>
    <col min="4874" max="4874" width="9.28515625" style="552" customWidth="1"/>
    <col min="4875" max="4875" width="9.5703125" style="552" customWidth="1"/>
    <col min="4876" max="4876" width="8.28515625" style="552" customWidth="1"/>
    <col min="4877" max="4877" width="9.42578125" style="552" customWidth="1"/>
    <col min="4878" max="4878" width="7.140625" style="552" customWidth="1"/>
    <col min="4879" max="4879" width="7.42578125" style="552" customWidth="1"/>
    <col min="4880" max="4881" width="7.28515625" style="552" customWidth="1"/>
    <col min="4882" max="4882" width="7" style="552" customWidth="1"/>
    <col min="4883" max="4883" width="8.85546875" style="552" customWidth="1"/>
    <col min="4884" max="4884" width="8.28515625" style="552" customWidth="1"/>
    <col min="4885" max="4885" width="8" style="552" customWidth="1"/>
    <col min="4886" max="4886" width="6.5703125" style="552" customWidth="1"/>
    <col min="4887" max="4887" width="6.42578125" style="552" customWidth="1"/>
    <col min="4888" max="4888" width="7" style="552" customWidth="1"/>
    <col min="4889" max="4889" width="6.85546875" style="552" customWidth="1"/>
    <col min="4890" max="4890" width="6.5703125" style="552" customWidth="1"/>
    <col min="4891" max="4891" width="7.5703125" style="552" customWidth="1"/>
    <col min="4892" max="4892" width="7.85546875" style="552" customWidth="1"/>
    <col min="4893" max="4893" width="7.140625" style="552" customWidth="1"/>
    <col min="4894" max="5120" width="9.140625" style="552"/>
    <col min="5121" max="5121" width="4.85546875" style="552" customWidth="1"/>
    <col min="5122" max="5122" width="39" style="552" customWidth="1"/>
    <col min="5123" max="5123" width="9.85546875" style="552" customWidth="1"/>
    <col min="5124" max="5124" width="8.5703125" style="552" customWidth="1"/>
    <col min="5125" max="5125" width="9.42578125" style="552" customWidth="1"/>
    <col min="5126" max="5126" width="8.28515625" style="552" customWidth="1"/>
    <col min="5127" max="5127" width="7" style="552" customWidth="1"/>
    <col min="5128" max="5128" width="6" style="552" customWidth="1"/>
    <col min="5129" max="5129" width="7.28515625" style="552" customWidth="1"/>
    <col min="5130" max="5130" width="9.28515625" style="552" customWidth="1"/>
    <col min="5131" max="5131" width="9.5703125" style="552" customWidth="1"/>
    <col min="5132" max="5132" width="8.28515625" style="552" customWidth="1"/>
    <col min="5133" max="5133" width="9.42578125" style="552" customWidth="1"/>
    <col min="5134" max="5134" width="7.140625" style="552" customWidth="1"/>
    <col min="5135" max="5135" width="7.42578125" style="552" customWidth="1"/>
    <col min="5136" max="5137" width="7.28515625" style="552" customWidth="1"/>
    <col min="5138" max="5138" width="7" style="552" customWidth="1"/>
    <col min="5139" max="5139" width="8.85546875" style="552" customWidth="1"/>
    <col min="5140" max="5140" width="8.28515625" style="552" customWidth="1"/>
    <col min="5141" max="5141" width="8" style="552" customWidth="1"/>
    <col min="5142" max="5142" width="6.5703125" style="552" customWidth="1"/>
    <col min="5143" max="5143" width="6.42578125" style="552" customWidth="1"/>
    <col min="5144" max="5144" width="7" style="552" customWidth="1"/>
    <col min="5145" max="5145" width="6.85546875" style="552" customWidth="1"/>
    <col min="5146" max="5146" width="6.5703125" style="552" customWidth="1"/>
    <col min="5147" max="5147" width="7.5703125" style="552" customWidth="1"/>
    <col min="5148" max="5148" width="7.85546875" style="552" customWidth="1"/>
    <col min="5149" max="5149" width="7.140625" style="552" customWidth="1"/>
    <col min="5150" max="5376" width="9.140625" style="552"/>
    <col min="5377" max="5377" width="4.85546875" style="552" customWidth="1"/>
    <col min="5378" max="5378" width="39" style="552" customWidth="1"/>
    <col min="5379" max="5379" width="9.85546875" style="552" customWidth="1"/>
    <col min="5380" max="5380" width="8.5703125" style="552" customWidth="1"/>
    <col min="5381" max="5381" width="9.42578125" style="552" customWidth="1"/>
    <col min="5382" max="5382" width="8.28515625" style="552" customWidth="1"/>
    <col min="5383" max="5383" width="7" style="552" customWidth="1"/>
    <col min="5384" max="5384" width="6" style="552" customWidth="1"/>
    <col min="5385" max="5385" width="7.28515625" style="552" customWidth="1"/>
    <col min="5386" max="5386" width="9.28515625" style="552" customWidth="1"/>
    <col min="5387" max="5387" width="9.5703125" style="552" customWidth="1"/>
    <col min="5388" max="5388" width="8.28515625" style="552" customWidth="1"/>
    <col min="5389" max="5389" width="9.42578125" style="552" customWidth="1"/>
    <col min="5390" max="5390" width="7.140625" style="552" customWidth="1"/>
    <col min="5391" max="5391" width="7.42578125" style="552" customWidth="1"/>
    <col min="5392" max="5393" width="7.28515625" style="552" customWidth="1"/>
    <col min="5394" max="5394" width="7" style="552" customWidth="1"/>
    <col min="5395" max="5395" width="8.85546875" style="552" customWidth="1"/>
    <col min="5396" max="5396" width="8.28515625" style="552" customWidth="1"/>
    <col min="5397" max="5397" width="8" style="552" customWidth="1"/>
    <col min="5398" max="5398" width="6.5703125" style="552" customWidth="1"/>
    <col min="5399" max="5399" width="6.42578125" style="552" customWidth="1"/>
    <col min="5400" max="5400" width="7" style="552" customWidth="1"/>
    <col min="5401" max="5401" width="6.85546875" style="552" customWidth="1"/>
    <col min="5402" max="5402" width="6.5703125" style="552" customWidth="1"/>
    <col min="5403" max="5403" width="7.5703125" style="552" customWidth="1"/>
    <col min="5404" max="5404" width="7.85546875" style="552" customWidth="1"/>
    <col min="5405" max="5405" width="7.140625" style="552" customWidth="1"/>
    <col min="5406" max="5632" width="9.140625" style="552"/>
    <col min="5633" max="5633" width="4.85546875" style="552" customWidth="1"/>
    <col min="5634" max="5634" width="39" style="552" customWidth="1"/>
    <col min="5635" max="5635" width="9.85546875" style="552" customWidth="1"/>
    <col min="5636" max="5636" width="8.5703125" style="552" customWidth="1"/>
    <col min="5637" max="5637" width="9.42578125" style="552" customWidth="1"/>
    <col min="5638" max="5638" width="8.28515625" style="552" customWidth="1"/>
    <col min="5639" max="5639" width="7" style="552" customWidth="1"/>
    <col min="5640" max="5640" width="6" style="552" customWidth="1"/>
    <col min="5641" max="5641" width="7.28515625" style="552" customWidth="1"/>
    <col min="5642" max="5642" width="9.28515625" style="552" customWidth="1"/>
    <col min="5643" max="5643" width="9.5703125" style="552" customWidth="1"/>
    <col min="5644" max="5644" width="8.28515625" style="552" customWidth="1"/>
    <col min="5645" max="5645" width="9.42578125" style="552" customWidth="1"/>
    <col min="5646" max="5646" width="7.140625" style="552" customWidth="1"/>
    <col min="5647" max="5647" width="7.42578125" style="552" customWidth="1"/>
    <col min="5648" max="5649" width="7.28515625" style="552" customWidth="1"/>
    <col min="5650" max="5650" width="7" style="552" customWidth="1"/>
    <col min="5651" max="5651" width="8.85546875" style="552" customWidth="1"/>
    <col min="5652" max="5652" width="8.28515625" style="552" customWidth="1"/>
    <col min="5653" max="5653" width="8" style="552" customWidth="1"/>
    <col min="5654" max="5654" width="6.5703125" style="552" customWidth="1"/>
    <col min="5655" max="5655" width="6.42578125" style="552" customWidth="1"/>
    <col min="5656" max="5656" width="7" style="552" customWidth="1"/>
    <col min="5657" max="5657" width="6.85546875" style="552" customWidth="1"/>
    <col min="5658" max="5658" width="6.5703125" style="552" customWidth="1"/>
    <col min="5659" max="5659" width="7.5703125" style="552" customWidth="1"/>
    <col min="5660" max="5660" width="7.85546875" style="552" customWidth="1"/>
    <col min="5661" max="5661" width="7.140625" style="552" customWidth="1"/>
    <col min="5662" max="5888" width="9.140625" style="552"/>
    <col min="5889" max="5889" width="4.85546875" style="552" customWidth="1"/>
    <col min="5890" max="5890" width="39" style="552" customWidth="1"/>
    <col min="5891" max="5891" width="9.85546875" style="552" customWidth="1"/>
    <col min="5892" max="5892" width="8.5703125" style="552" customWidth="1"/>
    <col min="5893" max="5893" width="9.42578125" style="552" customWidth="1"/>
    <col min="5894" max="5894" width="8.28515625" style="552" customWidth="1"/>
    <col min="5895" max="5895" width="7" style="552" customWidth="1"/>
    <col min="5896" max="5896" width="6" style="552" customWidth="1"/>
    <col min="5897" max="5897" width="7.28515625" style="552" customWidth="1"/>
    <col min="5898" max="5898" width="9.28515625" style="552" customWidth="1"/>
    <col min="5899" max="5899" width="9.5703125" style="552" customWidth="1"/>
    <col min="5900" max="5900" width="8.28515625" style="552" customWidth="1"/>
    <col min="5901" max="5901" width="9.42578125" style="552" customWidth="1"/>
    <col min="5902" max="5902" width="7.140625" style="552" customWidth="1"/>
    <col min="5903" max="5903" width="7.42578125" style="552" customWidth="1"/>
    <col min="5904" max="5905" width="7.28515625" style="552" customWidth="1"/>
    <col min="5906" max="5906" width="7" style="552" customWidth="1"/>
    <col min="5907" max="5907" width="8.85546875" style="552" customWidth="1"/>
    <col min="5908" max="5908" width="8.28515625" style="552" customWidth="1"/>
    <col min="5909" max="5909" width="8" style="552" customWidth="1"/>
    <col min="5910" max="5910" width="6.5703125" style="552" customWidth="1"/>
    <col min="5911" max="5911" width="6.42578125" style="552" customWidth="1"/>
    <col min="5912" max="5912" width="7" style="552" customWidth="1"/>
    <col min="5913" max="5913" width="6.85546875" style="552" customWidth="1"/>
    <col min="5914" max="5914" width="6.5703125" style="552" customWidth="1"/>
    <col min="5915" max="5915" width="7.5703125" style="552" customWidth="1"/>
    <col min="5916" max="5916" width="7.85546875" style="552" customWidth="1"/>
    <col min="5917" max="5917" width="7.140625" style="552" customWidth="1"/>
    <col min="5918" max="6144" width="9.140625" style="552"/>
    <col min="6145" max="6145" width="4.85546875" style="552" customWidth="1"/>
    <col min="6146" max="6146" width="39" style="552" customWidth="1"/>
    <col min="6147" max="6147" width="9.85546875" style="552" customWidth="1"/>
    <col min="6148" max="6148" width="8.5703125" style="552" customWidth="1"/>
    <col min="6149" max="6149" width="9.42578125" style="552" customWidth="1"/>
    <col min="6150" max="6150" width="8.28515625" style="552" customWidth="1"/>
    <col min="6151" max="6151" width="7" style="552" customWidth="1"/>
    <col min="6152" max="6152" width="6" style="552" customWidth="1"/>
    <col min="6153" max="6153" width="7.28515625" style="552" customWidth="1"/>
    <col min="6154" max="6154" width="9.28515625" style="552" customWidth="1"/>
    <col min="6155" max="6155" width="9.5703125" style="552" customWidth="1"/>
    <col min="6156" max="6156" width="8.28515625" style="552" customWidth="1"/>
    <col min="6157" max="6157" width="9.42578125" style="552" customWidth="1"/>
    <col min="6158" max="6158" width="7.140625" style="552" customWidth="1"/>
    <col min="6159" max="6159" width="7.42578125" style="552" customWidth="1"/>
    <col min="6160" max="6161" width="7.28515625" style="552" customWidth="1"/>
    <col min="6162" max="6162" width="7" style="552" customWidth="1"/>
    <col min="6163" max="6163" width="8.85546875" style="552" customWidth="1"/>
    <col min="6164" max="6164" width="8.28515625" style="552" customWidth="1"/>
    <col min="6165" max="6165" width="8" style="552" customWidth="1"/>
    <col min="6166" max="6166" width="6.5703125" style="552" customWidth="1"/>
    <col min="6167" max="6167" width="6.42578125" style="552" customWidth="1"/>
    <col min="6168" max="6168" width="7" style="552" customWidth="1"/>
    <col min="6169" max="6169" width="6.85546875" style="552" customWidth="1"/>
    <col min="6170" max="6170" width="6.5703125" style="552" customWidth="1"/>
    <col min="6171" max="6171" width="7.5703125" style="552" customWidth="1"/>
    <col min="6172" max="6172" width="7.85546875" style="552" customWidth="1"/>
    <col min="6173" max="6173" width="7.140625" style="552" customWidth="1"/>
    <col min="6174" max="6400" width="9.140625" style="552"/>
    <col min="6401" max="6401" width="4.85546875" style="552" customWidth="1"/>
    <col min="6402" max="6402" width="39" style="552" customWidth="1"/>
    <col min="6403" max="6403" width="9.85546875" style="552" customWidth="1"/>
    <col min="6404" max="6404" width="8.5703125" style="552" customWidth="1"/>
    <col min="6405" max="6405" width="9.42578125" style="552" customWidth="1"/>
    <col min="6406" max="6406" width="8.28515625" style="552" customWidth="1"/>
    <col min="6407" max="6407" width="7" style="552" customWidth="1"/>
    <col min="6408" max="6408" width="6" style="552" customWidth="1"/>
    <col min="6409" max="6409" width="7.28515625" style="552" customWidth="1"/>
    <col min="6410" max="6410" width="9.28515625" style="552" customWidth="1"/>
    <col min="6411" max="6411" width="9.5703125" style="552" customWidth="1"/>
    <col min="6412" max="6412" width="8.28515625" style="552" customWidth="1"/>
    <col min="6413" max="6413" width="9.42578125" style="552" customWidth="1"/>
    <col min="6414" max="6414" width="7.140625" style="552" customWidth="1"/>
    <col min="6415" max="6415" width="7.42578125" style="552" customWidth="1"/>
    <col min="6416" max="6417" width="7.28515625" style="552" customWidth="1"/>
    <col min="6418" max="6418" width="7" style="552" customWidth="1"/>
    <col min="6419" max="6419" width="8.85546875" style="552" customWidth="1"/>
    <col min="6420" max="6420" width="8.28515625" style="552" customWidth="1"/>
    <col min="6421" max="6421" width="8" style="552" customWidth="1"/>
    <col min="6422" max="6422" width="6.5703125" style="552" customWidth="1"/>
    <col min="6423" max="6423" width="6.42578125" style="552" customWidth="1"/>
    <col min="6424" max="6424" width="7" style="552" customWidth="1"/>
    <col min="6425" max="6425" width="6.85546875" style="552" customWidth="1"/>
    <col min="6426" max="6426" width="6.5703125" style="552" customWidth="1"/>
    <col min="6427" max="6427" width="7.5703125" style="552" customWidth="1"/>
    <col min="6428" max="6428" width="7.85546875" style="552" customWidth="1"/>
    <col min="6429" max="6429" width="7.140625" style="552" customWidth="1"/>
    <col min="6430" max="6656" width="9.140625" style="552"/>
    <col min="6657" max="6657" width="4.85546875" style="552" customWidth="1"/>
    <col min="6658" max="6658" width="39" style="552" customWidth="1"/>
    <col min="6659" max="6659" width="9.85546875" style="552" customWidth="1"/>
    <col min="6660" max="6660" width="8.5703125" style="552" customWidth="1"/>
    <col min="6661" max="6661" width="9.42578125" style="552" customWidth="1"/>
    <col min="6662" max="6662" width="8.28515625" style="552" customWidth="1"/>
    <col min="6663" max="6663" width="7" style="552" customWidth="1"/>
    <col min="6664" max="6664" width="6" style="552" customWidth="1"/>
    <col min="6665" max="6665" width="7.28515625" style="552" customWidth="1"/>
    <col min="6666" max="6666" width="9.28515625" style="552" customWidth="1"/>
    <col min="6667" max="6667" width="9.5703125" style="552" customWidth="1"/>
    <col min="6668" max="6668" width="8.28515625" style="552" customWidth="1"/>
    <col min="6669" max="6669" width="9.42578125" style="552" customWidth="1"/>
    <col min="6670" max="6670" width="7.140625" style="552" customWidth="1"/>
    <col min="6671" max="6671" width="7.42578125" style="552" customWidth="1"/>
    <col min="6672" max="6673" width="7.28515625" style="552" customWidth="1"/>
    <col min="6674" max="6674" width="7" style="552" customWidth="1"/>
    <col min="6675" max="6675" width="8.85546875" style="552" customWidth="1"/>
    <col min="6676" max="6676" width="8.28515625" style="552" customWidth="1"/>
    <col min="6677" max="6677" width="8" style="552" customWidth="1"/>
    <col min="6678" max="6678" width="6.5703125" style="552" customWidth="1"/>
    <col min="6679" max="6679" width="6.42578125" style="552" customWidth="1"/>
    <col min="6680" max="6680" width="7" style="552" customWidth="1"/>
    <col min="6681" max="6681" width="6.85546875" style="552" customWidth="1"/>
    <col min="6682" max="6682" width="6.5703125" style="552" customWidth="1"/>
    <col min="6683" max="6683" width="7.5703125" style="552" customWidth="1"/>
    <col min="6684" max="6684" width="7.85546875" style="552" customWidth="1"/>
    <col min="6685" max="6685" width="7.140625" style="552" customWidth="1"/>
    <col min="6686" max="6912" width="9.140625" style="552"/>
    <col min="6913" max="6913" width="4.85546875" style="552" customWidth="1"/>
    <col min="6914" max="6914" width="39" style="552" customWidth="1"/>
    <col min="6915" max="6915" width="9.85546875" style="552" customWidth="1"/>
    <col min="6916" max="6916" width="8.5703125" style="552" customWidth="1"/>
    <col min="6917" max="6917" width="9.42578125" style="552" customWidth="1"/>
    <col min="6918" max="6918" width="8.28515625" style="552" customWidth="1"/>
    <col min="6919" max="6919" width="7" style="552" customWidth="1"/>
    <col min="6920" max="6920" width="6" style="552" customWidth="1"/>
    <col min="6921" max="6921" width="7.28515625" style="552" customWidth="1"/>
    <col min="6922" max="6922" width="9.28515625" style="552" customWidth="1"/>
    <col min="6923" max="6923" width="9.5703125" style="552" customWidth="1"/>
    <col min="6924" max="6924" width="8.28515625" style="552" customWidth="1"/>
    <col min="6925" max="6925" width="9.42578125" style="552" customWidth="1"/>
    <col min="6926" max="6926" width="7.140625" style="552" customWidth="1"/>
    <col min="6927" max="6927" width="7.42578125" style="552" customWidth="1"/>
    <col min="6928" max="6929" width="7.28515625" style="552" customWidth="1"/>
    <col min="6930" max="6930" width="7" style="552" customWidth="1"/>
    <col min="6931" max="6931" width="8.85546875" style="552" customWidth="1"/>
    <col min="6932" max="6932" width="8.28515625" style="552" customWidth="1"/>
    <col min="6933" max="6933" width="8" style="552" customWidth="1"/>
    <col min="6934" max="6934" width="6.5703125" style="552" customWidth="1"/>
    <col min="6935" max="6935" width="6.42578125" style="552" customWidth="1"/>
    <col min="6936" max="6936" width="7" style="552" customWidth="1"/>
    <col min="6937" max="6937" width="6.85546875" style="552" customWidth="1"/>
    <col min="6938" max="6938" width="6.5703125" style="552" customWidth="1"/>
    <col min="6939" max="6939" width="7.5703125" style="552" customWidth="1"/>
    <col min="6940" max="6940" width="7.85546875" style="552" customWidth="1"/>
    <col min="6941" max="6941" width="7.140625" style="552" customWidth="1"/>
    <col min="6942" max="7168" width="9.140625" style="552"/>
    <col min="7169" max="7169" width="4.85546875" style="552" customWidth="1"/>
    <col min="7170" max="7170" width="39" style="552" customWidth="1"/>
    <col min="7171" max="7171" width="9.85546875" style="552" customWidth="1"/>
    <col min="7172" max="7172" width="8.5703125" style="552" customWidth="1"/>
    <col min="7173" max="7173" width="9.42578125" style="552" customWidth="1"/>
    <col min="7174" max="7174" width="8.28515625" style="552" customWidth="1"/>
    <col min="7175" max="7175" width="7" style="552" customWidth="1"/>
    <col min="7176" max="7176" width="6" style="552" customWidth="1"/>
    <col min="7177" max="7177" width="7.28515625" style="552" customWidth="1"/>
    <col min="7178" max="7178" width="9.28515625" style="552" customWidth="1"/>
    <col min="7179" max="7179" width="9.5703125" style="552" customWidth="1"/>
    <col min="7180" max="7180" width="8.28515625" style="552" customWidth="1"/>
    <col min="7181" max="7181" width="9.42578125" style="552" customWidth="1"/>
    <col min="7182" max="7182" width="7.140625" style="552" customWidth="1"/>
    <col min="7183" max="7183" width="7.42578125" style="552" customWidth="1"/>
    <col min="7184" max="7185" width="7.28515625" style="552" customWidth="1"/>
    <col min="7186" max="7186" width="7" style="552" customWidth="1"/>
    <col min="7187" max="7187" width="8.85546875" style="552" customWidth="1"/>
    <col min="7188" max="7188" width="8.28515625" style="552" customWidth="1"/>
    <col min="7189" max="7189" width="8" style="552" customWidth="1"/>
    <col min="7190" max="7190" width="6.5703125" style="552" customWidth="1"/>
    <col min="7191" max="7191" width="6.42578125" style="552" customWidth="1"/>
    <col min="7192" max="7192" width="7" style="552" customWidth="1"/>
    <col min="7193" max="7193" width="6.85546875" style="552" customWidth="1"/>
    <col min="7194" max="7194" width="6.5703125" style="552" customWidth="1"/>
    <col min="7195" max="7195" width="7.5703125" style="552" customWidth="1"/>
    <col min="7196" max="7196" width="7.85546875" style="552" customWidth="1"/>
    <col min="7197" max="7197" width="7.140625" style="552" customWidth="1"/>
    <col min="7198" max="7424" width="9.140625" style="552"/>
    <col min="7425" max="7425" width="4.85546875" style="552" customWidth="1"/>
    <col min="7426" max="7426" width="39" style="552" customWidth="1"/>
    <col min="7427" max="7427" width="9.85546875" style="552" customWidth="1"/>
    <col min="7428" max="7428" width="8.5703125" style="552" customWidth="1"/>
    <col min="7429" max="7429" width="9.42578125" style="552" customWidth="1"/>
    <col min="7430" max="7430" width="8.28515625" style="552" customWidth="1"/>
    <col min="7431" max="7431" width="7" style="552" customWidth="1"/>
    <col min="7432" max="7432" width="6" style="552" customWidth="1"/>
    <col min="7433" max="7433" width="7.28515625" style="552" customWidth="1"/>
    <col min="7434" max="7434" width="9.28515625" style="552" customWidth="1"/>
    <col min="7435" max="7435" width="9.5703125" style="552" customWidth="1"/>
    <col min="7436" max="7436" width="8.28515625" style="552" customWidth="1"/>
    <col min="7437" max="7437" width="9.42578125" style="552" customWidth="1"/>
    <col min="7438" max="7438" width="7.140625" style="552" customWidth="1"/>
    <col min="7439" max="7439" width="7.42578125" style="552" customWidth="1"/>
    <col min="7440" max="7441" width="7.28515625" style="552" customWidth="1"/>
    <col min="7442" max="7442" width="7" style="552" customWidth="1"/>
    <col min="7443" max="7443" width="8.85546875" style="552" customWidth="1"/>
    <col min="7444" max="7444" width="8.28515625" style="552" customWidth="1"/>
    <col min="7445" max="7445" width="8" style="552" customWidth="1"/>
    <col min="7446" max="7446" width="6.5703125" style="552" customWidth="1"/>
    <col min="7447" max="7447" width="6.42578125" style="552" customWidth="1"/>
    <col min="7448" max="7448" width="7" style="552" customWidth="1"/>
    <col min="7449" max="7449" width="6.85546875" style="552" customWidth="1"/>
    <col min="7450" max="7450" width="6.5703125" style="552" customWidth="1"/>
    <col min="7451" max="7451" width="7.5703125" style="552" customWidth="1"/>
    <col min="7452" max="7452" width="7.85546875" style="552" customWidth="1"/>
    <col min="7453" max="7453" width="7.140625" style="552" customWidth="1"/>
    <col min="7454" max="7680" width="9.140625" style="552"/>
    <col min="7681" max="7681" width="4.85546875" style="552" customWidth="1"/>
    <col min="7682" max="7682" width="39" style="552" customWidth="1"/>
    <col min="7683" max="7683" width="9.85546875" style="552" customWidth="1"/>
    <col min="7684" max="7684" width="8.5703125" style="552" customWidth="1"/>
    <col min="7685" max="7685" width="9.42578125" style="552" customWidth="1"/>
    <col min="7686" max="7686" width="8.28515625" style="552" customWidth="1"/>
    <col min="7687" max="7687" width="7" style="552" customWidth="1"/>
    <col min="7688" max="7688" width="6" style="552" customWidth="1"/>
    <col min="7689" max="7689" width="7.28515625" style="552" customWidth="1"/>
    <col min="7690" max="7690" width="9.28515625" style="552" customWidth="1"/>
    <col min="7691" max="7691" width="9.5703125" style="552" customWidth="1"/>
    <col min="7692" max="7692" width="8.28515625" style="552" customWidth="1"/>
    <col min="7693" max="7693" width="9.42578125" style="552" customWidth="1"/>
    <col min="7694" max="7694" width="7.140625" style="552" customWidth="1"/>
    <col min="7695" max="7695" width="7.42578125" style="552" customWidth="1"/>
    <col min="7696" max="7697" width="7.28515625" style="552" customWidth="1"/>
    <col min="7698" max="7698" width="7" style="552" customWidth="1"/>
    <col min="7699" max="7699" width="8.85546875" style="552" customWidth="1"/>
    <col min="7700" max="7700" width="8.28515625" style="552" customWidth="1"/>
    <col min="7701" max="7701" width="8" style="552" customWidth="1"/>
    <col min="7702" max="7702" width="6.5703125" style="552" customWidth="1"/>
    <col min="7703" max="7703" width="6.42578125" style="552" customWidth="1"/>
    <col min="7704" max="7704" width="7" style="552" customWidth="1"/>
    <col min="7705" max="7705" width="6.85546875" style="552" customWidth="1"/>
    <col min="7706" max="7706" width="6.5703125" style="552" customWidth="1"/>
    <col min="7707" max="7707" width="7.5703125" style="552" customWidth="1"/>
    <col min="7708" max="7708" width="7.85546875" style="552" customWidth="1"/>
    <col min="7709" max="7709" width="7.140625" style="552" customWidth="1"/>
    <col min="7710" max="7936" width="9.140625" style="552"/>
    <col min="7937" max="7937" width="4.85546875" style="552" customWidth="1"/>
    <col min="7938" max="7938" width="39" style="552" customWidth="1"/>
    <col min="7939" max="7939" width="9.85546875" style="552" customWidth="1"/>
    <col min="7940" max="7940" width="8.5703125" style="552" customWidth="1"/>
    <col min="7941" max="7941" width="9.42578125" style="552" customWidth="1"/>
    <col min="7942" max="7942" width="8.28515625" style="552" customWidth="1"/>
    <col min="7943" max="7943" width="7" style="552" customWidth="1"/>
    <col min="7944" max="7944" width="6" style="552" customWidth="1"/>
    <col min="7945" max="7945" width="7.28515625" style="552" customWidth="1"/>
    <col min="7946" max="7946" width="9.28515625" style="552" customWidth="1"/>
    <col min="7947" max="7947" width="9.5703125" style="552" customWidth="1"/>
    <col min="7948" max="7948" width="8.28515625" style="552" customWidth="1"/>
    <col min="7949" max="7949" width="9.42578125" style="552" customWidth="1"/>
    <col min="7950" max="7950" width="7.140625" style="552" customWidth="1"/>
    <col min="7951" max="7951" width="7.42578125" style="552" customWidth="1"/>
    <col min="7952" max="7953" width="7.28515625" style="552" customWidth="1"/>
    <col min="7954" max="7954" width="7" style="552" customWidth="1"/>
    <col min="7955" max="7955" width="8.85546875" style="552" customWidth="1"/>
    <col min="7956" max="7956" width="8.28515625" style="552" customWidth="1"/>
    <col min="7957" max="7957" width="8" style="552" customWidth="1"/>
    <col min="7958" max="7958" width="6.5703125" style="552" customWidth="1"/>
    <col min="7959" max="7959" width="6.42578125" style="552" customWidth="1"/>
    <col min="7960" max="7960" width="7" style="552" customWidth="1"/>
    <col min="7961" max="7961" width="6.85546875" style="552" customWidth="1"/>
    <col min="7962" max="7962" width="6.5703125" style="552" customWidth="1"/>
    <col min="7963" max="7963" width="7.5703125" style="552" customWidth="1"/>
    <col min="7964" max="7964" width="7.85546875" style="552" customWidth="1"/>
    <col min="7965" max="7965" width="7.140625" style="552" customWidth="1"/>
    <col min="7966" max="8192" width="9.140625" style="552"/>
    <col min="8193" max="8193" width="4.85546875" style="552" customWidth="1"/>
    <col min="8194" max="8194" width="39" style="552" customWidth="1"/>
    <col min="8195" max="8195" width="9.85546875" style="552" customWidth="1"/>
    <col min="8196" max="8196" width="8.5703125" style="552" customWidth="1"/>
    <col min="8197" max="8197" width="9.42578125" style="552" customWidth="1"/>
    <col min="8198" max="8198" width="8.28515625" style="552" customWidth="1"/>
    <col min="8199" max="8199" width="7" style="552" customWidth="1"/>
    <col min="8200" max="8200" width="6" style="552" customWidth="1"/>
    <col min="8201" max="8201" width="7.28515625" style="552" customWidth="1"/>
    <col min="8202" max="8202" width="9.28515625" style="552" customWidth="1"/>
    <col min="8203" max="8203" width="9.5703125" style="552" customWidth="1"/>
    <col min="8204" max="8204" width="8.28515625" style="552" customWidth="1"/>
    <col min="8205" max="8205" width="9.42578125" style="552" customWidth="1"/>
    <col min="8206" max="8206" width="7.140625" style="552" customWidth="1"/>
    <col min="8207" max="8207" width="7.42578125" style="552" customWidth="1"/>
    <col min="8208" max="8209" width="7.28515625" style="552" customWidth="1"/>
    <col min="8210" max="8210" width="7" style="552" customWidth="1"/>
    <col min="8211" max="8211" width="8.85546875" style="552" customWidth="1"/>
    <col min="8212" max="8212" width="8.28515625" style="552" customWidth="1"/>
    <col min="8213" max="8213" width="8" style="552" customWidth="1"/>
    <col min="8214" max="8214" width="6.5703125" style="552" customWidth="1"/>
    <col min="8215" max="8215" width="6.42578125" style="552" customWidth="1"/>
    <col min="8216" max="8216" width="7" style="552" customWidth="1"/>
    <col min="8217" max="8217" width="6.85546875" style="552" customWidth="1"/>
    <col min="8218" max="8218" width="6.5703125" style="552" customWidth="1"/>
    <col min="8219" max="8219" width="7.5703125" style="552" customWidth="1"/>
    <col min="8220" max="8220" width="7.85546875" style="552" customWidth="1"/>
    <col min="8221" max="8221" width="7.140625" style="552" customWidth="1"/>
    <col min="8222" max="8448" width="9.140625" style="552"/>
    <col min="8449" max="8449" width="4.85546875" style="552" customWidth="1"/>
    <col min="8450" max="8450" width="39" style="552" customWidth="1"/>
    <col min="8451" max="8451" width="9.85546875" style="552" customWidth="1"/>
    <col min="8452" max="8452" width="8.5703125" style="552" customWidth="1"/>
    <col min="8453" max="8453" width="9.42578125" style="552" customWidth="1"/>
    <col min="8454" max="8454" width="8.28515625" style="552" customWidth="1"/>
    <col min="8455" max="8455" width="7" style="552" customWidth="1"/>
    <col min="8456" max="8456" width="6" style="552" customWidth="1"/>
    <col min="8457" max="8457" width="7.28515625" style="552" customWidth="1"/>
    <col min="8458" max="8458" width="9.28515625" style="552" customWidth="1"/>
    <col min="8459" max="8459" width="9.5703125" style="552" customWidth="1"/>
    <col min="8460" max="8460" width="8.28515625" style="552" customWidth="1"/>
    <col min="8461" max="8461" width="9.42578125" style="552" customWidth="1"/>
    <col min="8462" max="8462" width="7.140625" style="552" customWidth="1"/>
    <col min="8463" max="8463" width="7.42578125" style="552" customWidth="1"/>
    <col min="8464" max="8465" width="7.28515625" style="552" customWidth="1"/>
    <col min="8466" max="8466" width="7" style="552" customWidth="1"/>
    <col min="8467" max="8467" width="8.85546875" style="552" customWidth="1"/>
    <col min="8468" max="8468" width="8.28515625" style="552" customWidth="1"/>
    <col min="8469" max="8469" width="8" style="552" customWidth="1"/>
    <col min="8470" max="8470" width="6.5703125" style="552" customWidth="1"/>
    <col min="8471" max="8471" width="6.42578125" style="552" customWidth="1"/>
    <col min="8472" max="8472" width="7" style="552" customWidth="1"/>
    <col min="8473" max="8473" width="6.85546875" style="552" customWidth="1"/>
    <col min="8474" max="8474" width="6.5703125" style="552" customWidth="1"/>
    <col min="8475" max="8475" width="7.5703125" style="552" customWidth="1"/>
    <col min="8476" max="8476" width="7.85546875" style="552" customWidth="1"/>
    <col min="8477" max="8477" width="7.140625" style="552" customWidth="1"/>
    <col min="8478" max="8704" width="9.140625" style="552"/>
    <col min="8705" max="8705" width="4.85546875" style="552" customWidth="1"/>
    <col min="8706" max="8706" width="39" style="552" customWidth="1"/>
    <col min="8707" max="8707" width="9.85546875" style="552" customWidth="1"/>
    <col min="8708" max="8708" width="8.5703125" style="552" customWidth="1"/>
    <col min="8709" max="8709" width="9.42578125" style="552" customWidth="1"/>
    <col min="8710" max="8710" width="8.28515625" style="552" customWidth="1"/>
    <col min="8711" max="8711" width="7" style="552" customWidth="1"/>
    <col min="8712" max="8712" width="6" style="552" customWidth="1"/>
    <col min="8713" max="8713" width="7.28515625" style="552" customWidth="1"/>
    <col min="8714" max="8714" width="9.28515625" style="552" customWidth="1"/>
    <col min="8715" max="8715" width="9.5703125" style="552" customWidth="1"/>
    <col min="8716" max="8716" width="8.28515625" style="552" customWidth="1"/>
    <col min="8717" max="8717" width="9.42578125" style="552" customWidth="1"/>
    <col min="8718" max="8718" width="7.140625" style="552" customWidth="1"/>
    <col min="8719" max="8719" width="7.42578125" style="552" customWidth="1"/>
    <col min="8720" max="8721" width="7.28515625" style="552" customWidth="1"/>
    <col min="8722" max="8722" width="7" style="552" customWidth="1"/>
    <col min="8723" max="8723" width="8.85546875" style="552" customWidth="1"/>
    <col min="8724" max="8724" width="8.28515625" style="552" customWidth="1"/>
    <col min="8725" max="8725" width="8" style="552" customWidth="1"/>
    <col min="8726" max="8726" width="6.5703125" style="552" customWidth="1"/>
    <col min="8727" max="8727" width="6.42578125" style="552" customWidth="1"/>
    <col min="8728" max="8728" width="7" style="552" customWidth="1"/>
    <col min="8729" max="8729" width="6.85546875" style="552" customWidth="1"/>
    <col min="8730" max="8730" width="6.5703125" style="552" customWidth="1"/>
    <col min="8731" max="8731" width="7.5703125" style="552" customWidth="1"/>
    <col min="8732" max="8732" width="7.85546875" style="552" customWidth="1"/>
    <col min="8733" max="8733" width="7.140625" style="552" customWidth="1"/>
    <col min="8734" max="8960" width="9.140625" style="552"/>
    <col min="8961" max="8961" width="4.85546875" style="552" customWidth="1"/>
    <col min="8962" max="8962" width="39" style="552" customWidth="1"/>
    <col min="8963" max="8963" width="9.85546875" style="552" customWidth="1"/>
    <col min="8964" max="8964" width="8.5703125" style="552" customWidth="1"/>
    <col min="8965" max="8965" width="9.42578125" style="552" customWidth="1"/>
    <col min="8966" max="8966" width="8.28515625" style="552" customWidth="1"/>
    <col min="8967" max="8967" width="7" style="552" customWidth="1"/>
    <col min="8968" max="8968" width="6" style="552" customWidth="1"/>
    <col min="8969" max="8969" width="7.28515625" style="552" customWidth="1"/>
    <col min="8970" max="8970" width="9.28515625" style="552" customWidth="1"/>
    <col min="8971" max="8971" width="9.5703125" style="552" customWidth="1"/>
    <col min="8972" max="8972" width="8.28515625" style="552" customWidth="1"/>
    <col min="8973" max="8973" width="9.42578125" style="552" customWidth="1"/>
    <col min="8974" max="8974" width="7.140625" style="552" customWidth="1"/>
    <col min="8975" max="8975" width="7.42578125" style="552" customWidth="1"/>
    <col min="8976" max="8977" width="7.28515625" style="552" customWidth="1"/>
    <col min="8978" max="8978" width="7" style="552" customWidth="1"/>
    <col min="8979" max="8979" width="8.85546875" style="552" customWidth="1"/>
    <col min="8980" max="8980" width="8.28515625" style="552" customWidth="1"/>
    <col min="8981" max="8981" width="8" style="552" customWidth="1"/>
    <col min="8982" max="8982" width="6.5703125" style="552" customWidth="1"/>
    <col min="8983" max="8983" width="6.42578125" style="552" customWidth="1"/>
    <col min="8984" max="8984" width="7" style="552" customWidth="1"/>
    <col min="8985" max="8985" width="6.85546875" style="552" customWidth="1"/>
    <col min="8986" max="8986" width="6.5703125" style="552" customWidth="1"/>
    <col min="8987" max="8987" width="7.5703125" style="552" customWidth="1"/>
    <col min="8988" max="8988" width="7.85546875" style="552" customWidth="1"/>
    <col min="8989" max="8989" width="7.140625" style="552" customWidth="1"/>
    <col min="8990" max="9216" width="9.140625" style="552"/>
    <col min="9217" max="9217" width="4.85546875" style="552" customWidth="1"/>
    <col min="9218" max="9218" width="39" style="552" customWidth="1"/>
    <col min="9219" max="9219" width="9.85546875" style="552" customWidth="1"/>
    <col min="9220" max="9220" width="8.5703125" style="552" customWidth="1"/>
    <col min="9221" max="9221" width="9.42578125" style="552" customWidth="1"/>
    <col min="9222" max="9222" width="8.28515625" style="552" customWidth="1"/>
    <col min="9223" max="9223" width="7" style="552" customWidth="1"/>
    <col min="9224" max="9224" width="6" style="552" customWidth="1"/>
    <col min="9225" max="9225" width="7.28515625" style="552" customWidth="1"/>
    <col min="9226" max="9226" width="9.28515625" style="552" customWidth="1"/>
    <col min="9227" max="9227" width="9.5703125" style="552" customWidth="1"/>
    <col min="9228" max="9228" width="8.28515625" style="552" customWidth="1"/>
    <col min="9229" max="9229" width="9.42578125" style="552" customWidth="1"/>
    <col min="9230" max="9230" width="7.140625" style="552" customWidth="1"/>
    <col min="9231" max="9231" width="7.42578125" style="552" customWidth="1"/>
    <col min="9232" max="9233" width="7.28515625" style="552" customWidth="1"/>
    <col min="9234" max="9234" width="7" style="552" customWidth="1"/>
    <col min="9235" max="9235" width="8.85546875" style="552" customWidth="1"/>
    <col min="9236" max="9236" width="8.28515625" style="552" customWidth="1"/>
    <col min="9237" max="9237" width="8" style="552" customWidth="1"/>
    <col min="9238" max="9238" width="6.5703125" style="552" customWidth="1"/>
    <col min="9239" max="9239" width="6.42578125" style="552" customWidth="1"/>
    <col min="9240" max="9240" width="7" style="552" customWidth="1"/>
    <col min="9241" max="9241" width="6.85546875" style="552" customWidth="1"/>
    <col min="9242" max="9242" width="6.5703125" style="552" customWidth="1"/>
    <col min="9243" max="9243" width="7.5703125" style="552" customWidth="1"/>
    <col min="9244" max="9244" width="7.85546875" style="552" customWidth="1"/>
    <col min="9245" max="9245" width="7.140625" style="552" customWidth="1"/>
    <col min="9246" max="9472" width="9.140625" style="552"/>
    <col min="9473" max="9473" width="4.85546875" style="552" customWidth="1"/>
    <col min="9474" max="9474" width="39" style="552" customWidth="1"/>
    <col min="9475" max="9475" width="9.85546875" style="552" customWidth="1"/>
    <col min="9476" max="9476" width="8.5703125" style="552" customWidth="1"/>
    <col min="9477" max="9477" width="9.42578125" style="552" customWidth="1"/>
    <col min="9478" max="9478" width="8.28515625" style="552" customWidth="1"/>
    <col min="9479" max="9479" width="7" style="552" customWidth="1"/>
    <col min="9480" max="9480" width="6" style="552" customWidth="1"/>
    <col min="9481" max="9481" width="7.28515625" style="552" customWidth="1"/>
    <col min="9482" max="9482" width="9.28515625" style="552" customWidth="1"/>
    <col min="9483" max="9483" width="9.5703125" style="552" customWidth="1"/>
    <col min="9484" max="9484" width="8.28515625" style="552" customWidth="1"/>
    <col min="9485" max="9485" width="9.42578125" style="552" customWidth="1"/>
    <col min="9486" max="9486" width="7.140625" style="552" customWidth="1"/>
    <col min="9487" max="9487" width="7.42578125" style="552" customWidth="1"/>
    <col min="9488" max="9489" width="7.28515625" style="552" customWidth="1"/>
    <col min="9490" max="9490" width="7" style="552" customWidth="1"/>
    <col min="9491" max="9491" width="8.85546875" style="552" customWidth="1"/>
    <col min="9492" max="9492" width="8.28515625" style="552" customWidth="1"/>
    <col min="9493" max="9493" width="8" style="552" customWidth="1"/>
    <col min="9494" max="9494" width="6.5703125" style="552" customWidth="1"/>
    <col min="9495" max="9495" width="6.42578125" style="552" customWidth="1"/>
    <col min="9496" max="9496" width="7" style="552" customWidth="1"/>
    <col min="9497" max="9497" width="6.85546875" style="552" customWidth="1"/>
    <col min="9498" max="9498" width="6.5703125" style="552" customWidth="1"/>
    <col min="9499" max="9499" width="7.5703125" style="552" customWidth="1"/>
    <col min="9500" max="9500" width="7.85546875" style="552" customWidth="1"/>
    <col min="9501" max="9501" width="7.140625" style="552" customWidth="1"/>
    <col min="9502" max="9728" width="9.140625" style="552"/>
    <col min="9729" max="9729" width="4.85546875" style="552" customWidth="1"/>
    <col min="9730" max="9730" width="39" style="552" customWidth="1"/>
    <col min="9731" max="9731" width="9.85546875" style="552" customWidth="1"/>
    <col min="9732" max="9732" width="8.5703125" style="552" customWidth="1"/>
    <col min="9733" max="9733" width="9.42578125" style="552" customWidth="1"/>
    <col min="9734" max="9734" width="8.28515625" style="552" customWidth="1"/>
    <col min="9735" max="9735" width="7" style="552" customWidth="1"/>
    <col min="9736" max="9736" width="6" style="552" customWidth="1"/>
    <col min="9737" max="9737" width="7.28515625" style="552" customWidth="1"/>
    <col min="9738" max="9738" width="9.28515625" style="552" customWidth="1"/>
    <col min="9739" max="9739" width="9.5703125" style="552" customWidth="1"/>
    <col min="9740" max="9740" width="8.28515625" style="552" customWidth="1"/>
    <col min="9741" max="9741" width="9.42578125" style="552" customWidth="1"/>
    <col min="9742" max="9742" width="7.140625" style="552" customWidth="1"/>
    <col min="9743" max="9743" width="7.42578125" style="552" customWidth="1"/>
    <col min="9744" max="9745" width="7.28515625" style="552" customWidth="1"/>
    <col min="9746" max="9746" width="7" style="552" customWidth="1"/>
    <col min="9747" max="9747" width="8.85546875" style="552" customWidth="1"/>
    <col min="9748" max="9748" width="8.28515625" style="552" customWidth="1"/>
    <col min="9749" max="9749" width="8" style="552" customWidth="1"/>
    <col min="9750" max="9750" width="6.5703125" style="552" customWidth="1"/>
    <col min="9751" max="9751" width="6.42578125" style="552" customWidth="1"/>
    <col min="9752" max="9752" width="7" style="552" customWidth="1"/>
    <col min="9753" max="9753" width="6.85546875" style="552" customWidth="1"/>
    <col min="9754" max="9754" width="6.5703125" style="552" customWidth="1"/>
    <col min="9755" max="9755" width="7.5703125" style="552" customWidth="1"/>
    <col min="9756" max="9756" width="7.85546875" style="552" customWidth="1"/>
    <col min="9757" max="9757" width="7.140625" style="552" customWidth="1"/>
    <col min="9758" max="9984" width="9.140625" style="552"/>
    <col min="9985" max="9985" width="4.85546875" style="552" customWidth="1"/>
    <col min="9986" max="9986" width="39" style="552" customWidth="1"/>
    <col min="9987" max="9987" width="9.85546875" style="552" customWidth="1"/>
    <col min="9988" max="9988" width="8.5703125" style="552" customWidth="1"/>
    <col min="9989" max="9989" width="9.42578125" style="552" customWidth="1"/>
    <col min="9990" max="9990" width="8.28515625" style="552" customWidth="1"/>
    <col min="9991" max="9991" width="7" style="552" customWidth="1"/>
    <col min="9992" max="9992" width="6" style="552" customWidth="1"/>
    <col min="9993" max="9993" width="7.28515625" style="552" customWidth="1"/>
    <col min="9994" max="9994" width="9.28515625" style="552" customWidth="1"/>
    <col min="9995" max="9995" width="9.5703125" style="552" customWidth="1"/>
    <col min="9996" max="9996" width="8.28515625" style="552" customWidth="1"/>
    <col min="9997" max="9997" width="9.42578125" style="552" customWidth="1"/>
    <col min="9998" max="9998" width="7.140625" style="552" customWidth="1"/>
    <col min="9999" max="9999" width="7.42578125" style="552" customWidth="1"/>
    <col min="10000" max="10001" width="7.28515625" style="552" customWidth="1"/>
    <col min="10002" max="10002" width="7" style="552" customWidth="1"/>
    <col min="10003" max="10003" width="8.85546875" style="552" customWidth="1"/>
    <col min="10004" max="10004" width="8.28515625" style="552" customWidth="1"/>
    <col min="10005" max="10005" width="8" style="552" customWidth="1"/>
    <col min="10006" max="10006" width="6.5703125" style="552" customWidth="1"/>
    <col min="10007" max="10007" width="6.42578125" style="552" customWidth="1"/>
    <col min="10008" max="10008" width="7" style="552" customWidth="1"/>
    <col min="10009" max="10009" width="6.85546875" style="552" customWidth="1"/>
    <col min="10010" max="10010" width="6.5703125" style="552" customWidth="1"/>
    <col min="10011" max="10011" width="7.5703125" style="552" customWidth="1"/>
    <col min="10012" max="10012" width="7.85546875" style="552" customWidth="1"/>
    <col min="10013" max="10013" width="7.140625" style="552" customWidth="1"/>
    <col min="10014" max="10240" width="9.140625" style="552"/>
    <col min="10241" max="10241" width="4.85546875" style="552" customWidth="1"/>
    <col min="10242" max="10242" width="39" style="552" customWidth="1"/>
    <col min="10243" max="10243" width="9.85546875" style="552" customWidth="1"/>
    <col min="10244" max="10244" width="8.5703125" style="552" customWidth="1"/>
    <col min="10245" max="10245" width="9.42578125" style="552" customWidth="1"/>
    <col min="10246" max="10246" width="8.28515625" style="552" customWidth="1"/>
    <col min="10247" max="10247" width="7" style="552" customWidth="1"/>
    <col min="10248" max="10248" width="6" style="552" customWidth="1"/>
    <col min="10249" max="10249" width="7.28515625" style="552" customWidth="1"/>
    <col min="10250" max="10250" width="9.28515625" style="552" customWidth="1"/>
    <col min="10251" max="10251" width="9.5703125" style="552" customWidth="1"/>
    <col min="10252" max="10252" width="8.28515625" style="552" customWidth="1"/>
    <col min="10253" max="10253" width="9.42578125" style="552" customWidth="1"/>
    <col min="10254" max="10254" width="7.140625" style="552" customWidth="1"/>
    <col min="10255" max="10255" width="7.42578125" style="552" customWidth="1"/>
    <col min="10256" max="10257" width="7.28515625" style="552" customWidth="1"/>
    <col min="10258" max="10258" width="7" style="552" customWidth="1"/>
    <col min="10259" max="10259" width="8.85546875" style="552" customWidth="1"/>
    <col min="10260" max="10260" width="8.28515625" style="552" customWidth="1"/>
    <col min="10261" max="10261" width="8" style="552" customWidth="1"/>
    <col min="10262" max="10262" width="6.5703125" style="552" customWidth="1"/>
    <col min="10263" max="10263" width="6.42578125" style="552" customWidth="1"/>
    <col min="10264" max="10264" width="7" style="552" customWidth="1"/>
    <col min="10265" max="10265" width="6.85546875" style="552" customWidth="1"/>
    <col min="10266" max="10266" width="6.5703125" style="552" customWidth="1"/>
    <col min="10267" max="10267" width="7.5703125" style="552" customWidth="1"/>
    <col min="10268" max="10268" width="7.85546875" style="552" customWidth="1"/>
    <col min="10269" max="10269" width="7.140625" style="552" customWidth="1"/>
    <col min="10270" max="10496" width="9.140625" style="552"/>
    <col min="10497" max="10497" width="4.85546875" style="552" customWidth="1"/>
    <col min="10498" max="10498" width="39" style="552" customWidth="1"/>
    <col min="10499" max="10499" width="9.85546875" style="552" customWidth="1"/>
    <col min="10500" max="10500" width="8.5703125" style="552" customWidth="1"/>
    <col min="10501" max="10501" width="9.42578125" style="552" customWidth="1"/>
    <col min="10502" max="10502" width="8.28515625" style="552" customWidth="1"/>
    <col min="10503" max="10503" width="7" style="552" customWidth="1"/>
    <col min="10504" max="10504" width="6" style="552" customWidth="1"/>
    <col min="10505" max="10505" width="7.28515625" style="552" customWidth="1"/>
    <col min="10506" max="10506" width="9.28515625" style="552" customWidth="1"/>
    <col min="10507" max="10507" width="9.5703125" style="552" customWidth="1"/>
    <col min="10508" max="10508" width="8.28515625" style="552" customWidth="1"/>
    <col min="10509" max="10509" width="9.42578125" style="552" customWidth="1"/>
    <col min="10510" max="10510" width="7.140625" style="552" customWidth="1"/>
    <col min="10511" max="10511" width="7.42578125" style="552" customWidth="1"/>
    <col min="10512" max="10513" width="7.28515625" style="552" customWidth="1"/>
    <col min="10514" max="10514" width="7" style="552" customWidth="1"/>
    <col min="10515" max="10515" width="8.85546875" style="552" customWidth="1"/>
    <col min="10516" max="10516" width="8.28515625" style="552" customWidth="1"/>
    <col min="10517" max="10517" width="8" style="552" customWidth="1"/>
    <col min="10518" max="10518" width="6.5703125" style="552" customWidth="1"/>
    <col min="10519" max="10519" width="6.42578125" style="552" customWidth="1"/>
    <col min="10520" max="10520" width="7" style="552" customWidth="1"/>
    <col min="10521" max="10521" width="6.85546875" style="552" customWidth="1"/>
    <col min="10522" max="10522" width="6.5703125" style="552" customWidth="1"/>
    <col min="10523" max="10523" width="7.5703125" style="552" customWidth="1"/>
    <col min="10524" max="10524" width="7.85546875" style="552" customWidth="1"/>
    <col min="10525" max="10525" width="7.140625" style="552" customWidth="1"/>
    <col min="10526" max="10752" width="9.140625" style="552"/>
    <col min="10753" max="10753" width="4.85546875" style="552" customWidth="1"/>
    <col min="10754" max="10754" width="39" style="552" customWidth="1"/>
    <col min="10755" max="10755" width="9.85546875" style="552" customWidth="1"/>
    <col min="10756" max="10756" width="8.5703125" style="552" customWidth="1"/>
    <col min="10757" max="10757" width="9.42578125" style="552" customWidth="1"/>
    <col min="10758" max="10758" width="8.28515625" style="552" customWidth="1"/>
    <col min="10759" max="10759" width="7" style="552" customWidth="1"/>
    <col min="10760" max="10760" width="6" style="552" customWidth="1"/>
    <col min="10761" max="10761" width="7.28515625" style="552" customWidth="1"/>
    <col min="10762" max="10762" width="9.28515625" style="552" customWidth="1"/>
    <col min="10763" max="10763" width="9.5703125" style="552" customWidth="1"/>
    <col min="10764" max="10764" width="8.28515625" style="552" customWidth="1"/>
    <col min="10765" max="10765" width="9.42578125" style="552" customWidth="1"/>
    <col min="10766" max="10766" width="7.140625" style="552" customWidth="1"/>
    <col min="10767" max="10767" width="7.42578125" style="552" customWidth="1"/>
    <col min="10768" max="10769" width="7.28515625" style="552" customWidth="1"/>
    <col min="10770" max="10770" width="7" style="552" customWidth="1"/>
    <col min="10771" max="10771" width="8.85546875" style="552" customWidth="1"/>
    <col min="10772" max="10772" width="8.28515625" style="552" customWidth="1"/>
    <col min="10773" max="10773" width="8" style="552" customWidth="1"/>
    <col min="10774" max="10774" width="6.5703125" style="552" customWidth="1"/>
    <col min="10775" max="10775" width="6.42578125" style="552" customWidth="1"/>
    <col min="10776" max="10776" width="7" style="552" customWidth="1"/>
    <col min="10777" max="10777" width="6.85546875" style="552" customWidth="1"/>
    <col min="10778" max="10778" width="6.5703125" style="552" customWidth="1"/>
    <col min="10779" max="10779" width="7.5703125" style="552" customWidth="1"/>
    <col min="10780" max="10780" width="7.85546875" style="552" customWidth="1"/>
    <col min="10781" max="10781" width="7.140625" style="552" customWidth="1"/>
    <col min="10782" max="11008" width="9.140625" style="552"/>
    <col min="11009" max="11009" width="4.85546875" style="552" customWidth="1"/>
    <col min="11010" max="11010" width="39" style="552" customWidth="1"/>
    <col min="11011" max="11011" width="9.85546875" style="552" customWidth="1"/>
    <col min="11012" max="11012" width="8.5703125" style="552" customWidth="1"/>
    <col min="11013" max="11013" width="9.42578125" style="552" customWidth="1"/>
    <col min="11014" max="11014" width="8.28515625" style="552" customWidth="1"/>
    <col min="11015" max="11015" width="7" style="552" customWidth="1"/>
    <col min="11016" max="11016" width="6" style="552" customWidth="1"/>
    <col min="11017" max="11017" width="7.28515625" style="552" customWidth="1"/>
    <col min="11018" max="11018" width="9.28515625" style="552" customWidth="1"/>
    <col min="11019" max="11019" width="9.5703125" style="552" customWidth="1"/>
    <col min="11020" max="11020" width="8.28515625" style="552" customWidth="1"/>
    <col min="11021" max="11021" width="9.42578125" style="552" customWidth="1"/>
    <col min="11022" max="11022" width="7.140625" style="552" customWidth="1"/>
    <col min="11023" max="11023" width="7.42578125" style="552" customWidth="1"/>
    <col min="11024" max="11025" width="7.28515625" style="552" customWidth="1"/>
    <col min="11026" max="11026" width="7" style="552" customWidth="1"/>
    <col min="11027" max="11027" width="8.85546875" style="552" customWidth="1"/>
    <col min="11028" max="11028" width="8.28515625" style="552" customWidth="1"/>
    <col min="11029" max="11029" width="8" style="552" customWidth="1"/>
    <col min="11030" max="11030" width="6.5703125" style="552" customWidth="1"/>
    <col min="11031" max="11031" width="6.42578125" style="552" customWidth="1"/>
    <col min="11032" max="11032" width="7" style="552" customWidth="1"/>
    <col min="11033" max="11033" width="6.85546875" style="552" customWidth="1"/>
    <col min="11034" max="11034" width="6.5703125" style="552" customWidth="1"/>
    <col min="11035" max="11035" width="7.5703125" style="552" customWidth="1"/>
    <col min="11036" max="11036" width="7.85546875" style="552" customWidth="1"/>
    <col min="11037" max="11037" width="7.140625" style="552" customWidth="1"/>
    <col min="11038" max="11264" width="9.140625" style="552"/>
    <col min="11265" max="11265" width="4.85546875" style="552" customWidth="1"/>
    <col min="11266" max="11266" width="39" style="552" customWidth="1"/>
    <col min="11267" max="11267" width="9.85546875" style="552" customWidth="1"/>
    <col min="11268" max="11268" width="8.5703125" style="552" customWidth="1"/>
    <col min="11269" max="11269" width="9.42578125" style="552" customWidth="1"/>
    <col min="11270" max="11270" width="8.28515625" style="552" customWidth="1"/>
    <col min="11271" max="11271" width="7" style="552" customWidth="1"/>
    <col min="11272" max="11272" width="6" style="552" customWidth="1"/>
    <col min="11273" max="11273" width="7.28515625" style="552" customWidth="1"/>
    <col min="11274" max="11274" width="9.28515625" style="552" customWidth="1"/>
    <col min="11275" max="11275" width="9.5703125" style="552" customWidth="1"/>
    <col min="11276" max="11276" width="8.28515625" style="552" customWidth="1"/>
    <col min="11277" max="11277" width="9.42578125" style="552" customWidth="1"/>
    <col min="11278" max="11278" width="7.140625" style="552" customWidth="1"/>
    <col min="11279" max="11279" width="7.42578125" style="552" customWidth="1"/>
    <col min="11280" max="11281" width="7.28515625" style="552" customWidth="1"/>
    <col min="11282" max="11282" width="7" style="552" customWidth="1"/>
    <col min="11283" max="11283" width="8.85546875" style="552" customWidth="1"/>
    <col min="11284" max="11284" width="8.28515625" style="552" customWidth="1"/>
    <col min="11285" max="11285" width="8" style="552" customWidth="1"/>
    <col min="11286" max="11286" width="6.5703125" style="552" customWidth="1"/>
    <col min="11287" max="11287" width="6.42578125" style="552" customWidth="1"/>
    <col min="11288" max="11288" width="7" style="552" customWidth="1"/>
    <col min="11289" max="11289" width="6.85546875" style="552" customWidth="1"/>
    <col min="11290" max="11290" width="6.5703125" style="552" customWidth="1"/>
    <col min="11291" max="11291" width="7.5703125" style="552" customWidth="1"/>
    <col min="11292" max="11292" width="7.85546875" style="552" customWidth="1"/>
    <col min="11293" max="11293" width="7.140625" style="552" customWidth="1"/>
    <col min="11294" max="11520" width="9.140625" style="552"/>
    <col min="11521" max="11521" width="4.85546875" style="552" customWidth="1"/>
    <col min="11522" max="11522" width="39" style="552" customWidth="1"/>
    <col min="11523" max="11523" width="9.85546875" style="552" customWidth="1"/>
    <col min="11524" max="11524" width="8.5703125" style="552" customWidth="1"/>
    <col min="11525" max="11525" width="9.42578125" style="552" customWidth="1"/>
    <col min="11526" max="11526" width="8.28515625" style="552" customWidth="1"/>
    <col min="11527" max="11527" width="7" style="552" customWidth="1"/>
    <col min="11528" max="11528" width="6" style="552" customWidth="1"/>
    <col min="11529" max="11529" width="7.28515625" style="552" customWidth="1"/>
    <col min="11530" max="11530" width="9.28515625" style="552" customWidth="1"/>
    <col min="11531" max="11531" width="9.5703125" style="552" customWidth="1"/>
    <col min="11532" max="11532" width="8.28515625" style="552" customWidth="1"/>
    <col min="11533" max="11533" width="9.42578125" style="552" customWidth="1"/>
    <col min="11534" max="11534" width="7.140625" style="552" customWidth="1"/>
    <col min="11535" max="11535" width="7.42578125" style="552" customWidth="1"/>
    <col min="11536" max="11537" width="7.28515625" style="552" customWidth="1"/>
    <col min="11538" max="11538" width="7" style="552" customWidth="1"/>
    <col min="11539" max="11539" width="8.85546875" style="552" customWidth="1"/>
    <col min="11540" max="11540" width="8.28515625" style="552" customWidth="1"/>
    <col min="11541" max="11541" width="8" style="552" customWidth="1"/>
    <col min="11542" max="11542" width="6.5703125" style="552" customWidth="1"/>
    <col min="11543" max="11543" width="6.42578125" style="552" customWidth="1"/>
    <col min="11544" max="11544" width="7" style="552" customWidth="1"/>
    <col min="11545" max="11545" width="6.85546875" style="552" customWidth="1"/>
    <col min="11546" max="11546" width="6.5703125" style="552" customWidth="1"/>
    <col min="11547" max="11547" width="7.5703125" style="552" customWidth="1"/>
    <col min="11548" max="11548" width="7.85546875" style="552" customWidth="1"/>
    <col min="11549" max="11549" width="7.140625" style="552" customWidth="1"/>
    <col min="11550" max="11776" width="9.140625" style="552"/>
    <col min="11777" max="11777" width="4.85546875" style="552" customWidth="1"/>
    <col min="11778" max="11778" width="39" style="552" customWidth="1"/>
    <col min="11779" max="11779" width="9.85546875" style="552" customWidth="1"/>
    <col min="11780" max="11780" width="8.5703125" style="552" customWidth="1"/>
    <col min="11781" max="11781" width="9.42578125" style="552" customWidth="1"/>
    <col min="11782" max="11782" width="8.28515625" style="552" customWidth="1"/>
    <col min="11783" max="11783" width="7" style="552" customWidth="1"/>
    <col min="11784" max="11784" width="6" style="552" customWidth="1"/>
    <col min="11785" max="11785" width="7.28515625" style="552" customWidth="1"/>
    <col min="11786" max="11786" width="9.28515625" style="552" customWidth="1"/>
    <col min="11787" max="11787" width="9.5703125" style="552" customWidth="1"/>
    <col min="11788" max="11788" width="8.28515625" style="552" customWidth="1"/>
    <col min="11789" max="11789" width="9.42578125" style="552" customWidth="1"/>
    <col min="11790" max="11790" width="7.140625" style="552" customWidth="1"/>
    <col min="11791" max="11791" width="7.42578125" style="552" customWidth="1"/>
    <col min="11792" max="11793" width="7.28515625" style="552" customWidth="1"/>
    <col min="11794" max="11794" width="7" style="552" customWidth="1"/>
    <col min="11795" max="11795" width="8.85546875" style="552" customWidth="1"/>
    <col min="11796" max="11796" width="8.28515625" style="552" customWidth="1"/>
    <col min="11797" max="11797" width="8" style="552" customWidth="1"/>
    <col min="11798" max="11798" width="6.5703125" style="552" customWidth="1"/>
    <col min="11799" max="11799" width="6.42578125" style="552" customWidth="1"/>
    <col min="11800" max="11800" width="7" style="552" customWidth="1"/>
    <col min="11801" max="11801" width="6.85546875" style="552" customWidth="1"/>
    <col min="11802" max="11802" width="6.5703125" style="552" customWidth="1"/>
    <col min="11803" max="11803" width="7.5703125" style="552" customWidth="1"/>
    <col min="11804" max="11804" width="7.85546875" style="552" customWidth="1"/>
    <col min="11805" max="11805" width="7.140625" style="552" customWidth="1"/>
    <col min="11806" max="12032" width="9.140625" style="552"/>
    <col min="12033" max="12033" width="4.85546875" style="552" customWidth="1"/>
    <col min="12034" max="12034" width="39" style="552" customWidth="1"/>
    <col min="12035" max="12035" width="9.85546875" style="552" customWidth="1"/>
    <col min="12036" max="12036" width="8.5703125" style="552" customWidth="1"/>
    <col min="12037" max="12037" width="9.42578125" style="552" customWidth="1"/>
    <col min="12038" max="12038" width="8.28515625" style="552" customWidth="1"/>
    <col min="12039" max="12039" width="7" style="552" customWidth="1"/>
    <col min="12040" max="12040" width="6" style="552" customWidth="1"/>
    <col min="12041" max="12041" width="7.28515625" style="552" customWidth="1"/>
    <col min="12042" max="12042" width="9.28515625" style="552" customWidth="1"/>
    <col min="12043" max="12043" width="9.5703125" style="552" customWidth="1"/>
    <col min="12044" max="12044" width="8.28515625" style="552" customWidth="1"/>
    <col min="12045" max="12045" width="9.42578125" style="552" customWidth="1"/>
    <col min="12046" max="12046" width="7.140625" style="552" customWidth="1"/>
    <col min="12047" max="12047" width="7.42578125" style="552" customWidth="1"/>
    <col min="12048" max="12049" width="7.28515625" style="552" customWidth="1"/>
    <col min="12050" max="12050" width="7" style="552" customWidth="1"/>
    <col min="12051" max="12051" width="8.85546875" style="552" customWidth="1"/>
    <col min="12052" max="12052" width="8.28515625" style="552" customWidth="1"/>
    <col min="12053" max="12053" width="8" style="552" customWidth="1"/>
    <col min="12054" max="12054" width="6.5703125" style="552" customWidth="1"/>
    <col min="12055" max="12055" width="6.42578125" style="552" customWidth="1"/>
    <col min="12056" max="12056" width="7" style="552" customWidth="1"/>
    <col min="12057" max="12057" width="6.85546875" style="552" customWidth="1"/>
    <col min="12058" max="12058" width="6.5703125" style="552" customWidth="1"/>
    <col min="12059" max="12059" width="7.5703125" style="552" customWidth="1"/>
    <col min="12060" max="12060" width="7.85546875" style="552" customWidth="1"/>
    <col min="12061" max="12061" width="7.140625" style="552" customWidth="1"/>
    <col min="12062" max="12288" width="9.140625" style="552"/>
    <col min="12289" max="12289" width="4.85546875" style="552" customWidth="1"/>
    <col min="12290" max="12290" width="39" style="552" customWidth="1"/>
    <col min="12291" max="12291" width="9.85546875" style="552" customWidth="1"/>
    <col min="12292" max="12292" width="8.5703125" style="552" customWidth="1"/>
    <col min="12293" max="12293" width="9.42578125" style="552" customWidth="1"/>
    <col min="12294" max="12294" width="8.28515625" style="552" customWidth="1"/>
    <col min="12295" max="12295" width="7" style="552" customWidth="1"/>
    <col min="12296" max="12296" width="6" style="552" customWidth="1"/>
    <col min="12297" max="12297" width="7.28515625" style="552" customWidth="1"/>
    <col min="12298" max="12298" width="9.28515625" style="552" customWidth="1"/>
    <col min="12299" max="12299" width="9.5703125" style="552" customWidth="1"/>
    <col min="12300" max="12300" width="8.28515625" style="552" customWidth="1"/>
    <col min="12301" max="12301" width="9.42578125" style="552" customWidth="1"/>
    <col min="12302" max="12302" width="7.140625" style="552" customWidth="1"/>
    <col min="12303" max="12303" width="7.42578125" style="552" customWidth="1"/>
    <col min="12304" max="12305" width="7.28515625" style="552" customWidth="1"/>
    <col min="12306" max="12306" width="7" style="552" customWidth="1"/>
    <col min="12307" max="12307" width="8.85546875" style="552" customWidth="1"/>
    <col min="12308" max="12308" width="8.28515625" style="552" customWidth="1"/>
    <col min="12309" max="12309" width="8" style="552" customWidth="1"/>
    <col min="12310" max="12310" width="6.5703125" style="552" customWidth="1"/>
    <col min="12311" max="12311" width="6.42578125" style="552" customWidth="1"/>
    <col min="12312" max="12312" width="7" style="552" customWidth="1"/>
    <col min="12313" max="12313" width="6.85546875" style="552" customWidth="1"/>
    <col min="12314" max="12314" width="6.5703125" style="552" customWidth="1"/>
    <col min="12315" max="12315" width="7.5703125" style="552" customWidth="1"/>
    <col min="12316" max="12316" width="7.85546875" style="552" customWidth="1"/>
    <col min="12317" max="12317" width="7.140625" style="552" customWidth="1"/>
    <col min="12318" max="12544" width="9.140625" style="552"/>
    <col min="12545" max="12545" width="4.85546875" style="552" customWidth="1"/>
    <col min="12546" max="12546" width="39" style="552" customWidth="1"/>
    <col min="12547" max="12547" width="9.85546875" style="552" customWidth="1"/>
    <col min="12548" max="12548" width="8.5703125" style="552" customWidth="1"/>
    <col min="12549" max="12549" width="9.42578125" style="552" customWidth="1"/>
    <col min="12550" max="12550" width="8.28515625" style="552" customWidth="1"/>
    <col min="12551" max="12551" width="7" style="552" customWidth="1"/>
    <col min="12552" max="12552" width="6" style="552" customWidth="1"/>
    <col min="12553" max="12553" width="7.28515625" style="552" customWidth="1"/>
    <col min="12554" max="12554" width="9.28515625" style="552" customWidth="1"/>
    <col min="12555" max="12555" width="9.5703125" style="552" customWidth="1"/>
    <col min="12556" max="12556" width="8.28515625" style="552" customWidth="1"/>
    <col min="12557" max="12557" width="9.42578125" style="552" customWidth="1"/>
    <col min="12558" max="12558" width="7.140625" style="552" customWidth="1"/>
    <col min="12559" max="12559" width="7.42578125" style="552" customWidth="1"/>
    <col min="12560" max="12561" width="7.28515625" style="552" customWidth="1"/>
    <col min="12562" max="12562" width="7" style="552" customWidth="1"/>
    <col min="12563" max="12563" width="8.85546875" style="552" customWidth="1"/>
    <col min="12564" max="12564" width="8.28515625" style="552" customWidth="1"/>
    <col min="12565" max="12565" width="8" style="552" customWidth="1"/>
    <col min="12566" max="12566" width="6.5703125" style="552" customWidth="1"/>
    <col min="12567" max="12567" width="6.42578125" style="552" customWidth="1"/>
    <col min="12568" max="12568" width="7" style="552" customWidth="1"/>
    <col min="12569" max="12569" width="6.85546875" style="552" customWidth="1"/>
    <col min="12570" max="12570" width="6.5703125" style="552" customWidth="1"/>
    <col min="12571" max="12571" width="7.5703125" style="552" customWidth="1"/>
    <col min="12572" max="12572" width="7.85546875" style="552" customWidth="1"/>
    <col min="12573" max="12573" width="7.140625" style="552" customWidth="1"/>
    <col min="12574" max="12800" width="9.140625" style="552"/>
    <col min="12801" max="12801" width="4.85546875" style="552" customWidth="1"/>
    <col min="12802" max="12802" width="39" style="552" customWidth="1"/>
    <col min="12803" max="12803" width="9.85546875" style="552" customWidth="1"/>
    <col min="12804" max="12804" width="8.5703125" style="552" customWidth="1"/>
    <col min="12805" max="12805" width="9.42578125" style="552" customWidth="1"/>
    <col min="12806" max="12806" width="8.28515625" style="552" customWidth="1"/>
    <col min="12807" max="12807" width="7" style="552" customWidth="1"/>
    <col min="12808" max="12808" width="6" style="552" customWidth="1"/>
    <col min="12809" max="12809" width="7.28515625" style="552" customWidth="1"/>
    <col min="12810" max="12810" width="9.28515625" style="552" customWidth="1"/>
    <col min="12811" max="12811" width="9.5703125" style="552" customWidth="1"/>
    <col min="12812" max="12812" width="8.28515625" style="552" customWidth="1"/>
    <col min="12813" max="12813" width="9.42578125" style="552" customWidth="1"/>
    <col min="12814" max="12814" width="7.140625" style="552" customWidth="1"/>
    <col min="12815" max="12815" width="7.42578125" style="552" customWidth="1"/>
    <col min="12816" max="12817" width="7.28515625" style="552" customWidth="1"/>
    <col min="12818" max="12818" width="7" style="552" customWidth="1"/>
    <col min="12819" max="12819" width="8.85546875" style="552" customWidth="1"/>
    <col min="12820" max="12820" width="8.28515625" style="552" customWidth="1"/>
    <col min="12821" max="12821" width="8" style="552" customWidth="1"/>
    <col min="12822" max="12822" width="6.5703125" style="552" customWidth="1"/>
    <col min="12823" max="12823" width="6.42578125" style="552" customWidth="1"/>
    <col min="12824" max="12824" width="7" style="552" customWidth="1"/>
    <col min="12825" max="12825" width="6.85546875" style="552" customWidth="1"/>
    <col min="12826" max="12826" width="6.5703125" style="552" customWidth="1"/>
    <col min="12827" max="12827" width="7.5703125" style="552" customWidth="1"/>
    <col min="12828" max="12828" width="7.85546875" style="552" customWidth="1"/>
    <col min="12829" max="12829" width="7.140625" style="552" customWidth="1"/>
    <col min="12830" max="13056" width="9.140625" style="552"/>
    <col min="13057" max="13057" width="4.85546875" style="552" customWidth="1"/>
    <col min="13058" max="13058" width="39" style="552" customWidth="1"/>
    <col min="13059" max="13059" width="9.85546875" style="552" customWidth="1"/>
    <col min="13060" max="13060" width="8.5703125" style="552" customWidth="1"/>
    <col min="13061" max="13061" width="9.42578125" style="552" customWidth="1"/>
    <col min="13062" max="13062" width="8.28515625" style="552" customWidth="1"/>
    <col min="13063" max="13063" width="7" style="552" customWidth="1"/>
    <col min="13064" max="13064" width="6" style="552" customWidth="1"/>
    <col min="13065" max="13065" width="7.28515625" style="552" customWidth="1"/>
    <col min="13066" max="13066" width="9.28515625" style="552" customWidth="1"/>
    <col min="13067" max="13067" width="9.5703125" style="552" customWidth="1"/>
    <col min="13068" max="13068" width="8.28515625" style="552" customWidth="1"/>
    <col min="13069" max="13069" width="9.42578125" style="552" customWidth="1"/>
    <col min="13070" max="13070" width="7.140625" style="552" customWidth="1"/>
    <col min="13071" max="13071" width="7.42578125" style="552" customWidth="1"/>
    <col min="13072" max="13073" width="7.28515625" style="552" customWidth="1"/>
    <col min="13074" max="13074" width="7" style="552" customWidth="1"/>
    <col min="13075" max="13075" width="8.85546875" style="552" customWidth="1"/>
    <col min="13076" max="13076" width="8.28515625" style="552" customWidth="1"/>
    <col min="13077" max="13077" width="8" style="552" customWidth="1"/>
    <col min="13078" max="13078" width="6.5703125" style="552" customWidth="1"/>
    <col min="13079" max="13079" width="6.42578125" style="552" customWidth="1"/>
    <col min="13080" max="13080" width="7" style="552" customWidth="1"/>
    <col min="13081" max="13081" width="6.85546875" style="552" customWidth="1"/>
    <col min="13082" max="13082" width="6.5703125" style="552" customWidth="1"/>
    <col min="13083" max="13083" width="7.5703125" style="552" customWidth="1"/>
    <col min="13084" max="13084" width="7.85546875" style="552" customWidth="1"/>
    <col min="13085" max="13085" width="7.140625" style="552" customWidth="1"/>
    <col min="13086" max="13312" width="9.140625" style="552"/>
    <col min="13313" max="13313" width="4.85546875" style="552" customWidth="1"/>
    <col min="13314" max="13314" width="39" style="552" customWidth="1"/>
    <col min="13315" max="13315" width="9.85546875" style="552" customWidth="1"/>
    <col min="13316" max="13316" width="8.5703125" style="552" customWidth="1"/>
    <col min="13317" max="13317" width="9.42578125" style="552" customWidth="1"/>
    <col min="13318" max="13318" width="8.28515625" style="552" customWidth="1"/>
    <col min="13319" max="13319" width="7" style="552" customWidth="1"/>
    <col min="13320" max="13320" width="6" style="552" customWidth="1"/>
    <col min="13321" max="13321" width="7.28515625" style="552" customWidth="1"/>
    <col min="13322" max="13322" width="9.28515625" style="552" customWidth="1"/>
    <col min="13323" max="13323" width="9.5703125" style="552" customWidth="1"/>
    <col min="13324" max="13324" width="8.28515625" style="552" customWidth="1"/>
    <col min="13325" max="13325" width="9.42578125" style="552" customWidth="1"/>
    <col min="13326" max="13326" width="7.140625" style="552" customWidth="1"/>
    <col min="13327" max="13327" width="7.42578125" style="552" customWidth="1"/>
    <col min="13328" max="13329" width="7.28515625" style="552" customWidth="1"/>
    <col min="13330" max="13330" width="7" style="552" customWidth="1"/>
    <col min="13331" max="13331" width="8.85546875" style="552" customWidth="1"/>
    <col min="13332" max="13332" width="8.28515625" style="552" customWidth="1"/>
    <col min="13333" max="13333" width="8" style="552" customWidth="1"/>
    <col min="13334" max="13334" width="6.5703125" style="552" customWidth="1"/>
    <col min="13335" max="13335" width="6.42578125" style="552" customWidth="1"/>
    <col min="13336" max="13336" width="7" style="552" customWidth="1"/>
    <col min="13337" max="13337" width="6.85546875" style="552" customWidth="1"/>
    <col min="13338" max="13338" width="6.5703125" style="552" customWidth="1"/>
    <col min="13339" max="13339" width="7.5703125" style="552" customWidth="1"/>
    <col min="13340" max="13340" width="7.85546875" style="552" customWidth="1"/>
    <col min="13341" max="13341" width="7.140625" style="552" customWidth="1"/>
    <col min="13342" max="13568" width="9.140625" style="552"/>
    <col min="13569" max="13569" width="4.85546875" style="552" customWidth="1"/>
    <col min="13570" max="13570" width="39" style="552" customWidth="1"/>
    <col min="13571" max="13571" width="9.85546875" style="552" customWidth="1"/>
    <col min="13572" max="13572" width="8.5703125" style="552" customWidth="1"/>
    <col min="13573" max="13573" width="9.42578125" style="552" customWidth="1"/>
    <col min="13574" max="13574" width="8.28515625" style="552" customWidth="1"/>
    <col min="13575" max="13575" width="7" style="552" customWidth="1"/>
    <col min="13576" max="13576" width="6" style="552" customWidth="1"/>
    <col min="13577" max="13577" width="7.28515625" style="552" customWidth="1"/>
    <col min="13578" max="13578" width="9.28515625" style="552" customWidth="1"/>
    <col min="13579" max="13579" width="9.5703125" style="552" customWidth="1"/>
    <col min="13580" max="13580" width="8.28515625" style="552" customWidth="1"/>
    <col min="13581" max="13581" width="9.42578125" style="552" customWidth="1"/>
    <col min="13582" max="13582" width="7.140625" style="552" customWidth="1"/>
    <col min="13583" max="13583" width="7.42578125" style="552" customWidth="1"/>
    <col min="13584" max="13585" width="7.28515625" style="552" customWidth="1"/>
    <col min="13586" max="13586" width="7" style="552" customWidth="1"/>
    <col min="13587" max="13587" width="8.85546875" style="552" customWidth="1"/>
    <col min="13588" max="13588" width="8.28515625" style="552" customWidth="1"/>
    <col min="13589" max="13589" width="8" style="552" customWidth="1"/>
    <col min="13590" max="13590" width="6.5703125" style="552" customWidth="1"/>
    <col min="13591" max="13591" width="6.42578125" style="552" customWidth="1"/>
    <col min="13592" max="13592" width="7" style="552" customWidth="1"/>
    <col min="13593" max="13593" width="6.85546875" style="552" customWidth="1"/>
    <col min="13594" max="13594" width="6.5703125" style="552" customWidth="1"/>
    <col min="13595" max="13595" width="7.5703125" style="552" customWidth="1"/>
    <col min="13596" max="13596" width="7.85546875" style="552" customWidth="1"/>
    <col min="13597" max="13597" width="7.140625" style="552" customWidth="1"/>
    <col min="13598" max="13824" width="9.140625" style="552"/>
    <col min="13825" max="13825" width="4.85546875" style="552" customWidth="1"/>
    <col min="13826" max="13826" width="39" style="552" customWidth="1"/>
    <col min="13827" max="13827" width="9.85546875" style="552" customWidth="1"/>
    <col min="13828" max="13828" width="8.5703125" style="552" customWidth="1"/>
    <col min="13829" max="13829" width="9.42578125" style="552" customWidth="1"/>
    <col min="13830" max="13830" width="8.28515625" style="552" customWidth="1"/>
    <col min="13831" max="13831" width="7" style="552" customWidth="1"/>
    <col min="13832" max="13832" width="6" style="552" customWidth="1"/>
    <col min="13833" max="13833" width="7.28515625" style="552" customWidth="1"/>
    <col min="13834" max="13834" width="9.28515625" style="552" customWidth="1"/>
    <col min="13835" max="13835" width="9.5703125" style="552" customWidth="1"/>
    <col min="13836" max="13836" width="8.28515625" style="552" customWidth="1"/>
    <col min="13837" max="13837" width="9.42578125" style="552" customWidth="1"/>
    <col min="13838" max="13838" width="7.140625" style="552" customWidth="1"/>
    <col min="13839" max="13839" width="7.42578125" style="552" customWidth="1"/>
    <col min="13840" max="13841" width="7.28515625" style="552" customWidth="1"/>
    <col min="13842" max="13842" width="7" style="552" customWidth="1"/>
    <col min="13843" max="13843" width="8.85546875" style="552" customWidth="1"/>
    <col min="13844" max="13844" width="8.28515625" style="552" customWidth="1"/>
    <col min="13845" max="13845" width="8" style="552" customWidth="1"/>
    <col min="13846" max="13846" width="6.5703125" style="552" customWidth="1"/>
    <col min="13847" max="13847" width="6.42578125" style="552" customWidth="1"/>
    <col min="13848" max="13848" width="7" style="552" customWidth="1"/>
    <col min="13849" max="13849" width="6.85546875" style="552" customWidth="1"/>
    <col min="13850" max="13850" width="6.5703125" style="552" customWidth="1"/>
    <col min="13851" max="13851" width="7.5703125" style="552" customWidth="1"/>
    <col min="13852" max="13852" width="7.85546875" style="552" customWidth="1"/>
    <col min="13853" max="13853" width="7.140625" style="552" customWidth="1"/>
    <col min="13854" max="14080" width="9.140625" style="552"/>
    <col min="14081" max="14081" width="4.85546875" style="552" customWidth="1"/>
    <col min="14082" max="14082" width="39" style="552" customWidth="1"/>
    <col min="14083" max="14083" width="9.85546875" style="552" customWidth="1"/>
    <col min="14084" max="14084" width="8.5703125" style="552" customWidth="1"/>
    <col min="14085" max="14085" width="9.42578125" style="552" customWidth="1"/>
    <col min="14086" max="14086" width="8.28515625" style="552" customWidth="1"/>
    <col min="14087" max="14087" width="7" style="552" customWidth="1"/>
    <col min="14088" max="14088" width="6" style="552" customWidth="1"/>
    <col min="14089" max="14089" width="7.28515625" style="552" customWidth="1"/>
    <col min="14090" max="14090" width="9.28515625" style="552" customWidth="1"/>
    <col min="14091" max="14091" width="9.5703125" style="552" customWidth="1"/>
    <col min="14092" max="14092" width="8.28515625" style="552" customWidth="1"/>
    <col min="14093" max="14093" width="9.42578125" style="552" customWidth="1"/>
    <col min="14094" max="14094" width="7.140625" style="552" customWidth="1"/>
    <col min="14095" max="14095" width="7.42578125" style="552" customWidth="1"/>
    <col min="14096" max="14097" width="7.28515625" style="552" customWidth="1"/>
    <col min="14098" max="14098" width="7" style="552" customWidth="1"/>
    <col min="14099" max="14099" width="8.85546875" style="552" customWidth="1"/>
    <col min="14100" max="14100" width="8.28515625" style="552" customWidth="1"/>
    <col min="14101" max="14101" width="8" style="552" customWidth="1"/>
    <col min="14102" max="14102" width="6.5703125" style="552" customWidth="1"/>
    <col min="14103" max="14103" width="6.42578125" style="552" customWidth="1"/>
    <col min="14104" max="14104" width="7" style="552" customWidth="1"/>
    <col min="14105" max="14105" width="6.85546875" style="552" customWidth="1"/>
    <col min="14106" max="14106" width="6.5703125" style="552" customWidth="1"/>
    <col min="14107" max="14107" width="7.5703125" style="552" customWidth="1"/>
    <col min="14108" max="14108" width="7.85546875" style="552" customWidth="1"/>
    <col min="14109" max="14109" width="7.140625" style="552" customWidth="1"/>
    <col min="14110" max="14336" width="9.140625" style="552"/>
    <col min="14337" max="14337" width="4.85546875" style="552" customWidth="1"/>
    <col min="14338" max="14338" width="39" style="552" customWidth="1"/>
    <col min="14339" max="14339" width="9.85546875" style="552" customWidth="1"/>
    <col min="14340" max="14340" width="8.5703125" style="552" customWidth="1"/>
    <col min="14341" max="14341" width="9.42578125" style="552" customWidth="1"/>
    <col min="14342" max="14342" width="8.28515625" style="552" customWidth="1"/>
    <col min="14343" max="14343" width="7" style="552" customWidth="1"/>
    <col min="14344" max="14344" width="6" style="552" customWidth="1"/>
    <col min="14345" max="14345" width="7.28515625" style="552" customWidth="1"/>
    <col min="14346" max="14346" width="9.28515625" style="552" customWidth="1"/>
    <col min="14347" max="14347" width="9.5703125" style="552" customWidth="1"/>
    <col min="14348" max="14348" width="8.28515625" style="552" customWidth="1"/>
    <col min="14349" max="14349" width="9.42578125" style="552" customWidth="1"/>
    <col min="14350" max="14350" width="7.140625" style="552" customWidth="1"/>
    <col min="14351" max="14351" width="7.42578125" style="552" customWidth="1"/>
    <col min="14352" max="14353" width="7.28515625" style="552" customWidth="1"/>
    <col min="14354" max="14354" width="7" style="552" customWidth="1"/>
    <col min="14355" max="14355" width="8.85546875" style="552" customWidth="1"/>
    <col min="14356" max="14356" width="8.28515625" style="552" customWidth="1"/>
    <col min="14357" max="14357" width="8" style="552" customWidth="1"/>
    <col min="14358" max="14358" width="6.5703125" style="552" customWidth="1"/>
    <col min="14359" max="14359" width="6.42578125" style="552" customWidth="1"/>
    <col min="14360" max="14360" width="7" style="552" customWidth="1"/>
    <col min="14361" max="14361" width="6.85546875" style="552" customWidth="1"/>
    <col min="14362" max="14362" width="6.5703125" style="552" customWidth="1"/>
    <col min="14363" max="14363" width="7.5703125" style="552" customWidth="1"/>
    <col min="14364" max="14364" width="7.85546875" style="552" customWidth="1"/>
    <col min="14365" max="14365" width="7.140625" style="552" customWidth="1"/>
    <col min="14366" max="14592" width="9.140625" style="552"/>
    <col min="14593" max="14593" width="4.85546875" style="552" customWidth="1"/>
    <col min="14594" max="14594" width="39" style="552" customWidth="1"/>
    <col min="14595" max="14595" width="9.85546875" style="552" customWidth="1"/>
    <col min="14596" max="14596" width="8.5703125" style="552" customWidth="1"/>
    <col min="14597" max="14597" width="9.42578125" style="552" customWidth="1"/>
    <col min="14598" max="14598" width="8.28515625" style="552" customWidth="1"/>
    <col min="14599" max="14599" width="7" style="552" customWidth="1"/>
    <col min="14600" max="14600" width="6" style="552" customWidth="1"/>
    <col min="14601" max="14601" width="7.28515625" style="552" customWidth="1"/>
    <col min="14602" max="14602" width="9.28515625" style="552" customWidth="1"/>
    <col min="14603" max="14603" width="9.5703125" style="552" customWidth="1"/>
    <col min="14604" max="14604" width="8.28515625" style="552" customWidth="1"/>
    <col min="14605" max="14605" width="9.42578125" style="552" customWidth="1"/>
    <col min="14606" max="14606" width="7.140625" style="552" customWidth="1"/>
    <col min="14607" max="14607" width="7.42578125" style="552" customWidth="1"/>
    <col min="14608" max="14609" width="7.28515625" style="552" customWidth="1"/>
    <col min="14610" max="14610" width="7" style="552" customWidth="1"/>
    <col min="14611" max="14611" width="8.85546875" style="552" customWidth="1"/>
    <col min="14612" max="14612" width="8.28515625" style="552" customWidth="1"/>
    <col min="14613" max="14613" width="8" style="552" customWidth="1"/>
    <col min="14614" max="14614" width="6.5703125" style="552" customWidth="1"/>
    <col min="14615" max="14615" width="6.42578125" style="552" customWidth="1"/>
    <col min="14616" max="14616" width="7" style="552" customWidth="1"/>
    <col min="14617" max="14617" width="6.85546875" style="552" customWidth="1"/>
    <col min="14618" max="14618" width="6.5703125" style="552" customWidth="1"/>
    <col min="14619" max="14619" width="7.5703125" style="552" customWidth="1"/>
    <col min="14620" max="14620" width="7.85546875" style="552" customWidth="1"/>
    <col min="14621" max="14621" width="7.140625" style="552" customWidth="1"/>
    <col min="14622" max="14848" width="9.140625" style="552"/>
    <col min="14849" max="14849" width="4.85546875" style="552" customWidth="1"/>
    <col min="14850" max="14850" width="39" style="552" customWidth="1"/>
    <col min="14851" max="14851" width="9.85546875" style="552" customWidth="1"/>
    <col min="14852" max="14852" width="8.5703125" style="552" customWidth="1"/>
    <col min="14853" max="14853" width="9.42578125" style="552" customWidth="1"/>
    <col min="14854" max="14854" width="8.28515625" style="552" customWidth="1"/>
    <col min="14855" max="14855" width="7" style="552" customWidth="1"/>
    <col min="14856" max="14856" width="6" style="552" customWidth="1"/>
    <col min="14857" max="14857" width="7.28515625" style="552" customWidth="1"/>
    <col min="14858" max="14858" width="9.28515625" style="552" customWidth="1"/>
    <col min="14859" max="14859" width="9.5703125" style="552" customWidth="1"/>
    <col min="14860" max="14860" width="8.28515625" style="552" customWidth="1"/>
    <col min="14861" max="14861" width="9.42578125" style="552" customWidth="1"/>
    <col min="14862" max="14862" width="7.140625" style="552" customWidth="1"/>
    <col min="14863" max="14863" width="7.42578125" style="552" customWidth="1"/>
    <col min="14864" max="14865" width="7.28515625" style="552" customWidth="1"/>
    <col min="14866" max="14866" width="7" style="552" customWidth="1"/>
    <col min="14867" max="14867" width="8.85546875" style="552" customWidth="1"/>
    <col min="14868" max="14868" width="8.28515625" style="552" customWidth="1"/>
    <col min="14869" max="14869" width="8" style="552" customWidth="1"/>
    <col min="14870" max="14870" width="6.5703125" style="552" customWidth="1"/>
    <col min="14871" max="14871" width="6.42578125" style="552" customWidth="1"/>
    <col min="14872" max="14872" width="7" style="552" customWidth="1"/>
    <col min="14873" max="14873" width="6.85546875" style="552" customWidth="1"/>
    <col min="14874" max="14874" width="6.5703125" style="552" customWidth="1"/>
    <col min="14875" max="14875" width="7.5703125" style="552" customWidth="1"/>
    <col min="14876" max="14876" width="7.85546875" style="552" customWidth="1"/>
    <col min="14877" max="14877" width="7.140625" style="552" customWidth="1"/>
    <col min="14878" max="15104" width="9.140625" style="552"/>
    <col min="15105" max="15105" width="4.85546875" style="552" customWidth="1"/>
    <col min="15106" max="15106" width="39" style="552" customWidth="1"/>
    <col min="15107" max="15107" width="9.85546875" style="552" customWidth="1"/>
    <col min="15108" max="15108" width="8.5703125" style="552" customWidth="1"/>
    <col min="15109" max="15109" width="9.42578125" style="552" customWidth="1"/>
    <col min="15110" max="15110" width="8.28515625" style="552" customWidth="1"/>
    <col min="15111" max="15111" width="7" style="552" customWidth="1"/>
    <col min="15112" max="15112" width="6" style="552" customWidth="1"/>
    <col min="15113" max="15113" width="7.28515625" style="552" customWidth="1"/>
    <col min="15114" max="15114" width="9.28515625" style="552" customWidth="1"/>
    <col min="15115" max="15115" width="9.5703125" style="552" customWidth="1"/>
    <col min="15116" max="15116" width="8.28515625" style="552" customWidth="1"/>
    <col min="15117" max="15117" width="9.42578125" style="552" customWidth="1"/>
    <col min="15118" max="15118" width="7.140625" style="552" customWidth="1"/>
    <col min="15119" max="15119" width="7.42578125" style="552" customWidth="1"/>
    <col min="15120" max="15121" width="7.28515625" style="552" customWidth="1"/>
    <col min="15122" max="15122" width="7" style="552" customWidth="1"/>
    <col min="15123" max="15123" width="8.85546875" style="552" customWidth="1"/>
    <col min="15124" max="15124" width="8.28515625" style="552" customWidth="1"/>
    <col min="15125" max="15125" width="8" style="552" customWidth="1"/>
    <col min="15126" max="15126" width="6.5703125" style="552" customWidth="1"/>
    <col min="15127" max="15127" width="6.42578125" style="552" customWidth="1"/>
    <col min="15128" max="15128" width="7" style="552" customWidth="1"/>
    <col min="15129" max="15129" width="6.85546875" style="552" customWidth="1"/>
    <col min="15130" max="15130" width="6.5703125" style="552" customWidth="1"/>
    <col min="15131" max="15131" width="7.5703125" style="552" customWidth="1"/>
    <col min="15132" max="15132" width="7.85546875" style="552" customWidth="1"/>
    <col min="15133" max="15133" width="7.140625" style="552" customWidth="1"/>
    <col min="15134" max="15360" width="9.140625" style="552"/>
    <col min="15361" max="15361" width="4.85546875" style="552" customWidth="1"/>
    <col min="15362" max="15362" width="39" style="552" customWidth="1"/>
    <col min="15363" max="15363" width="9.85546875" style="552" customWidth="1"/>
    <col min="15364" max="15364" width="8.5703125" style="552" customWidth="1"/>
    <col min="15365" max="15365" width="9.42578125" style="552" customWidth="1"/>
    <col min="15366" max="15366" width="8.28515625" style="552" customWidth="1"/>
    <col min="15367" max="15367" width="7" style="552" customWidth="1"/>
    <col min="15368" max="15368" width="6" style="552" customWidth="1"/>
    <col min="15369" max="15369" width="7.28515625" style="552" customWidth="1"/>
    <col min="15370" max="15370" width="9.28515625" style="552" customWidth="1"/>
    <col min="15371" max="15371" width="9.5703125" style="552" customWidth="1"/>
    <col min="15372" max="15372" width="8.28515625" style="552" customWidth="1"/>
    <col min="15373" max="15373" width="9.42578125" style="552" customWidth="1"/>
    <col min="15374" max="15374" width="7.140625" style="552" customWidth="1"/>
    <col min="15375" max="15375" width="7.42578125" style="552" customWidth="1"/>
    <col min="15376" max="15377" width="7.28515625" style="552" customWidth="1"/>
    <col min="15378" max="15378" width="7" style="552" customWidth="1"/>
    <col min="15379" max="15379" width="8.85546875" style="552" customWidth="1"/>
    <col min="15380" max="15380" width="8.28515625" style="552" customWidth="1"/>
    <col min="15381" max="15381" width="8" style="552" customWidth="1"/>
    <col min="15382" max="15382" width="6.5703125" style="552" customWidth="1"/>
    <col min="15383" max="15383" width="6.42578125" style="552" customWidth="1"/>
    <col min="15384" max="15384" width="7" style="552" customWidth="1"/>
    <col min="15385" max="15385" width="6.85546875" style="552" customWidth="1"/>
    <col min="15386" max="15386" width="6.5703125" style="552" customWidth="1"/>
    <col min="15387" max="15387" width="7.5703125" style="552" customWidth="1"/>
    <col min="15388" max="15388" width="7.85546875" style="552" customWidth="1"/>
    <col min="15389" max="15389" width="7.140625" style="552" customWidth="1"/>
    <col min="15390" max="15616" width="9.140625" style="552"/>
    <col min="15617" max="15617" width="4.85546875" style="552" customWidth="1"/>
    <col min="15618" max="15618" width="39" style="552" customWidth="1"/>
    <col min="15619" max="15619" width="9.85546875" style="552" customWidth="1"/>
    <col min="15620" max="15620" width="8.5703125" style="552" customWidth="1"/>
    <col min="15621" max="15621" width="9.42578125" style="552" customWidth="1"/>
    <col min="15622" max="15622" width="8.28515625" style="552" customWidth="1"/>
    <col min="15623" max="15623" width="7" style="552" customWidth="1"/>
    <col min="15624" max="15624" width="6" style="552" customWidth="1"/>
    <col min="15625" max="15625" width="7.28515625" style="552" customWidth="1"/>
    <col min="15626" max="15626" width="9.28515625" style="552" customWidth="1"/>
    <col min="15627" max="15627" width="9.5703125" style="552" customWidth="1"/>
    <col min="15628" max="15628" width="8.28515625" style="552" customWidth="1"/>
    <col min="15629" max="15629" width="9.42578125" style="552" customWidth="1"/>
    <col min="15630" max="15630" width="7.140625" style="552" customWidth="1"/>
    <col min="15631" max="15631" width="7.42578125" style="552" customWidth="1"/>
    <col min="15632" max="15633" width="7.28515625" style="552" customWidth="1"/>
    <col min="15634" max="15634" width="7" style="552" customWidth="1"/>
    <col min="15635" max="15635" width="8.85546875" style="552" customWidth="1"/>
    <col min="15636" max="15636" width="8.28515625" style="552" customWidth="1"/>
    <col min="15637" max="15637" width="8" style="552" customWidth="1"/>
    <col min="15638" max="15638" width="6.5703125" style="552" customWidth="1"/>
    <col min="15639" max="15639" width="6.42578125" style="552" customWidth="1"/>
    <col min="15640" max="15640" width="7" style="552" customWidth="1"/>
    <col min="15641" max="15641" width="6.85546875" style="552" customWidth="1"/>
    <col min="15642" max="15642" width="6.5703125" style="552" customWidth="1"/>
    <col min="15643" max="15643" width="7.5703125" style="552" customWidth="1"/>
    <col min="15644" max="15644" width="7.85546875" style="552" customWidth="1"/>
    <col min="15645" max="15645" width="7.140625" style="552" customWidth="1"/>
    <col min="15646" max="15872" width="9.140625" style="552"/>
    <col min="15873" max="15873" width="4.85546875" style="552" customWidth="1"/>
    <col min="15874" max="15874" width="39" style="552" customWidth="1"/>
    <col min="15875" max="15875" width="9.85546875" style="552" customWidth="1"/>
    <col min="15876" max="15876" width="8.5703125" style="552" customWidth="1"/>
    <col min="15877" max="15877" width="9.42578125" style="552" customWidth="1"/>
    <col min="15878" max="15878" width="8.28515625" style="552" customWidth="1"/>
    <col min="15879" max="15879" width="7" style="552" customWidth="1"/>
    <col min="15880" max="15880" width="6" style="552" customWidth="1"/>
    <col min="15881" max="15881" width="7.28515625" style="552" customWidth="1"/>
    <col min="15882" max="15882" width="9.28515625" style="552" customWidth="1"/>
    <col min="15883" max="15883" width="9.5703125" style="552" customWidth="1"/>
    <col min="15884" max="15884" width="8.28515625" style="552" customWidth="1"/>
    <col min="15885" max="15885" width="9.42578125" style="552" customWidth="1"/>
    <col min="15886" max="15886" width="7.140625" style="552" customWidth="1"/>
    <col min="15887" max="15887" width="7.42578125" style="552" customWidth="1"/>
    <col min="15888" max="15889" width="7.28515625" style="552" customWidth="1"/>
    <col min="15890" max="15890" width="7" style="552" customWidth="1"/>
    <col min="15891" max="15891" width="8.85546875" style="552" customWidth="1"/>
    <col min="15892" max="15892" width="8.28515625" style="552" customWidth="1"/>
    <col min="15893" max="15893" width="8" style="552" customWidth="1"/>
    <col min="15894" max="15894" width="6.5703125" style="552" customWidth="1"/>
    <col min="15895" max="15895" width="6.42578125" style="552" customWidth="1"/>
    <col min="15896" max="15896" width="7" style="552" customWidth="1"/>
    <col min="15897" max="15897" width="6.85546875" style="552" customWidth="1"/>
    <col min="15898" max="15898" width="6.5703125" style="552" customWidth="1"/>
    <col min="15899" max="15899" width="7.5703125" style="552" customWidth="1"/>
    <col min="15900" max="15900" width="7.85546875" style="552" customWidth="1"/>
    <col min="15901" max="15901" width="7.140625" style="552" customWidth="1"/>
    <col min="15902" max="16128" width="9.140625" style="552"/>
    <col min="16129" max="16129" width="4.85546875" style="552" customWidth="1"/>
    <col min="16130" max="16130" width="39" style="552" customWidth="1"/>
    <col min="16131" max="16131" width="9.85546875" style="552" customWidth="1"/>
    <col min="16132" max="16132" width="8.5703125" style="552" customWidth="1"/>
    <col min="16133" max="16133" width="9.42578125" style="552" customWidth="1"/>
    <col min="16134" max="16134" width="8.28515625" style="552" customWidth="1"/>
    <col min="16135" max="16135" width="7" style="552" customWidth="1"/>
    <col min="16136" max="16136" width="6" style="552" customWidth="1"/>
    <col min="16137" max="16137" width="7.28515625" style="552" customWidth="1"/>
    <col min="16138" max="16138" width="9.28515625" style="552" customWidth="1"/>
    <col min="16139" max="16139" width="9.5703125" style="552" customWidth="1"/>
    <col min="16140" max="16140" width="8.28515625" style="552" customWidth="1"/>
    <col min="16141" max="16141" width="9.42578125" style="552" customWidth="1"/>
    <col min="16142" max="16142" width="7.140625" style="552" customWidth="1"/>
    <col min="16143" max="16143" width="7.42578125" style="552" customWidth="1"/>
    <col min="16144" max="16145" width="7.28515625" style="552" customWidth="1"/>
    <col min="16146" max="16146" width="7" style="552" customWidth="1"/>
    <col min="16147" max="16147" width="8.85546875" style="552" customWidth="1"/>
    <col min="16148" max="16148" width="8.28515625" style="552" customWidth="1"/>
    <col min="16149" max="16149" width="8" style="552" customWidth="1"/>
    <col min="16150" max="16150" width="6.5703125" style="552" customWidth="1"/>
    <col min="16151" max="16151" width="6.42578125" style="552" customWidth="1"/>
    <col min="16152" max="16152" width="7" style="552" customWidth="1"/>
    <col min="16153" max="16153" width="6.85546875" style="552" customWidth="1"/>
    <col min="16154" max="16154" width="6.5703125" style="552" customWidth="1"/>
    <col min="16155" max="16155" width="7.5703125" style="552" customWidth="1"/>
    <col min="16156" max="16156" width="7.85546875" style="552" customWidth="1"/>
    <col min="16157" max="16157" width="7.140625" style="552" customWidth="1"/>
    <col min="16158" max="16384" width="9.140625" style="552"/>
  </cols>
  <sheetData>
    <row r="1" spans="1:29" ht="24" customHeight="1">
      <c r="A1" s="1703" t="s">
        <v>221</v>
      </c>
      <c r="B1" s="1703"/>
      <c r="C1" s="1387"/>
      <c r="D1" s="524"/>
      <c r="E1" s="524"/>
      <c r="F1" s="524"/>
      <c r="G1" s="524"/>
      <c r="H1" s="524"/>
      <c r="I1" s="524"/>
      <c r="J1" s="524"/>
      <c r="K1" s="524"/>
      <c r="L1" s="524"/>
      <c r="M1" s="524"/>
      <c r="N1" s="524"/>
      <c r="O1" s="524"/>
      <c r="P1" s="524"/>
      <c r="Q1" s="524"/>
      <c r="R1" s="524"/>
      <c r="S1" s="524"/>
      <c r="T1" s="524"/>
      <c r="U1" s="524"/>
      <c r="V1" s="1233"/>
      <c r="W1" s="1233"/>
      <c r="X1" s="1233"/>
      <c r="Y1" s="1233"/>
      <c r="Z1" s="1681" t="s">
        <v>2229</v>
      </c>
      <c r="AA1" s="1681"/>
      <c r="AB1" s="1681"/>
      <c r="AC1" s="1681"/>
    </row>
    <row r="2" spans="1:29" ht="22.5" customHeight="1">
      <c r="A2" s="1674" t="s">
        <v>2183</v>
      </c>
      <c r="B2" s="1674"/>
      <c r="C2" s="1674"/>
      <c r="D2" s="1674"/>
      <c r="E2" s="1674"/>
      <c r="F2" s="1674"/>
      <c r="G2" s="1674"/>
      <c r="H2" s="1674"/>
      <c r="I2" s="1674"/>
      <c r="J2" s="1674"/>
      <c r="K2" s="1674"/>
      <c r="L2" s="1674"/>
      <c r="M2" s="1674"/>
      <c r="N2" s="1674"/>
      <c r="O2" s="1674"/>
      <c r="P2" s="1674"/>
      <c r="Q2" s="1674"/>
      <c r="R2" s="1674"/>
      <c r="S2" s="1674"/>
      <c r="T2" s="1674"/>
      <c r="U2" s="1674"/>
      <c r="V2" s="1674"/>
      <c r="W2" s="1674"/>
      <c r="X2" s="1674"/>
      <c r="Y2" s="1674"/>
      <c r="Z2" s="1674"/>
      <c r="AA2" s="1674"/>
    </row>
    <row r="3" spans="1:29" ht="21" customHeight="1">
      <c r="A3" s="1674" t="str">
        <f>B62CK!A3</f>
        <v>(Quyết toán đã được Hội đồng nhân dân tỉnh phê chuẩn)</v>
      </c>
      <c r="B3" s="1674"/>
      <c r="C3" s="1674"/>
      <c r="D3" s="1674"/>
      <c r="E3" s="1674"/>
      <c r="F3" s="1674"/>
      <c r="G3" s="1674"/>
      <c r="H3" s="1674"/>
      <c r="I3" s="1674"/>
      <c r="J3" s="1674"/>
      <c r="K3" s="1674"/>
      <c r="L3" s="1674"/>
      <c r="M3" s="1674"/>
      <c r="N3" s="1674"/>
      <c r="O3" s="1674"/>
      <c r="P3" s="1674"/>
      <c r="Q3" s="1674"/>
      <c r="R3" s="1674"/>
      <c r="S3" s="1674"/>
      <c r="T3" s="1674"/>
      <c r="U3" s="1674"/>
      <c r="V3" s="1674"/>
      <c r="W3" s="1674"/>
      <c r="X3" s="1674"/>
      <c r="Y3" s="1674"/>
      <c r="Z3" s="1674"/>
      <c r="AA3" s="1674"/>
      <c r="AB3" s="1674"/>
      <c r="AC3" s="1674"/>
    </row>
    <row r="4" spans="1:29" ht="20.25" customHeight="1">
      <c r="A4" s="1704" t="str">
        <f>B62CK!A4</f>
        <v>(Kèm theo Quyết định số            /QĐ-UBND ngày         tháng 01 năm 2020 của UBND tỉnh)</v>
      </c>
      <c r="B4" s="1704"/>
      <c r="C4" s="1704"/>
      <c r="D4" s="1704"/>
      <c r="E4" s="1704"/>
      <c r="F4" s="1704"/>
      <c r="G4" s="1704"/>
      <c r="H4" s="1704"/>
      <c r="I4" s="1704"/>
      <c r="J4" s="1704"/>
      <c r="K4" s="1704"/>
      <c r="L4" s="1704"/>
      <c r="M4" s="1704"/>
      <c r="N4" s="1704"/>
      <c r="O4" s="1704"/>
      <c r="P4" s="1704"/>
      <c r="Q4" s="1704"/>
      <c r="R4" s="1704"/>
      <c r="S4" s="1704"/>
      <c r="T4" s="1704"/>
      <c r="U4" s="1704"/>
      <c r="V4" s="1704"/>
      <c r="W4" s="1704"/>
      <c r="X4" s="1704"/>
      <c r="Y4" s="1704"/>
      <c r="Z4" s="1704"/>
      <c r="AA4" s="1704"/>
    </row>
    <row r="5" spans="1:29" ht="21" customHeight="1">
      <c r="A5" s="524"/>
      <c r="B5" s="1388"/>
      <c r="C5" s="524"/>
      <c r="D5" s="524"/>
      <c r="E5" s="524"/>
      <c r="F5" s="524"/>
      <c r="G5" s="524"/>
      <c r="H5" s="524"/>
      <c r="I5" s="524"/>
      <c r="J5" s="524"/>
      <c r="K5" s="1389"/>
      <c r="L5" s="524"/>
      <c r="M5" s="524"/>
      <c r="N5" s="524"/>
      <c r="O5" s="524"/>
      <c r="P5" s="524"/>
      <c r="Q5" s="524"/>
      <c r="R5" s="524"/>
      <c r="S5" s="1390"/>
      <c r="T5" s="524"/>
      <c r="U5" s="524"/>
      <c r="V5" s="524"/>
      <c r="W5" s="1391"/>
      <c r="X5" s="1695" t="s">
        <v>5</v>
      </c>
      <c r="Y5" s="1695"/>
      <c r="Z5" s="1695"/>
      <c r="AA5" s="1695"/>
      <c r="AB5" s="1695"/>
      <c r="AC5" s="1695"/>
    </row>
    <row r="6" spans="1:29" ht="15" customHeight="1">
      <c r="A6" s="1705" t="s">
        <v>316</v>
      </c>
      <c r="B6" s="1705" t="s">
        <v>32</v>
      </c>
      <c r="C6" s="1706" t="s">
        <v>136</v>
      </c>
      <c r="D6" s="1707"/>
      <c r="E6" s="1707"/>
      <c r="F6" s="1707"/>
      <c r="G6" s="1707"/>
      <c r="H6" s="1707"/>
      <c r="I6" s="1707"/>
      <c r="J6" s="1708"/>
      <c r="K6" s="1705" t="s">
        <v>155</v>
      </c>
      <c r="L6" s="1705"/>
      <c r="M6" s="1705"/>
      <c r="N6" s="1705"/>
      <c r="O6" s="1705"/>
      <c r="P6" s="1705"/>
      <c r="Q6" s="1705"/>
      <c r="R6" s="1705"/>
      <c r="S6" s="1705"/>
      <c r="T6" s="1705"/>
      <c r="U6" s="1705"/>
      <c r="V6" s="1705" t="s">
        <v>75</v>
      </c>
      <c r="W6" s="1705"/>
      <c r="X6" s="1705"/>
      <c r="Y6" s="1705"/>
      <c r="Z6" s="1705"/>
      <c r="AA6" s="1705"/>
      <c r="AB6" s="1705"/>
      <c r="AC6" s="1705"/>
    </row>
    <row r="7" spans="1:29" ht="19.5" customHeight="1">
      <c r="A7" s="1705"/>
      <c r="B7" s="1705"/>
      <c r="C7" s="1705" t="s">
        <v>25</v>
      </c>
      <c r="D7" s="1709" t="s">
        <v>1609</v>
      </c>
      <c r="E7" s="1709" t="s">
        <v>15</v>
      </c>
      <c r="F7" s="1710" t="s">
        <v>122</v>
      </c>
      <c r="G7" s="1709" t="s">
        <v>1611</v>
      </c>
      <c r="H7" s="1709" t="s">
        <v>47</v>
      </c>
      <c r="I7" s="1710" t="s">
        <v>2092</v>
      </c>
      <c r="J7" s="1710" t="s">
        <v>2093</v>
      </c>
      <c r="K7" s="1705" t="s">
        <v>25</v>
      </c>
      <c r="L7" s="1709" t="s">
        <v>1609</v>
      </c>
      <c r="M7" s="1709" t="s">
        <v>1610</v>
      </c>
      <c r="N7" s="1709" t="s">
        <v>1611</v>
      </c>
      <c r="O7" s="1709" t="s">
        <v>47</v>
      </c>
      <c r="P7" s="1709" t="s">
        <v>122</v>
      </c>
      <c r="Q7" s="1709"/>
      <c r="R7" s="1709"/>
      <c r="S7" s="1710" t="s">
        <v>2093</v>
      </c>
      <c r="T7" s="1710" t="s">
        <v>229</v>
      </c>
      <c r="U7" s="1709" t="s">
        <v>123</v>
      </c>
      <c r="V7" s="1714" t="s">
        <v>25</v>
      </c>
      <c r="W7" s="1711" t="s">
        <v>73</v>
      </c>
      <c r="X7" s="1711" t="s">
        <v>15</v>
      </c>
      <c r="Y7" s="1713" t="s">
        <v>1612</v>
      </c>
      <c r="Z7" s="1713" t="s">
        <v>47</v>
      </c>
      <c r="AA7" s="1713" t="s">
        <v>1520</v>
      </c>
      <c r="AB7" s="1713" t="s">
        <v>2093</v>
      </c>
      <c r="AC7" s="1712" t="s">
        <v>229</v>
      </c>
    </row>
    <row r="8" spans="1:29" ht="85.5" customHeight="1">
      <c r="A8" s="1705"/>
      <c r="B8" s="1705"/>
      <c r="C8" s="1705"/>
      <c r="D8" s="1709"/>
      <c r="E8" s="1709"/>
      <c r="F8" s="1711"/>
      <c r="G8" s="1709"/>
      <c r="H8" s="1709"/>
      <c r="I8" s="1711"/>
      <c r="J8" s="1711"/>
      <c r="K8" s="1705"/>
      <c r="L8" s="1709"/>
      <c r="M8" s="1709"/>
      <c r="N8" s="1709"/>
      <c r="O8" s="1709"/>
      <c r="P8" s="1392" t="s">
        <v>25</v>
      </c>
      <c r="Q8" s="1393" t="s">
        <v>73</v>
      </c>
      <c r="R8" s="1393" t="s">
        <v>15</v>
      </c>
      <c r="S8" s="1711"/>
      <c r="T8" s="1711"/>
      <c r="U8" s="1709"/>
      <c r="V8" s="1705"/>
      <c r="W8" s="1709"/>
      <c r="X8" s="1709"/>
      <c r="Y8" s="1711"/>
      <c r="Z8" s="1711"/>
      <c r="AA8" s="1711"/>
      <c r="AB8" s="1711"/>
      <c r="AC8" s="1712"/>
    </row>
    <row r="9" spans="1:29" ht="21" customHeight="1">
      <c r="A9" s="1392" t="s">
        <v>2</v>
      </c>
      <c r="B9" s="1392" t="s">
        <v>3</v>
      </c>
      <c r="C9" s="1392">
        <v>1</v>
      </c>
      <c r="D9" s="1392">
        <v>2</v>
      </c>
      <c r="E9" s="1392">
        <v>3</v>
      </c>
      <c r="F9" s="1392">
        <v>4</v>
      </c>
      <c r="G9" s="1392">
        <v>5</v>
      </c>
      <c r="H9" s="1392">
        <v>6</v>
      </c>
      <c r="I9" s="1392">
        <v>7</v>
      </c>
      <c r="J9" s="1392">
        <v>8</v>
      </c>
      <c r="K9" s="1392">
        <v>9</v>
      </c>
      <c r="L9" s="1392">
        <v>10</v>
      </c>
      <c r="M9" s="1392">
        <v>11</v>
      </c>
      <c r="N9" s="1392">
        <v>12</v>
      </c>
      <c r="O9" s="1392">
        <v>13</v>
      </c>
      <c r="P9" s="1394">
        <v>14</v>
      </c>
      <c r="Q9" s="1392">
        <v>15</v>
      </c>
      <c r="R9" s="1392">
        <v>16</v>
      </c>
      <c r="S9" s="1392">
        <v>17</v>
      </c>
      <c r="T9" s="1392">
        <v>18</v>
      </c>
      <c r="U9" s="1392">
        <v>19</v>
      </c>
      <c r="V9" s="1392">
        <v>20</v>
      </c>
      <c r="W9" s="1392">
        <v>21</v>
      </c>
      <c r="X9" s="1392">
        <v>22</v>
      </c>
      <c r="Y9" s="1392">
        <v>23</v>
      </c>
      <c r="Z9" s="1392">
        <v>24</v>
      </c>
      <c r="AA9" s="1392">
        <v>25</v>
      </c>
      <c r="AB9" s="1392">
        <v>26</v>
      </c>
      <c r="AC9" s="1392">
        <v>27</v>
      </c>
    </row>
    <row r="10" spans="1:29" ht="19.5" customHeight="1">
      <c r="A10" s="1395"/>
      <c r="B10" s="1392" t="s">
        <v>27</v>
      </c>
      <c r="C10" s="1396">
        <f t="shared" ref="C10:J10" si="0">C11+C113+C114+C115+C116+C118+C119</f>
        <v>4441051</v>
      </c>
      <c r="D10" s="1396">
        <f t="shared" si="0"/>
        <v>1182602</v>
      </c>
      <c r="E10" s="1396">
        <f t="shared" si="0"/>
        <v>1089516</v>
      </c>
      <c r="F10" s="1396">
        <f t="shared" si="0"/>
        <v>20941</v>
      </c>
      <c r="G10" s="1396">
        <f t="shared" si="0"/>
        <v>548</v>
      </c>
      <c r="H10" s="1396">
        <f t="shared" si="0"/>
        <v>1000</v>
      </c>
      <c r="I10" s="1396">
        <f t="shared" si="0"/>
        <v>35202</v>
      </c>
      <c r="J10" s="1396">
        <f t="shared" si="0"/>
        <v>2111242</v>
      </c>
      <c r="K10" s="1396">
        <f t="shared" ref="K10:P10" si="1">K11+K113+K114+K115+K116+K117+K118+K119</f>
        <v>5450046.5315569993</v>
      </c>
      <c r="L10" s="1396">
        <f t="shared" si="1"/>
        <v>904564.45008800004</v>
      </c>
      <c r="M10" s="1396">
        <f t="shared" si="1"/>
        <v>1278495.5391779998</v>
      </c>
      <c r="N10" s="1396">
        <f t="shared" si="1"/>
        <v>376.38898399999999</v>
      </c>
      <c r="O10" s="1396">
        <f t="shared" si="1"/>
        <v>1000</v>
      </c>
      <c r="P10" s="1396">
        <f t="shared" si="1"/>
        <v>19271</v>
      </c>
      <c r="Q10" s="1396">
        <f>Q11+Q113+Q114+Q115+Q116+Q117+Q118+Q119</f>
        <v>0</v>
      </c>
      <c r="R10" s="1396">
        <f>R11+R113+R114+R115+R116+R117+R118+R119</f>
        <v>19271</v>
      </c>
      <c r="S10" s="1396">
        <f>S11+S113+S114+S115+S116+S117+S118+S119</f>
        <v>2289806.653624</v>
      </c>
      <c r="T10" s="1396">
        <f>T11+T113+T114+T115+T116+T117+T118+T119</f>
        <v>59351.751263999999</v>
      </c>
      <c r="U10" s="1396">
        <f>U11+U113+U114+U115+U116+U117+U118+U119</f>
        <v>897180.74841900019</v>
      </c>
      <c r="V10" s="1397">
        <f t="shared" ref="V10:X12" si="2">K10/C10</f>
        <v>1.2271974655452051</v>
      </c>
      <c r="W10" s="1398">
        <f t="shared" si="2"/>
        <v>0.76489338770609216</v>
      </c>
      <c r="X10" s="1397">
        <f t="shared" si="2"/>
        <v>1.1734527433998214</v>
      </c>
      <c r="Y10" s="1399">
        <f>N10/G10</f>
        <v>0.68684121167883205</v>
      </c>
      <c r="Z10" s="1399">
        <f>O10/H10</f>
        <v>1</v>
      </c>
      <c r="AA10" s="1399">
        <f>P10/F10</f>
        <v>0.92025213695621033</v>
      </c>
      <c r="AB10" s="1400">
        <f>S10/J10</f>
        <v>1.0845780131429745</v>
      </c>
      <c r="AC10" s="1401"/>
    </row>
    <row r="11" spans="1:29" ht="19.5" customHeight="1">
      <c r="A11" s="1392" t="s">
        <v>11</v>
      </c>
      <c r="B11" s="1402" t="s">
        <v>1525</v>
      </c>
      <c r="C11" s="1396">
        <f>C12+C44+C47+C53+C68+C71+C98+C107+C108+C109+C110+C111+C112</f>
        <v>2293059</v>
      </c>
      <c r="D11" s="1396">
        <f>D12+D44+D47+D53+D68+D71+D98+D107+D108+D109+D110+D111+D112</f>
        <v>1182602</v>
      </c>
      <c r="E11" s="1396">
        <f>E12+E44+E47+E53+E68+E71</f>
        <v>1089516</v>
      </c>
      <c r="F11" s="1396">
        <f>F12+F44+F47+F53+F68+F71</f>
        <v>20941</v>
      </c>
      <c r="G11" s="1396"/>
      <c r="H11" s="1396"/>
      <c r="I11" s="1396"/>
      <c r="J11" s="1396"/>
      <c r="K11" s="1396">
        <f>K12+K44+K47+K53+K68+K71+K98+K107+K108+K109+K110+K111+K112</f>
        <v>2202330.9892659998</v>
      </c>
      <c r="L11" s="1396">
        <f>L12+L44+L47+L53+L68+L71+L98+L107+L108+L109+L110+L111+L112</f>
        <v>904564.45008800004</v>
      </c>
      <c r="M11" s="1396">
        <f t="shared" ref="M11:U11" si="3">M12+M44+M47+M53+M68+M71+M98+M112</f>
        <v>1278495.5391779998</v>
      </c>
      <c r="N11" s="1396">
        <f t="shared" si="3"/>
        <v>0</v>
      </c>
      <c r="O11" s="1396">
        <f t="shared" si="3"/>
        <v>0</v>
      </c>
      <c r="P11" s="1396">
        <f t="shared" si="3"/>
        <v>19271</v>
      </c>
      <c r="Q11" s="1396">
        <f t="shared" si="3"/>
        <v>0</v>
      </c>
      <c r="R11" s="1396">
        <f t="shared" si="3"/>
        <v>19271</v>
      </c>
      <c r="S11" s="1396">
        <f t="shared" si="3"/>
        <v>0</v>
      </c>
      <c r="T11" s="1396">
        <f t="shared" si="3"/>
        <v>0</v>
      </c>
      <c r="U11" s="1396">
        <f t="shared" si="3"/>
        <v>0</v>
      </c>
      <c r="V11" s="1397">
        <f t="shared" si="2"/>
        <v>0.96043363440103358</v>
      </c>
      <c r="W11" s="1397">
        <f t="shared" si="2"/>
        <v>0.76489338770609216</v>
      </c>
      <c r="X11" s="1397">
        <f t="shared" si="2"/>
        <v>1.1734527433998214</v>
      </c>
      <c r="Y11" s="1403"/>
      <c r="Z11" s="1403"/>
      <c r="AA11" s="1399">
        <f>P11/F11</f>
        <v>0.92025213695621033</v>
      </c>
      <c r="AB11" s="1401"/>
      <c r="AC11" s="1401"/>
    </row>
    <row r="12" spans="1:29" ht="18" customHeight="1">
      <c r="A12" s="1404">
        <v>1</v>
      </c>
      <c r="B12" s="1405" t="s">
        <v>1329</v>
      </c>
      <c r="C12" s="1406">
        <f>SUM(C13:C43)</f>
        <v>1624084.65</v>
      </c>
      <c r="D12" s="1406">
        <f>SUM(D13:D43)</f>
        <v>843255</v>
      </c>
      <c r="E12" s="1406">
        <f>SUM(E13:E42)</f>
        <v>761676</v>
      </c>
      <c r="F12" s="1406">
        <f>SUM(F13:F42)</f>
        <v>19153.650000000001</v>
      </c>
      <c r="G12" s="1406"/>
      <c r="H12" s="1406"/>
      <c r="I12" s="1406"/>
      <c r="J12" s="1406"/>
      <c r="K12" s="1406">
        <f>SUM(K13:K43)</f>
        <v>1522609.253147</v>
      </c>
      <c r="L12" s="1406">
        <f>SUM(L13:L43)</f>
        <v>617617</v>
      </c>
      <c r="M12" s="1406">
        <f>SUM(M13:M43)</f>
        <v>886839.2531470001</v>
      </c>
      <c r="N12" s="1406">
        <f>SUM(N13:N43)</f>
        <v>0</v>
      </c>
      <c r="O12" s="1406">
        <f>SUM(O13:O43)</f>
        <v>0</v>
      </c>
      <c r="P12" s="1406">
        <f>SUM(P13:P42)</f>
        <v>18153</v>
      </c>
      <c r="Q12" s="1406">
        <f>SUM(Q13:Q42)</f>
        <v>0</v>
      </c>
      <c r="R12" s="1407">
        <f>SUM(R13:R42)</f>
        <v>18153</v>
      </c>
      <c r="S12" s="1408"/>
      <c r="T12" s="1408"/>
      <c r="U12" s="1409"/>
      <c r="V12" s="1410">
        <f t="shared" si="2"/>
        <v>0.93751840653564456</v>
      </c>
      <c r="W12" s="1411">
        <f t="shared" si="2"/>
        <v>0.732420205038808</v>
      </c>
      <c r="X12" s="1411">
        <f t="shared" si="2"/>
        <v>1.1643261086695658</v>
      </c>
      <c r="Y12" s="1403"/>
      <c r="Z12" s="1403"/>
      <c r="AA12" s="1403"/>
      <c r="AB12" s="1401"/>
      <c r="AC12" s="1401"/>
    </row>
    <row r="13" spans="1:29" ht="18" customHeight="1">
      <c r="A13" s="1412" t="s">
        <v>308</v>
      </c>
      <c r="B13" s="1413" t="s">
        <v>2184</v>
      </c>
      <c r="C13" s="1414">
        <f t="shared" ref="C13:C43" si="4">D13+E13+F13+G13+H13+I13+J13</f>
        <v>9308</v>
      </c>
      <c r="D13" s="1415"/>
      <c r="E13" s="1416">
        <v>9308</v>
      </c>
      <c r="F13" s="1416"/>
      <c r="G13" s="1416"/>
      <c r="H13" s="1416"/>
      <c r="I13" s="1416"/>
      <c r="J13" s="1416"/>
      <c r="K13" s="1417">
        <f t="shared" ref="K13:K77" si="5">L13+M13+N13+O13+P13+S13+U13</f>
        <v>8540</v>
      </c>
      <c r="L13" s="1418"/>
      <c r="M13" s="1415">
        <f>[2]B56!D11</f>
        <v>8540</v>
      </c>
      <c r="N13" s="1419"/>
      <c r="O13" s="1419"/>
      <c r="P13" s="1420">
        <f>Q13+R13</f>
        <v>0</v>
      </c>
      <c r="Q13" s="1419"/>
      <c r="R13" s="1421"/>
      <c r="S13" s="1415"/>
      <c r="T13" s="1415"/>
      <c r="U13" s="1415"/>
      <c r="V13" s="1422">
        <f>K13/C13</f>
        <v>0.91749033089815213</v>
      </c>
      <c r="W13" s="1423"/>
      <c r="X13" s="1422">
        <f>M13/E13</f>
        <v>0.91749033089815213</v>
      </c>
      <c r="Y13" s="1424"/>
      <c r="Z13" s="1424"/>
      <c r="AA13" s="1424"/>
      <c r="AB13" s="1425"/>
      <c r="AC13" s="1426"/>
    </row>
    <row r="14" spans="1:29" ht="18" customHeight="1">
      <c r="A14" s="1427" t="s">
        <v>305</v>
      </c>
      <c r="B14" s="1428" t="s">
        <v>2185</v>
      </c>
      <c r="C14" s="1414">
        <f t="shared" si="4"/>
        <v>14634</v>
      </c>
      <c r="D14" s="1429"/>
      <c r="E14" s="1429">
        <v>14634</v>
      </c>
      <c r="F14" s="1429"/>
      <c r="G14" s="1429"/>
      <c r="H14" s="1429"/>
      <c r="I14" s="1429"/>
      <c r="J14" s="1429"/>
      <c r="K14" s="1430">
        <f t="shared" si="5"/>
        <v>15766.941889999998</v>
      </c>
      <c r="L14" s="1431"/>
      <c r="M14" s="1429">
        <f>[2]B56!D12</f>
        <v>15766.941889999998</v>
      </c>
      <c r="N14" s="1432"/>
      <c r="O14" s="1432"/>
      <c r="P14" s="1430">
        <f t="shared" ref="P14:P42" si="6">Q14+R14</f>
        <v>0</v>
      </c>
      <c r="Q14" s="1432"/>
      <c r="R14" s="1433"/>
      <c r="S14" s="1429"/>
      <c r="T14" s="1429"/>
      <c r="U14" s="1429"/>
      <c r="V14" s="1422">
        <f t="shared" ref="V14:W42" si="7">K14/C14</f>
        <v>1.0774184700013665</v>
      </c>
      <c r="W14" s="1434"/>
      <c r="X14" s="1422">
        <f t="shared" ref="X14:X42" si="8">M14/E14</f>
        <v>1.0774184700013665</v>
      </c>
      <c r="Y14" s="1435"/>
      <c r="Z14" s="1435"/>
      <c r="AA14" s="1435"/>
      <c r="AB14" s="1436"/>
      <c r="AC14" s="1436"/>
    </row>
    <row r="15" spans="1:29" ht="18" customHeight="1">
      <c r="A15" s="1437" t="s">
        <v>300</v>
      </c>
      <c r="B15" s="1438" t="s">
        <v>245</v>
      </c>
      <c r="C15" s="1414">
        <f t="shared" si="4"/>
        <v>14039</v>
      </c>
      <c r="D15" s="1429"/>
      <c r="E15" s="1439">
        <v>13839</v>
      </c>
      <c r="F15" s="1439">
        <v>200</v>
      </c>
      <c r="G15" s="1439"/>
      <c r="H15" s="1439"/>
      <c r="I15" s="1439"/>
      <c r="J15" s="1439"/>
      <c r="K15" s="1430">
        <f t="shared" si="5"/>
        <v>15535.195200000002</v>
      </c>
      <c r="L15" s="1431"/>
      <c r="M15" s="1429">
        <f>[2]B56!D13-P15</f>
        <v>15335.195200000002</v>
      </c>
      <c r="N15" s="1432"/>
      <c r="O15" s="1432"/>
      <c r="P15" s="1430">
        <f t="shared" si="6"/>
        <v>200</v>
      </c>
      <c r="Q15" s="1432"/>
      <c r="R15" s="1433">
        <f>'[2]B61 Các CTMT QG'!F18</f>
        <v>200</v>
      </c>
      <c r="S15" s="1429"/>
      <c r="T15" s="1429"/>
      <c r="U15" s="1429"/>
      <c r="V15" s="1422">
        <f t="shared" si="7"/>
        <v>1.106574200441627</v>
      </c>
      <c r="W15" s="1434"/>
      <c r="X15" s="1422">
        <f t="shared" si="8"/>
        <v>1.1081144013295761</v>
      </c>
      <c r="Y15" s="1435"/>
      <c r="Z15" s="1435"/>
      <c r="AA15" s="1435"/>
      <c r="AB15" s="1436"/>
      <c r="AC15" s="1436"/>
    </row>
    <row r="16" spans="1:29" ht="18" customHeight="1">
      <c r="A16" s="1437" t="s">
        <v>1432</v>
      </c>
      <c r="B16" s="1438" t="s">
        <v>788</v>
      </c>
      <c r="C16" s="1414">
        <f t="shared" si="4"/>
        <v>8172</v>
      </c>
      <c r="D16" s="1429">
        <f>[2]B55!C14</f>
        <v>3000</v>
      </c>
      <c r="E16" s="1439">
        <v>5172</v>
      </c>
      <c r="F16" s="1439"/>
      <c r="G16" s="1439"/>
      <c r="H16" s="1439"/>
      <c r="I16" s="1439"/>
      <c r="J16" s="1439"/>
      <c r="K16" s="1430">
        <f t="shared" si="5"/>
        <v>10962.293955000001</v>
      </c>
      <c r="L16" s="1440">
        <f>[2]B55!D14</f>
        <v>5588</v>
      </c>
      <c r="M16" s="1429">
        <f>[2]B56!D14</f>
        <v>5374.2939550000001</v>
      </c>
      <c r="N16" s="1432"/>
      <c r="O16" s="1432"/>
      <c r="P16" s="1430">
        <f t="shared" si="6"/>
        <v>0</v>
      </c>
      <c r="Q16" s="1432"/>
      <c r="R16" s="1433"/>
      <c r="S16" s="1429"/>
      <c r="T16" s="1429"/>
      <c r="U16" s="1429"/>
      <c r="V16" s="1422">
        <f t="shared" si="7"/>
        <v>1.3414456626284876</v>
      </c>
      <c r="W16" s="1422">
        <f t="shared" si="7"/>
        <v>1.8626666666666667</v>
      </c>
      <c r="X16" s="1422">
        <f t="shared" si="8"/>
        <v>1.039113293696829</v>
      </c>
      <c r="Y16" s="1435"/>
      <c r="Z16" s="1435"/>
      <c r="AA16" s="1435"/>
      <c r="AB16" s="1436"/>
      <c r="AC16" s="1436"/>
    </row>
    <row r="17" spans="1:29" ht="18" customHeight="1">
      <c r="A17" s="1427" t="s">
        <v>1433</v>
      </c>
      <c r="B17" s="1438" t="s">
        <v>1327</v>
      </c>
      <c r="C17" s="1414">
        <f t="shared" si="4"/>
        <v>14718</v>
      </c>
      <c r="D17" s="1429"/>
      <c r="E17" s="1429">
        <v>14718</v>
      </c>
      <c r="F17" s="1429"/>
      <c r="G17" s="1429"/>
      <c r="H17" s="1429"/>
      <c r="I17" s="1429"/>
      <c r="J17" s="1429"/>
      <c r="K17" s="1430">
        <f t="shared" si="5"/>
        <v>15282.17</v>
      </c>
      <c r="L17" s="1431"/>
      <c r="M17" s="1429">
        <f>[2]B56!D15</f>
        <v>15282.17</v>
      </c>
      <c r="N17" s="1432"/>
      <c r="O17" s="1432"/>
      <c r="P17" s="1430">
        <f t="shared" si="6"/>
        <v>0</v>
      </c>
      <c r="Q17" s="1432"/>
      <c r="R17" s="1433"/>
      <c r="S17" s="1429"/>
      <c r="T17" s="1429"/>
      <c r="U17" s="1429"/>
      <c r="V17" s="1422">
        <f t="shared" si="7"/>
        <v>1.0383319744530506</v>
      </c>
      <c r="W17" s="1434"/>
      <c r="X17" s="1422">
        <f t="shared" si="8"/>
        <v>1.0383319744530506</v>
      </c>
      <c r="Y17" s="1435"/>
      <c r="Z17" s="1435"/>
      <c r="AA17" s="1435"/>
      <c r="AB17" s="1436"/>
      <c r="AC17" s="1436"/>
    </row>
    <row r="18" spans="1:29" ht="18" customHeight="1">
      <c r="A18" s="1437" t="s">
        <v>1434</v>
      </c>
      <c r="B18" s="1438" t="s">
        <v>1332</v>
      </c>
      <c r="C18" s="1414">
        <f t="shared" si="4"/>
        <v>9347</v>
      </c>
      <c r="D18" s="1429"/>
      <c r="E18" s="1439">
        <v>9347</v>
      </c>
      <c r="F18" s="1439"/>
      <c r="G18" s="1439"/>
      <c r="H18" s="1439"/>
      <c r="I18" s="1439"/>
      <c r="J18" s="1439"/>
      <c r="K18" s="1430">
        <f t="shared" si="5"/>
        <v>10421.741867999999</v>
      </c>
      <c r="L18" s="1431"/>
      <c r="M18" s="1429">
        <f>[2]B56!D16</f>
        <v>10421.741867999999</v>
      </c>
      <c r="N18" s="1432"/>
      <c r="O18" s="1432"/>
      <c r="P18" s="1430">
        <f t="shared" si="6"/>
        <v>0</v>
      </c>
      <c r="Q18" s="1432"/>
      <c r="R18" s="1433"/>
      <c r="S18" s="1429"/>
      <c r="T18" s="1429"/>
      <c r="U18" s="1429"/>
      <c r="V18" s="1422">
        <f t="shared" si="7"/>
        <v>1.1149825471274204</v>
      </c>
      <c r="W18" s="1434"/>
      <c r="X18" s="1422">
        <f t="shared" si="8"/>
        <v>1.1149825471274204</v>
      </c>
      <c r="Y18" s="1435"/>
      <c r="Z18" s="1435"/>
      <c r="AA18" s="1435"/>
      <c r="AB18" s="1436"/>
      <c r="AC18" s="1436"/>
    </row>
    <row r="19" spans="1:29" ht="18" customHeight="1">
      <c r="A19" s="1437" t="s">
        <v>1436</v>
      </c>
      <c r="B19" s="1438" t="s">
        <v>750</v>
      </c>
      <c r="C19" s="1414">
        <f t="shared" si="4"/>
        <v>55723</v>
      </c>
      <c r="D19" s="1429">
        <f>[2]B55!C21</f>
        <v>25944</v>
      </c>
      <c r="E19" s="1439">
        <v>29779</v>
      </c>
      <c r="F19" s="1439"/>
      <c r="G19" s="1439"/>
      <c r="H19" s="1439"/>
      <c r="I19" s="1439"/>
      <c r="J19" s="1439"/>
      <c r="K19" s="1430">
        <f t="shared" si="5"/>
        <v>60801.985000000001</v>
      </c>
      <c r="L19" s="1440">
        <f>[2]B55!D21</f>
        <v>22596</v>
      </c>
      <c r="M19" s="1429">
        <f>[2]B56!D17</f>
        <v>38205.985000000001</v>
      </c>
      <c r="N19" s="1432"/>
      <c r="O19" s="1432"/>
      <c r="P19" s="1430">
        <f t="shared" si="6"/>
        <v>0</v>
      </c>
      <c r="Q19" s="1432"/>
      <c r="R19" s="1433"/>
      <c r="S19" s="1429"/>
      <c r="T19" s="1429"/>
      <c r="U19" s="1429"/>
      <c r="V19" s="1422">
        <f t="shared" si="7"/>
        <v>1.09114701290311</v>
      </c>
      <c r="W19" s="1422">
        <f t="shared" si="7"/>
        <v>0.87095282146160957</v>
      </c>
      <c r="X19" s="1422">
        <f t="shared" si="8"/>
        <v>1.2829841499042951</v>
      </c>
      <c r="Y19" s="1435"/>
      <c r="Z19" s="1435"/>
      <c r="AA19" s="1435"/>
      <c r="AB19" s="1436"/>
      <c r="AC19" s="1436"/>
    </row>
    <row r="20" spans="1:29" ht="18" customHeight="1">
      <c r="A20" s="1427" t="s">
        <v>1479</v>
      </c>
      <c r="B20" s="1438" t="s">
        <v>453</v>
      </c>
      <c r="C20" s="1414">
        <f t="shared" si="4"/>
        <v>39369</v>
      </c>
      <c r="D20" s="1429">
        <f>[2]B55!C18</f>
        <v>33151</v>
      </c>
      <c r="E20" s="1439">
        <v>6218</v>
      </c>
      <c r="F20" s="1439"/>
      <c r="G20" s="1439"/>
      <c r="H20" s="1439"/>
      <c r="I20" s="1439"/>
      <c r="J20" s="1439"/>
      <c r="K20" s="1430">
        <f t="shared" si="5"/>
        <v>51644.741999999998</v>
      </c>
      <c r="L20" s="1440">
        <f>[2]B55!D18</f>
        <v>44815</v>
      </c>
      <c r="M20" s="1429">
        <f>[2]B56!D18</f>
        <v>6829.7420000000002</v>
      </c>
      <c r="N20" s="1432"/>
      <c r="O20" s="1432"/>
      <c r="P20" s="1430">
        <f t="shared" si="6"/>
        <v>0</v>
      </c>
      <c r="Q20" s="1432"/>
      <c r="R20" s="1433"/>
      <c r="S20" s="1429"/>
      <c r="T20" s="1429"/>
      <c r="U20" s="1429"/>
      <c r="V20" s="1422">
        <f t="shared" si="7"/>
        <v>1.3118123904594985</v>
      </c>
      <c r="W20" s="1422">
        <f t="shared" si="7"/>
        <v>1.3518445899067901</v>
      </c>
      <c r="X20" s="1422">
        <f t="shared" si="8"/>
        <v>1.098382438082985</v>
      </c>
      <c r="Y20" s="1435"/>
      <c r="Z20" s="1435"/>
      <c r="AA20" s="1435"/>
      <c r="AB20" s="1436"/>
      <c r="AC20" s="1436"/>
    </row>
    <row r="21" spans="1:29" ht="18" customHeight="1">
      <c r="A21" s="1437" t="s">
        <v>1481</v>
      </c>
      <c r="B21" s="1438" t="s">
        <v>1333</v>
      </c>
      <c r="C21" s="1414">
        <f t="shared" si="4"/>
        <v>6838</v>
      </c>
      <c r="D21" s="1429"/>
      <c r="E21" s="1439">
        <v>6838</v>
      </c>
      <c r="F21" s="1439"/>
      <c r="G21" s="1439"/>
      <c r="H21" s="1439"/>
      <c r="I21" s="1439"/>
      <c r="J21" s="1439"/>
      <c r="K21" s="1430">
        <f t="shared" si="5"/>
        <v>7565.3574439999993</v>
      </c>
      <c r="L21" s="1431"/>
      <c r="M21" s="1429">
        <f>[2]B56!D19</f>
        <v>7565.3574439999993</v>
      </c>
      <c r="N21" s="1432"/>
      <c r="O21" s="1432"/>
      <c r="P21" s="1430">
        <f t="shared" si="6"/>
        <v>0</v>
      </c>
      <c r="Q21" s="1432"/>
      <c r="R21" s="1433"/>
      <c r="S21" s="1429"/>
      <c r="T21" s="1429"/>
      <c r="U21" s="1429"/>
      <c r="V21" s="1422">
        <f t="shared" si="7"/>
        <v>1.1063699099151798</v>
      </c>
      <c r="W21" s="1434"/>
      <c r="X21" s="1422">
        <f t="shared" si="8"/>
        <v>1.1063699099151798</v>
      </c>
      <c r="Y21" s="1435"/>
      <c r="Z21" s="1435"/>
      <c r="AA21" s="1435"/>
      <c r="AB21" s="1436"/>
      <c r="AC21" s="1436"/>
    </row>
    <row r="22" spans="1:29" ht="18" customHeight="1">
      <c r="A22" s="1437" t="s">
        <v>1483</v>
      </c>
      <c r="B22" s="1438" t="s">
        <v>1334</v>
      </c>
      <c r="C22" s="1414">
        <f t="shared" si="4"/>
        <v>37831</v>
      </c>
      <c r="D22" s="1429">
        <f>[2]B55!C27</f>
        <v>7265</v>
      </c>
      <c r="E22" s="1429">
        <v>30566</v>
      </c>
      <c r="F22" s="1429"/>
      <c r="G22" s="1429"/>
      <c r="H22" s="1429"/>
      <c r="I22" s="1429"/>
      <c r="J22" s="1429"/>
      <c r="K22" s="1430">
        <f t="shared" si="5"/>
        <v>38954.001430999997</v>
      </c>
      <c r="L22" s="1441">
        <f>[2]B55!D27</f>
        <v>7264</v>
      </c>
      <c r="M22" s="1429">
        <f>[2]B56!D20</f>
        <v>31690.001430999997</v>
      </c>
      <c r="N22" s="1432"/>
      <c r="O22" s="1432"/>
      <c r="P22" s="1430">
        <f t="shared" si="6"/>
        <v>0</v>
      </c>
      <c r="Q22" s="1432"/>
      <c r="R22" s="1433"/>
      <c r="S22" s="1429"/>
      <c r="T22" s="1429"/>
      <c r="U22" s="1429"/>
      <c r="V22" s="1422">
        <f t="shared" si="7"/>
        <v>1.0296846879807564</v>
      </c>
      <c r="W22" s="1422">
        <f t="shared" si="7"/>
        <v>0.9998623537508603</v>
      </c>
      <c r="X22" s="1422">
        <f t="shared" si="8"/>
        <v>1.0367729317215206</v>
      </c>
      <c r="Y22" s="1435"/>
      <c r="Z22" s="1435"/>
      <c r="AA22" s="1435"/>
      <c r="AB22" s="1436"/>
      <c r="AC22" s="1436"/>
    </row>
    <row r="23" spans="1:29" ht="18" customHeight="1">
      <c r="A23" s="1427" t="s">
        <v>1526</v>
      </c>
      <c r="B23" s="1438" t="s">
        <v>1335</v>
      </c>
      <c r="C23" s="1414">
        <f t="shared" si="4"/>
        <v>21735.05</v>
      </c>
      <c r="D23" s="1429"/>
      <c r="E23" s="1439">
        <v>18418</v>
      </c>
      <c r="F23" s="1439">
        <v>3317.05</v>
      </c>
      <c r="G23" s="1439"/>
      <c r="H23" s="1439"/>
      <c r="I23" s="1439"/>
      <c r="J23" s="1439"/>
      <c r="K23" s="1430">
        <f t="shared" si="5"/>
        <v>25623.02</v>
      </c>
      <c r="L23" s="1431"/>
      <c r="M23" s="1429">
        <f>[2]B56!D21-P23</f>
        <v>22331.02</v>
      </c>
      <c r="N23" s="1432"/>
      <c r="O23" s="1432"/>
      <c r="P23" s="1430">
        <f t="shared" si="6"/>
        <v>3292</v>
      </c>
      <c r="Q23" s="1432"/>
      <c r="R23" s="1433">
        <f>'[2]B61 Các CTMT QG'!F16</f>
        <v>3292</v>
      </c>
      <c r="S23" s="1429"/>
      <c r="T23" s="1429"/>
      <c r="U23" s="1429"/>
      <c r="V23" s="1422">
        <f t="shared" si="7"/>
        <v>1.1788801958127542</v>
      </c>
      <c r="W23" s="1434"/>
      <c r="X23" s="1422">
        <f t="shared" si="8"/>
        <v>1.2124562927570854</v>
      </c>
      <c r="Y23" s="1435"/>
      <c r="Z23" s="1435"/>
      <c r="AA23" s="1442">
        <f>P23/F23</f>
        <v>0.99244810901252611</v>
      </c>
      <c r="AB23" s="1436"/>
      <c r="AC23" s="1436"/>
    </row>
    <row r="24" spans="1:29" ht="18" customHeight="1">
      <c r="A24" s="1437" t="s">
        <v>1527</v>
      </c>
      <c r="B24" s="1438" t="s">
        <v>1336</v>
      </c>
      <c r="C24" s="1414">
        <f t="shared" si="4"/>
        <v>12422</v>
      </c>
      <c r="D24" s="1429">
        <f>[2]B55!C37</f>
        <v>69</v>
      </c>
      <c r="E24" s="1429">
        <v>12353</v>
      </c>
      <c r="F24" s="1429"/>
      <c r="G24" s="1429"/>
      <c r="H24" s="1429"/>
      <c r="I24" s="1429"/>
      <c r="J24" s="1429"/>
      <c r="K24" s="1430">
        <f t="shared" si="5"/>
        <v>13121.800123000001</v>
      </c>
      <c r="L24" s="1440">
        <f>[2]B55!D37</f>
        <v>155</v>
      </c>
      <c r="M24" s="1429">
        <f>[2]B56!D22</f>
        <v>12966.800123000001</v>
      </c>
      <c r="N24" s="1432"/>
      <c r="O24" s="1432"/>
      <c r="P24" s="1430">
        <f t="shared" si="6"/>
        <v>0</v>
      </c>
      <c r="Q24" s="1432"/>
      <c r="R24" s="1433"/>
      <c r="S24" s="1429"/>
      <c r="T24" s="1429"/>
      <c r="U24" s="1429"/>
      <c r="V24" s="1422">
        <f t="shared" si="7"/>
        <v>1.0563355436322655</v>
      </c>
      <c r="W24" s="1422">
        <f t="shared" si="7"/>
        <v>2.2463768115942031</v>
      </c>
      <c r="X24" s="1422">
        <f t="shared" si="8"/>
        <v>1.0496883447745489</v>
      </c>
      <c r="Y24" s="1435"/>
      <c r="Z24" s="1435"/>
      <c r="AA24" s="1435"/>
      <c r="AB24" s="1436"/>
      <c r="AC24" s="1436"/>
    </row>
    <row r="25" spans="1:29" ht="18" customHeight="1">
      <c r="A25" s="1437" t="s">
        <v>1528</v>
      </c>
      <c r="B25" s="1438" t="s">
        <v>1337</v>
      </c>
      <c r="C25" s="1414">
        <f t="shared" si="4"/>
        <v>138771.95000000001</v>
      </c>
      <c r="D25" s="1429">
        <f>[2]B55!C24+[2]B55!C25+[2]B55!C26+[2]B55!C39</f>
        <v>53696</v>
      </c>
      <c r="E25" s="1439">
        <v>81167</v>
      </c>
      <c r="F25" s="1439">
        <v>3908.95</v>
      </c>
      <c r="G25" s="1439"/>
      <c r="H25" s="1439"/>
      <c r="I25" s="1439"/>
      <c r="J25" s="1439"/>
      <c r="K25" s="1430">
        <f t="shared" si="5"/>
        <v>142725.58901500001</v>
      </c>
      <c r="L25" s="1440">
        <f>[2]B55!D24+[2]B55!D25+[2]B55!D26+[2]B55!D39</f>
        <v>49110</v>
      </c>
      <c r="M25" s="1429">
        <f>[2]B56!D23-P25</f>
        <v>89878.589015000005</v>
      </c>
      <c r="N25" s="1432"/>
      <c r="O25" s="1432"/>
      <c r="P25" s="1430">
        <f t="shared" si="6"/>
        <v>3737</v>
      </c>
      <c r="Q25" s="1432"/>
      <c r="R25" s="1433">
        <f>'[2]B61 Các CTMT QG'!F14</f>
        <v>3737</v>
      </c>
      <c r="S25" s="1429"/>
      <c r="T25" s="1429"/>
      <c r="U25" s="1429"/>
      <c r="V25" s="1422">
        <f t="shared" si="7"/>
        <v>1.0284901885071154</v>
      </c>
      <c r="W25" s="1422">
        <f t="shared" si="7"/>
        <v>0.91459326579261024</v>
      </c>
      <c r="X25" s="1422">
        <f t="shared" si="8"/>
        <v>1.1073291980115072</v>
      </c>
      <c r="Y25" s="1435"/>
      <c r="Z25" s="1435"/>
      <c r="AA25" s="1442">
        <f>P25/F25</f>
        <v>0.95601120505506598</v>
      </c>
      <c r="AB25" s="1436"/>
      <c r="AC25" s="1436"/>
    </row>
    <row r="26" spans="1:29" ht="18" customHeight="1">
      <c r="A26" s="1427" t="s">
        <v>1529</v>
      </c>
      <c r="B26" s="1438" t="s">
        <v>1338</v>
      </c>
      <c r="C26" s="1414">
        <f t="shared" si="4"/>
        <v>37819</v>
      </c>
      <c r="D26" s="1429"/>
      <c r="E26" s="1439">
        <v>37819</v>
      </c>
      <c r="F26" s="1439"/>
      <c r="G26" s="1439"/>
      <c r="H26" s="1439"/>
      <c r="I26" s="1439"/>
      <c r="J26" s="1439"/>
      <c r="K26" s="1430">
        <f t="shared" si="5"/>
        <v>39327.424572999997</v>
      </c>
      <c r="L26" s="1431"/>
      <c r="M26" s="1429">
        <f>[2]B56!D24</f>
        <v>39327.424572999997</v>
      </c>
      <c r="N26" s="1432"/>
      <c r="O26" s="1432"/>
      <c r="P26" s="1430">
        <f t="shared" si="6"/>
        <v>0</v>
      </c>
      <c r="Q26" s="1432"/>
      <c r="R26" s="1433"/>
      <c r="S26" s="1429"/>
      <c r="T26" s="1429"/>
      <c r="U26" s="1429"/>
      <c r="V26" s="1422">
        <f t="shared" si="7"/>
        <v>1.0398853637853989</v>
      </c>
      <c r="W26" s="1434"/>
      <c r="X26" s="1422">
        <f t="shared" si="8"/>
        <v>1.0398853637853989</v>
      </c>
      <c r="Y26" s="1435"/>
      <c r="Z26" s="1435"/>
      <c r="AA26" s="1435"/>
      <c r="AB26" s="1436"/>
      <c r="AC26" s="1436"/>
    </row>
    <row r="27" spans="1:29" ht="18" customHeight="1">
      <c r="A27" s="1437" t="s">
        <v>1530</v>
      </c>
      <c r="B27" s="1438" t="s">
        <v>1295</v>
      </c>
      <c r="C27" s="1414">
        <f t="shared" si="4"/>
        <v>200749.66</v>
      </c>
      <c r="D27" s="1429">
        <f>[2]B55!C12+[2]B55!C32+[2]B55!C33</f>
        <v>10844</v>
      </c>
      <c r="E27" s="1429">
        <v>189860</v>
      </c>
      <c r="F27" s="1429">
        <v>45.66</v>
      </c>
      <c r="G27" s="1429"/>
      <c r="H27" s="1429"/>
      <c r="I27" s="1429"/>
      <c r="J27" s="1429"/>
      <c r="K27" s="1430">
        <f t="shared" si="5"/>
        <v>223058.87</v>
      </c>
      <c r="L27" s="1440">
        <f>[2]B55!D12+[2]B55!D32+[2]B55!D33</f>
        <v>9942</v>
      </c>
      <c r="M27" s="1429">
        <f>[2]B56!D25-P27</f>
        <v>213072.87</v>
      </c>
      <c r="N27" s="1432"/>
      <c r="O27" s="1432"/>
      <c r="P27" s="1430">
        <f t="shared" si="6"/>
        <v>44</v>
      </c>
      <c r="Q27" s="1432"/>
      <c r="R27" s="1433">
        <f>'[2]B61 Các CTMT QG'!F26</f>
        <v>44</v>
      </c>
      <c r="S27" s="1429"/>
      <c r="T27" s="1429"/>
      <c r="U27" s="1429"/>
      <c r="V27" s="1422">
        <f t="shared" si="7"/>
        <v>1.1111295032828448</v>
      </c>
      <c r="W27" s="1422">
        <f t="shared" si="7"/>
        <v>0.91682036149022506</v>
      </c>
      <c r="X27" s="1422">
        <f t="shared" si="8"/>
        <v>1.1222630885915938</v>
      </c>
      <c r="Y27" s="1435"/>
      <c r="Z27" s="1435"/>
      <c r="AA27" s="1435"/>
      <c r="AB27" s="1436"/>
      <c r="AC27" s="1436"/>
    </row>
    <row r="28" spans="1:29" ht="18" customHeight="1">
      <c r="A28" s="1437" t="s">
        <v>1531</v>
      </c>
      <c r="B28" s="1438" t="s">
        <v>244</v>
      </c>
      <c r="C28" s="1414">
        <f t="shared" si="4"/>
        <v>196915</v>
      </c>
      <c r="D28" s="1429">
        <f>[2]B55!C13</f>
        <v>3142</v>
      </c>
      <c r="E28" s="1439">
        <v>192473</v>
      </c>
      <c r="F28" s="1439">
        <v>1300</v>
      </c>
      <c r="G28" s="1439"/>
      <c r="H28" s="1439"/>
      <c r="I28" s="1439"/>
      <c r="J28" s="1439"/>
      <c r="K28" s="1430">
        <f t="shared" si="5"/>
        <v>203048.80995</v>
      </c>
      <c r="L28" s="1440">
        <f>[2]B55!D13</f>
        <v>2846</v>
      </c>
      <c r="M28" s="1429">
        <f>[2]B56!D26-P28</f>
        <v>198950.80995</v>
      </c>
      <c r="N28" s="1432"/>
      <c r="O28" s="1432"/>
      <c r="P28" s="1430">
        <f t="shared" si="6"/>
        <v>1252</v>
      </c>
      <c r="Q28" s="1432"/>
      <c r="R28" s="1433">
        <f>'[2]B61 Các CTMT QG'!F15</f>
        <v>1252</v>
      </c>
      <c r="S28" s="1429"/>
      <c r="T28" s="1429"/>
      <c r="U28" s="1429"/>
      <c r="V28" s="1422">
        <f t="shared" si="7"/>
        <v>1.0311495312698371</v>
      </c>
      <c r="W28" s="1422">
        <f t="shared" si="7"/>
        <v>0.90579248886059838</v>
      </c>
      <c r="X28" s="1422">
        <f t="shared" si="8"/>
        <v>1.0336556813163404</v>
      </c>
      <c r="Y28" s="1435"/>
      <c r="Z28" s="1435"/>
      <c r="AA28" s="1442">
        <f>P28/F28</f>
        <v>0.96307692307692305</v>
      </c>
      <c r="AB28" s="1436"/>
      <c r="AC28" s="1436"/>
    </row>
    <row r="29" spans="1:29" ht="18" customHeight="1">
      <c r="A29" s="1427" t="s">
        <v>1532</v>
      </c>
      <c r="B29" s="1438" t="s">
        <v>1039</v>
      </c>
      <c r="C29" s="1414">
        <f t="shared" si="4"/>
        <v>22354</v>
      </c>
      <c r="D29" s="1429">
        <f>[2]B55!C29+[2]B55!C30</f>
        <v>12887</v>
      </c>
      <c r="E29" s="1429">
        <v>7932</v>
      </c>
      <c r="F29" s="1429">
        <v>1535</v>
      </c>
      <c r="G29" s="1429"/>
      <c r="H29" s="1429"/>
      <c r="I29" s="1429"/>
      <c r="J29" s="1429"/>
      <c r="K29" s="1430">
        <f t="shared" si="5"/>
        <v>22994.431579</v>
      </c>
      <c r="L29" s="1440">
        <f>[2]B55!D29+[2]B55!D30</f>
        <v>12886</v>
      </c>
      <c r="M29" s="1429">
        <f>[2]B56!D27-P29</f>
        <v>8593.4315790000001</v>
      </c>
      <c r="N29" s="1432"/>
      <c r="O29" s="1432"/>
      <c r="P29" s="1430">
        <f t="shared" si="6"/>
        <v>1515</v>
      </c>
      <c r="Q29" s="1432"/>
      <c r="R29" s="1433">
        <f>'[2]B61 Các CTMT QG'!F17</f>
        <v>1515</v>
      </c>
      <c r="S29" s="1429"/>
      <c r="T29" s="1429"/>
      <c r="U29" s="1429"/>
      <c r="V29" s="1422">
        <f t="shared" si="7"/>
        <v>1.0286495293459783</v>
      </c>
      <c r="W29" s="1422">
        <f t="shared" si="7"/>
        <v>0.99992240242104447</v>
      </c>
      <c r="X29" s="1422">
        <f t="shared" si="8"/>
        <v>1.083387743192133</v>
      </c>
      <c r="Y29" s="1435"/>
      <c r="Z29" s="1435"/>
      <c r="AA29" s="1442">
        <f>P29/F29</f>
        <v>0.98697068403908794</v>
      </c>
      <c r="AB29" s="1436"/>
      <c r="AC29" s="1436"/>
    </row>
    <row r="30" spans="1:29" ht="18" customHeight="1">
      <c r="A30" s="1437" t="s">
        <v>1533</v>
      </c>
      <c r="B30" s="1438" t="s">
        <v>1340</v>
      </c>
      <c r="C30" s="1414">
        <f t="shared" si="4"/>
        <v>4363</v>
      </c>
      <c r="D30" s="1429"/>
      <c r="E30" s="1439">
        <v>4363</v>
      </c>
      <c r="F30" s="1439"/>
      <c r="G30" s="1439"/>
      <c r="H30" s="1439"/>
      <c r="I30" s="1439"/>
      <c r="J30" s="1439"/>
      <c r="K30" s="1430">
        <f t="shared" si="5"/>
        <v>5136.1059750000004</v>
      </c>
      <c r="L30" s="1431"/>
      <c r="M30" s="1429">
        <f>[2]B56!D28</f>
        <v>5136.1059750000004</v>
      </c>
      <c r="N30" s="1432"/>
      <c r="O30" s="1432"/>
      <c r="P30" s="1430">
        <f t="shared" si="6"/>
        <v>0</v>
      </c>
      <c r="Q30" s="1432"/>
      <c r="R30" s="1433"/>
      <c r="S30" s="1429"/>
      <c r="T30" s="1429"/>
      <c r="U30" s="1429"/>
      <c r="V30" s="1422">
        <f t="shared" si="7"/>
        <v>1.1771959603483841</v>
      </c>
      <c r="W30" s="1434"/>
      <c r="X30" s="1422">
        <f t="shared" si="8"/>
        <v>1.1771959603483841</v>
      </c>
      <c r="Y30" s="1435"/>
      <c r="Z30" s="1435"/>
      <c r="AA30" s="1435"/>
      <c r="AB30" s="1436"/>
      <c r="AC30" s="1436"/>
    </row>
    <row r="31" spans="1:29" ht="18" customHeight="1">
      <c r="A31" s="1437" t="s">
        <v>1534</v>
      </c>
      <c r="B31" s="1438" t="s">
        <v>1341</v>
      </c>
      <c r="C31" s="1414">
        <f t="shared" si="4"/>
        <v>8556</v>
      </c>
      <c r="D31" s="1429"/>
      <c r="E31" s="1439">
        <v>8556</v>
      </c>
      <c r="F31" s="1439"/>
      <c r="G31" s="1439"/>
      <c r="H31" s="1439"/>
      <c r="I31" s="1439"/>
      <c r="J31" s="1439"/>
      <c r="K31" s="1430">
        <f t="shared" si="5"/>
        <v>9042.6665950000006</v>
      </c>
      <c r="L31" s="1431"/>
      <c r="M31" s="1429">
        <f>[2]B56!D29</f>
        <v>9042.6665950000006</v>
      </c>
      <c r="N31" s="1432"/>
      <c r="O31" s="1432"/>
      <c r="P31" s="1430">
        <f t="shared" si="6"/>
        <v>0</v>
      </c>
      <c r="Q31" s="1432"/>
      <c r="R31" s="1433"/>
      <c r="S31" s="1429"/>
      <c r="T31" s="1429"/>
      <c r="U31" s="1429"/>
      <c r="V31" s="1422">
        <f t="shared" si="7"/>
        <v>1.0568801536933148</v>
      </c>
      <c r="W31" s="1434"/>
      <c r="X31" s="1422">
        <f t="shared" si="8"/>
        <v>1.0568801536933148</v>
      </c>
      <c r="Y31" s="1435"/>
      <c r="Z31" s="1435"/>
      <c r="AA31" s="1435"/>
      <c r="AB31" s="1436"/>
      <c r="AC31" s="1436"/>
    </row>
    <row r="32" spans="1:29" ht="18" customHeight="1">
      <c r="A32" s="1427" t="s">
        <v>1535</v>
      </c>
      <c r="B32" s="1438" t="s">
        <v>1023</v>
      </c>
      <c r="C32" s="1414">
        <f t="shared" si="4"/>
        <v>21662</v>
      </c>
      <c r="D32" s="1429">
        <f>[2]B55!C31</f>
        <v>5166</v>
      </c>
      <c r="E32" s="1439">
        <v>16496</v>
      </c>
      <c r="F32" s="1439"/>
      <c r="G32" s="1439"/>
      <c r="H32" s="1439"/>
      <c r="I32" s="1439"/>
      <c r="J32" s="1439"/>
      <c r="K32" s="1430">
        <f t="shared" si="5"/>
        <v>21863.31</v>
      </c>
      <c r="L32" s="1440">
        <f>[2]B55!D31</f>
        <v>5166</v>
      </c>
      <c r="M32" s="1429">
        <f>[2]B56!D30</f>
        <v>16697.310000000001</v>
      </c>
      <c r="N32" s="1432"/>
      <c r="O32" s="1432"/>
      <c r="P32" s="1430">
        <f t="shared" si="6"/>
        <v>0</v>
      </c>
      <c r="Q32" s="1432"/>
      <c r="R32" s="1433"/>
      <c r="S32" s="1429"/>
      <c r="T32" s="1429"/>
      <c r="U32" s="1429"/>
      <c r="V32" s="1422">
        <f t="shared" si="7"/>
        <v>1.0092932323885144</v>
      </c>
      <c r="W32" s="1422">
        <f t="shared" si="7"/>
        <v>1</v>
      </c>
      <c r="X32" s="1422">
        <f t="shared" si="8"/>
        <v>1.012203564500485</v>
      </c>
      <c r="Y32" s="1435"/>
      <c r="Z32" s="1435"/>
      <c r="AA32" s="1435"/>
      <c r="AB32" s="1436"/>
      <c r="AC32" s="1436"/>
    </row>
    <row r="33" spans="1:29" ht="18" customHeight="1">
      <c r="A33" s="1437" t="s">
        <v>1536</v>
      </c>
      <c r="B33" s="1438" t="s">
        <v>1342</v>
      </c>
      <c r="C33" s="1414">
        <f t="shared" si="4"/>
        <v>14726</v>
      </c>
      <c r="D33" s="1429">
        <f>[2]B55!C22</f>
        <v>217</v>
      </c>
      <c r="E33" s="1439">
        <v>14509</v>
      </c>
      <c r="F33" s="1439"/>
      <c r="G33" s="1439"/>
      <c r="H33" s="1439"/>
      <c r="I33" s="1439"/>
      <c r="J33" s="1439"/>
      <c r="K33" s="1430">
        <f t="shared" si="5"/>
        <v>16538.4139</v>
      </c>
      <c r="L33" s="1440">
        <f>[2]B55!D22</f>
        <v>217</v>
      </c>
      <c r="M33" s="1429">
        <f>[2]B56!D31</f>
        <v>16321.4139</v>
      </c>
      <c r="N33" s="1432"/>
      <c r="O33" s="1432"/>
      <c r="P33" s="1430">
        <f t="shared" si="6"/>
        <v>0</v>
      </c>
      <c r="Q33" s="1432"/>
      <c r="R33" s="1433"/>
      <c r="S33" s="1429"/>
      <c r="T33" s="1429"/>
      <c r="U33" s="1429"/>
      <c r="V33" s="1422">
        <f t="shared" si="7"/>
        <v>1.1230757775363303</v>
      </c>
      <c r="W33" s="1422">
        <f t="shared" si="7"/>
        <v>1</v>
      </c>
      <c r="X33" s="1422">
        <f t="shared" si="8"/>
        <v>1.1249165276724791</v>
      </c>
      <c r="Y33" s="1435"/>
      <c r="Z33" s="1435"/>
      <c r="AA33" s="1435"/>
      <c r="AB33" s="1436"/>
      <c r="AC33" s="1436"/>
    </row>
    <row r="34" spans="1:29" ht="18" customHeight="1">
      <c r="A34" s="1437" t="s">
        <v>1537</v>
      </c>
      <c r="B34" s="1438" t="s">
        <v>1343</v>
      </c>
      <c r="C34" s="1414">
        <f t="shared" si="4"/>
        <v>13948</v>
      </c>
      <c r="D34" s="1429"/>
      <c r="E34" s="1439">
        <v>13948</v>
      </c>
      <c r="F34" s="1439"/>
      <c r="G34" s="1439"/>
      <c r="H34" s="1439"/>
      <c r="I34" s="1439"/>
      <c r="J34" s="1439"/>
      <c r="K34" s="1430">
        <f t="shared" si="5"/>
        <v>11768.468000000001</v>
      </c>
      <c r="L34" s="1431"/>
      <c r="M34" s="1429">
        <f>[2]B56!D32</f>
        <v>11768.468000000001</v>
      </c>
      <c r="N34" s="1432"/>
      <c r="O34" s="1432"/>
      <c r="P34" s="1430">
        <f t="shared" si="6"/>
        <v>0</v>
      </c>
      <c r="Q34" s="1432"/>
      <c r="R34" s="1433"/>
      <c r="S34" s="1429"/>
      <c r="T34" s="1429"/>
      <c r="U34" s="1429"/>
      <c r="V34" s="1422">
        <f t="shared" si="7"/>
        <v>0.84373874390593639</v>
      </c>
      <c r="W34" s="1434"/>
      <c r="X34" s="1422">
        <f t="shared" si="8"/>
        <v>0.84373874390593639</v>
      </c>
      <c r="Y34" s="1435"/>
      <c r="Z34" s="1435"/>
      <c r="AA34" s="1435"/>
      <c r="AB34" s="1436"/>
      <c r="AC34" s="1436"/>
    </row>
    <row r="35" spans="1:29" ht="18" customHeight="1">
      <c r="A35" s="1427" t="s">
        <v>1538</v>
      </c>
      <c r="B35" s="1438" t="s">
        <v>1344</v>
      </c>
      <c r="C35" s="1414">
        <f t="shared" si="4"/>
        <v>9227</v>
      </c>
      <c r="D35" s="1429"/>
      <c r="E35" s="1439">
        <v>3962</v>
      </c>
      <c r="F35" s="1439">
        <v>5265</v>
      </c>
      <c r="G35" s="1439"/>
      <c r="H35" s="1439"/>
      <c r="I35" s="1439"/>
      <c r="J35" s="1439"/>
      <c r="K35" s="1430">
        <f t="shared" si="5"/>
        <v>10096.897000000001</v>
      </c>
      <c r="L35" s="1431"/>
      <c r="M35" s="1429">
        <f>[2]B56!D33-P35</f>
        <v>4851.8970000000008</v>
      </c>
      <c r="N35" s="1432"/>
      <c r="O35" s="1432"/>
      <c r="P35" s="1430">
        <f t="shared" si="6"/>
        <v>5245</v>
      </c>
      <c r="Q35" s="1432"/>
      <c r="R35" s="1433">
        <f>'[2]B61 Các CTMT QG'!F20</f>
        <v>5245</v>
      </c>
      <c r="S35" s="1429"/>
      <c r="T35" s="1429"/>
      <c r="U35" s="1429"/>
      <c r="V35" s="1422">
        <f t="shared" si="7"/>
        <v>1.0942773382464508</v>
      </c>
      <c r="W35" s="1434"/>
      <c r="X35" s="1422">
        <f t="shared" si="8"/>
        <v>1.2246080262493693</v>
      </c>
      <c r="Y35" s="1435"/>
      <c r="Z35" s="1435"/>
      <c r="AA35" s="1442">
        <f>P35/F35</f>
        <v>0.99620132953466289</v>
      </c>
      <c r="AB35" s="1436"/>
      <c r="AC35" s="1436"/>
    </row>
    <row r="36" spans="1:29" ht="18" customHeight="1">
      <c r="A36" s="1437" t="s">
        <v>1539</v>
      </c>
      <c r="B36" s="1443" t="s">
        <v>1345</v>
      </c>
      <c r="C36" s="1414">
        <f t="shared" si="4"/>
        <v>12155</v>
      </c>
      <c r="D36" s="1429">
        <f>[2]B55!C34</f>
        <v>9448</v>
      </c>
      <c r="E36" s="1439">
        <v>2707</v>
      </c>
      <c r="F36" s="1439"/>
      <c r="G36" s="1439"/>
      <c r="H36" s="1439"/>
      <c r="I36" s="1439"/>
      <c r="J36" s="1439"/>
      <c r="K36" s="1430">
        <f t="shared" si="5"/>
        <v>12327.469615999998</v>
      </c>
      <c r="L36" s="1440">
        <f>[2]B55!D34</f>
        <v>8569</v>
      </c>
      <c r="M36" s="1429">
        <f>[2]B56!D34</f>
        <v>3758.4696159999994</v>
      </c>
      <c r="N36" s="1432"/>
      <c r="O36" s="1432"/>
      <c r="P36" s="1430">
        <f t="shared" si="6"/>
        <v>0</v>
      </c>
      <c r="Q36" s="1432"/>
      <c r="R36" s="1433"/>
      <c r="S36" s="1429"/>
      <c r="T36" s="1429"/>
      <c r="U36" s="1429"/>
      <c r="V36" s="1422">
        <f t="shared" si="7"/>
        <v>1.0141891909502261</v>
      </c>
      <c r="W36" s="1434"/>
      <c r="X36" s="1422">
        <f t="shared" si="8"/>
        <v>1.3884261603250829</v>
      </c>
      <c r="Y36" s="1435"/>
      <c r="Z36" s="1435"/>
      <c r="AA36" s="1435"/>
      <c r="AB36" s="1436"/>
      <c r="AC36" s="1436"/>
    </row>
    <row r="37" spans="1:29" ht="18" customHeight="1">
      <c r="A37" s="1437" t="s">
        <v>1540</v>
      </c>
      <c r="B37" s="1443" t="s">
        <v>1346</v>
      </c>
      <c r="C37" s="1414">
        <f t="shared" si="4"/>
        <v>1358</v>
      </c>
      <c r="D37" s="1429"/>
      <c r="E37" s="1439">
        <v>1358</v>
      </c>
      <c r="F37" s="1439"/>
      <c r="G37" s="1439"/>
      <c r="H37" s="1439"/>
      <c r="I37" s="1439"/>
      <c r="J37" s="1439"/>
      <c r="K37" s="1430">
        <f t="shared" si="5"/>
        <v>1784.5809999999999</v>
      </c>
      <c r="L37" s="1431"/>
      <c r="M37" s="1429">
        <f>[2]B56!D35</f>
        <v>1784.5809999999999</v>
      </c>
      <c r="N37" s="1432"/>
      <c r="O37" s="1432"/>
      <c r="P37" s="1430">
        <f t="shared" si="6"/>
        <v>0</v>
      </c>
      <c r="Q37" s="1432"/>
      <c r="R37" s="1433"/>
      <c r="S37" s="1429"/>
      <c r="T37" s="1429"/>
      <c r="U37" s="1429"/>
      <c r="V37" s="1422">
        <f t="shared" si="7"/>
        <v>1.3141244477172311</v>
      </c>
      <c r="W37" s="1434"/>
      <c r="X37" s="1422">
        <f t="shared" si="8"/>
        <v>1.3141244477172311</v>
      </c>
      <c r="Y37" s="1435"/>
      <c r="Z37" s="1435"/>
      <c r="AA37" s="1435"/>
      <c r="AB37" s="1436"/>
      <c r="AC37" s="1436"/>
    </row>
    <row r="38" spans="1:29" ht="18" customHeight="1">
      <c r="A38" s="1427" t="s">
        <v>1541</v>
      </c>
      <c r="B38" s="1443" t="s">
        <v>1350</v>
      </c>
      <c r="C38" s="1414">
        <f t="shared" si="4"/>
        <v>0</v>
      </c>
      <c r="D38" s="1429"/>
      <c r="E38" s="1444"/>
      <c r="F38" s="1444"/>
      <c r="G38" s="1444"/>
      <c r="H38" s="1444"/>
      <c r="I38" s="1444"/>
      <c r="J38" s="1444"/>
      <c r="K38" s="1430">
        <f t="shared" si="5"/>
        <v>5.39</v>
      </c>
      <c r="L38" s="1431"/>
      <c r="M38" s="1429">
        <f>[2]B56!D36</f>
        <v>5.39</v>
      </c>
      <c r="N38" s="1432"/>
      <c r="O38" s="1432"/>
      <c r="P38" s="1430">
        <f t="shared" si="6"/>
        <v>0</v>
      </c>
      <c r="Q38" s="1432"/>
      <c r="R38" s="1433"/>
      <c r="S38" s="1429"/>
      <c r="T38" s="1429"/>
      <c r="U38" s="1429"/>
      <c r="V38" s="1422"/>
      <c r="W38" s="1434"/>
      <c r="X38" s="1422"/>
      <c r="Y38" s="1435"/>
      <c r="Z38" s="1435"/>
      <c r="AA38" s="1435"/>
      <c r="AB38" s="1436"/>
      <c r="AC38" s="1436"/>
    </row>
    <row r="39" spans="1:29" ht="18" customHeight="1">
      <c r="A39" s="1437" t="s">
        <v>1542</v>
      </c>
      <c r="B39" s="1445" t="s">
        <v>1351</v>
      </c>
      <c r="C39" s="1414">
        <f t="shared" si="4"/>
        <v>17421</v>
      </c>
      <c r="D39" s="1429">
        <f>[2]B55!C36</f>
        <v>4000</v>
      </c>
      <c r="E39" s="1439">
        <v>13421</v>
      </c>
      <c r="F39" s="1439"/>
      <c r="G39" s="1439"/>
      <c r="H39" s="1439"/>
      <c r="I39" s="1439"/>
      <c r="J39" s="1439"/>
      <c r="K39" s="1430">
        <f t="shared" si="5"/>
        <v>25600.400000000001</v>
      </c>
      <c r="L39" s="1446">
        <f>[2]B55!D36</f>
        <v>4160</v>
      </c>
      <c r="M39" s="1429">
        <f>[2]B56!D37</f>
        <v>21440.400000000001</v>
      </c>
      <c r="N39" s="1432"/>
      <c r="O39" s="1432"/>
      <c r="P39" s="1430">
        <f t="shared" si="6"/>
        <v>0</v>
      </c>
      <c r="Q39" s="1432"/>
      <c r="R39" s="1433"/>
      <c r="S39" s="1429"/>
      <c r="T39" s="1429"/>
      <c r="U39" s="1429"/>
      <c r="V39" s="1422">
        <f t="shared" si="7"/>
        <v>1.4695138051776593</v>
      </c>
      <c r="W39" s="1422">
        <f t="shared" si="7"/>
        <v>1.04</v>
      </c>
      <c r="X39" s="1422">
        <f t="shared" si="8"/>
        <v>1.5975262648088817</v>
      </c>
      <c r="Y39" s="1435"/>
      <c r="Z39" s="1435"/>
      <c r="AA39" s="1435"/>
      <c r="AB39" s="1436"/>
      <c r="AC39" s="1436"/>
    </row>
    <row r="40" spans="1:29" ht="18" customHeight="1">
      <c r="A40" s="1437" t="s">
        <v>1543</v>
      </c>
      <c r="B40" s="1443" t="s">
        <v>2186</v>
      </c>
      <c r="C40" s="1414">
        <f t="shared" si="4"/>
        <v>5096.99</v>
      </c>
      <c r="D40" s="1429"/>
      <c r="E40" s="1439">
        <v>1515</v>
      </c>
      <c r="F40" s="1439">
        <v>3581.9900000000002</v>
      </c>
      <c r="G40" s="1439"/>
      <c r="H40" s="1439"/>
      <c r="I40" s="1439"/>
      <c r="J40" s="1439"/>
      <c r="K40" s="1430">
        <f t="shared" si="5"/>
        <v>5674.8260330000003</v>
      </c>
      <c r="L40" s="1431"/>
      <c r="M40" s="1429">
        <f>[2]B56!D38-P40</f>
        <v>2806.8260330000003</v>
      </c>
      <c r="N40" s="1432"/>
      <c r="O40" s="1432"/>
      <c r="P40" s="1430">
        <f t="shared" si="6"/>
        <v>2868</v>
      </c>
      <c r="Q40" s="1432"/>
      <c r="R40" s="1433">
        <f>'[2]B61 Các CTMT QG'!F21</f>
        <v>2868</v>
      </c>
      <c r="S40" s="1429"/>
      <c r="T40" s="1429"/>
      <c r="U40" s="1429"/>
      <c r="V40" s="1422">
        <f t="shared" si="7"/>
        <v>1.1133680923446976</v>
      </c>
      <c r="W40" s="1434"/>
      <c r="X40" s="1422">
        <f t="shared" si="8"/>
        <v>1.8526904508250828</v>
      </c>
      <c r="Y40" s="1435"/>
      <c r="Z40" s="1435"/>
      <c r="AA40" s="1435"/>
      <c r="AB40" s="1436"/>
      <c r="AC40" s="1436"/>
    </row>
    <row r="41" spans="1:29" ht="18" customHeight="1">
      <c r="A41" s="1427" t="s">
        <v>1544</v>
      </c>
      <c r="B41" s="1443" t="s">
        <v>2187</v>
      </c>
      <c r="C41" s="1414">
        <f t="shared" si="4"/>
        <v>0</v>
      </c>
      <c r="D41" s="1429"/>
      <c r="E41" s="1439"/>
      <c r="F41" s="1439"/>
      <c r="G41" s="1439"/>
      <c r="H41" s="1439"/>
      <c r="I41" s="1439"/>
      <c r="J41" s="1439"/>
      <c r="K41" s="1430">
        <f t="shared" si="5"/>
        <v>17024</v>
      </c>
      <c r="L41" s="1431"/>
      <c r="M41" s="1429">
        <f>[2]B56!D39</f>
        <v>17024</v>
      </c>
      <c r="N41" s="1432"/>
      <c r="O41" s="1432"/>
      <c r="P41" s="1430">
        <f t="shared" si="6"/>
        <v>0</v>
      </c>
      <c r="Q41" s="1432"/>
      <c r="R41" s="1433"/>
      <c r="S41" s="1429"/>
      <c r="T41" s="1429"/>
      <c r="U41" s="1429"/>
      <c r="V41" s="1422"/>
      <c r="W41" s="1434"/>
      <c r="X41" s="1422"/>
      <c r="Y41" s="1435"/>
      <c r="Z41" s="1435"/>
      <c r="AA41" s="1435"/>
      <c r="AB41" s="1436"/>
      <c r="AC41" s="1436"/>
    </row>
    <row r="42" spans="1:29" ht="18" customHeight="1">
      <c r="A42" s="1447" t="s">
        <v>1545</v>
      </c>
      <c r="B42" s="1448" t="s">
        <v>248</v>
      </c>
      <c r="C42" s="1414">
        <f t="shared" si="4"/>
        <v>575672</v>
      </c>
      <c r="D42" s="1449">
        <f>[2]B55!C10</f>
        <v>575272</v>
      </c>
      <c r="E42" s="1450">
        <v>400</v>
      </c>
      <c r="F42" s="1450"/>
      <c r="G42" s="1450"/>
      <c r="H42" s="1450"/>
      <c r="I42" s="1450"/>
      <c r="J42" s="1450"/>
      <c r="K42" s="1420">
        <f t="shared" si="5"/>
        <v>373394.35100000002</v>
      </c>
      <c r="L42" s="1451">
        <f>[2]B55!D10</f>
        <v>337325</v>
      </c>
      <c r="M42" s="1449">
        <f>[2]B56!D40</f>
        <v>36069.351000000002</v>
      </c>
      <c r="N42" s="1452"/>
      <c r="O42" s="1452"/>
      <c r="P42" s="1420">
        <f t="shared" si="6"/>
        <v>0</v>
      </c>
      <c r="Q42" s="1452"/>
      <c r="R42" s="1453"/>
      <c r="S42" s="1449"/>
      <c r="T42" s="1449"/>
      <c r="U42" s="1449"/>
      <c r="V42" s="1422">
        <f t="shared" si="7"/>
        <v>0.64862343660973609</v>
      </c>
      <c r="W42" s="1422">
        <f t="shared" si="7"/>
        <v>0.58637479314133145</v>
      </c>
      <c r="X42" s="1422">
        <f t="shared" si="8"/>
        <v>90.173377500000001</v>
      </c>
      <c r="Y42" s="1454"/>
      <c r="Z42" s="1454"/>
      <c r="AA42" s="1454"/>
      <c r="AB42" s="1455"/>
      <c r="AC42" s="1436"/>
    </row>
    <row r="43" spans="1:29" ht="18" customHeight="1">
      <c r="A43" s="1456" t="s">
        <v>1546</v>
      </c>
      <c r="B43" s="1457" t="s">
        <v>1304</v>
      </c>
      <c r="C43" s="1414">
        <f t="shared" si="4"/>
        <v>99154</v>
      </c>
      <c r="D43" s="1458">
        <f>[2]B55!C20</f>
        <v>99154</v>
      </c>
      <c r="E43" s="1459"/>
      <c r="F43" s="1459"/>
      <c r="G43" s="1459"/>
      <c r="H43" s="1459"/>
      <c r="I43" s="1459"/>
      <c r="J43" s="1459"/>
      <c r="K43" s="1420">
        <f t="shared" si="5"/>
        <v>106978</v>
      </c>
      <c r="L43" s="1460">
        <f>[2]B55!D20</f>
        <v>106978</v>
      </c>
      <c r="M43" s="1458"/>
      <c r="N43" s="1461"/>
      <c r="O43" s="1461"/>
      <c r="P43" s="1462"/>
      <c r="Q43" s="1461"/>
      <c r="R43" s="1463"/>
      <c r="S43" s="1458"/>
      <c r="T43" s="1458"/>
      <c r="U43" s="1458"/>
      <c r="V43" s="1464"/>
      <c r="W43" s="1464"/>
      <c r="X43" s="1464"/>
      <c r="Y43" s="1465"/>
      <c r="Z43" s="1465"/>
      <c r="AA43" s="1465"/>
      <c r="AB43" s="1466"/>
      <c r="AC43" s="1467"/>
    </row>
    <row r="44" spans="1:29" ht="18" customHeight="1">
      <c r="A44" s="1404">
        <v>2</v>
      </c>
      <c r="B44" s="1468" t="s">
        <v>1355</v>
      </c>
      <c r="C44" s="1469">
        <f>SUM(C45:C46)</f>
        <v>69924</v>
      </c>
      <c r="D44" s="1469">
        <f>SUM(D45:D46)</f>
        <v>4871</v>
      </c>
      <c r="E44" s="1469">
        <f>SUM(E45:E46)</f>
        <v>65053</v>
      </c>
      <c r="F44" s="1469"/>
      <c r="G44" s="1469"/>
      <c r="H44" s="1469"/>
      <c r="I44" s="1469"/>
      <c r="J44" s="1469"/>
      <c r="K44" s="1406">
        <f>K45+K46</f>
        <v>77478.29935999999</v>
      </c>
      <c r="L44" s="1406">
        <f>L45+L46</f>
        <v>6321</v>
      </c>
      <c r="M44" s="1406">
        <f>M45+M46</f>
        <v>71157.299360000005</v>
      </c>
      <c r="N44" s="1470"/>
      <c r="O44" s="1470"/>
      <c r="P44" s="1408"/>
      <c r="Q44" s="1470"/>
      <c r="R44" s="1470"/>
      <c r="S44" s="1470"/>
      <c r="T44" s="1470"/>
      <c r="U44" s="1471"/>
      <c r="V44" s="1410">
        <f t="shared" ref="V44:X59" si="9">K44/C44</f>
        <v>1.1080358583605054</v>
      </c>
      <c r="W44" s="1410">
        <f t="shared" si="9"/>
        <v>1.2976801478135906</v>
      </c>
      <c r="X44" s="1410">
        <f t="shared" si="9"/>
        <v>1.0938357855902112</v>
      </c>
      <c r="Y44" s="1403"/>
      <c r="Z44" s="1403"/>
      <c r="AA44" s="1403"/>
      <c r="AB44" s="1401"/>
      <c r="AC44" s="1401"/>
    </row>
    <row r="45" spans="1:29" ht="18" customHeight="1">
      <c r="A45" s="1472" t="s">
        <v>294</v>
      </c>
      <c r="B45" s="1473" t="s">
        <v>1356</v>
      </c>
      <c r="C45" s="1414">
        <f>D45+E45+F45+G45+H45+I45+J45</f>
        <v>62576</v>
      </c>
      <c r="D45" s="1474">
        <f>[2]B55!C28</f>
        <v>4700</v>
      </c>
      <c r="E45" s="1475">
        <v>57876</v>
      </c>
      <c r="F45" s="1475"/>
      <c r="G45" s="1475"/>
      <c r="H45" s="1475"/>
      <c r="I45" s="1475"/>
      <c r="J45" s="1475"/>
      <c r="K45" s="1417">
        <f t="shared" si="5"/>
        <v>66058.516999999993</v>
      </c>
      <c r="L45" s="1476">
        <f>[2]B55!D28</f>
        <v>6158</v>
      </c>
      <c r="M45" s="1474">
        <f>[2]B56!D42</f>
        <v>59900.517</v>
      </c>
      <c r="N45" s="1477"/>
      <c r="O45" s="1477"/>
      <c r="P45" s="1478"/>
      <c r="Q45" s="1477"/>
      <c r="R45" s="1477"/>
      <c r="S45" s="1477"/>
      <c r="T45" s="1477"/>
      <c r="U45" s="1479"/>
      <c r="V45" s="1480">
        <f t="shared" si="9"/>
        <v>1.0556525984402965</v>
      </c>
      <c r="W45" s="1481">
        <f t="shared" si="9"/>
        <v>1.3102127659574467</v>
      </c>
      <c r="X45" s="1481">
        <f t="shared" si="9"/>
        <v>1.0349802508811943</v>
      </c>
      <c r="Y45" s="1482"/>
      <c r="Z45" s="1482"/>
      <c r="AA45" s="1482"/>
      <c r="AB45" s="1425"/>
      <c r="AC45" s="1426"/>
    </row>
    <row r="46" spans="1:29" ht="18" customHeight="1">
      <c r="A46" s="1447" t="s">
        <v>1439</v>
      </c>
      <c r="B46" s="1483" t="s">
        <v>1357</v>
      </c>
      <c r="C46" s="1414">
        <f>D46+E46+F46+G46+H46+I46+J46</f>
        <v>7348</v>
      </c>
      <c r="D46" s="1449">
        <f>[2]B55!C35</f>
        <v>171</v>
      </c>
      <c r="E46" s="1450">
        <v>7177</v>
      </c>
      <c r="F46" s="1450"/>
      <c r="G46" s="1450"/>
      <c r="H46" s="1450"/>
      <c r="I46" s="1450"/>
      <c r="J46" s="1450"/>
      <c r="K46" s="1462">
        <f t="shared" si="5"/>
        <v>11419.782359999999</v>
      </c>
      <c r="L46" s="1451">
        <f>[2]B55!D35</f>
        <v>163</v>
      </c>
      <c r="M46" s="1449">
        <f>[2]B56!D43</f>
        <v>11256.782359999999</v>
      </c>
      <c r="N46" s="1452"/>
      <c r="O46" s="1452"/>
      <c r="P46" s="1484"/>
      <c r="Q46" s="1452"/>
      <c r="R46" s="1452"/>
      <c r="S46" s="1452"/>
      <c r="T46" s="1452"/>
      <c r="U46" s="1485"/>
      <c r="V46" s="1486">
        <f t="shared" si="9"/>
        <v>1.5541347795318452</v>
      </c>
      <c r="W46" s="1487">
        <f t="shared" si="9"/>
        <v>0.95321637426900585</v>
      </c>
      <c r="X46" s="1487">
        <f t="shared" si="9"/>
        <v>1.5684523282708651</v>
      </c>
      <c r="Y46" s="1454"/>
      <c r="Z46" s="1454"/>
      <c r="AA46" s="1454"/>
      <c r="AB46" s="1455"/>
      <c r="AC46" s="1466"/>
    </row>
    <row r="47" spans="1:29" ht="18" customHeight="1">
      <c r="A47" s="1404">
        <v>3</v>
      </c>
      <c r="B47" s="1405" t="s">
        <v>1358</v>
      </c>
      <c r="C47" s="1469">
        <f>SUM(C48:C52)</f>
        <v>23069.1</v>
      </c>
      <c r="D47" s="1469">
        <f>SUM(D48:D52)</f>
        <v>4325</v>
      </c>
      <c r="E47" s="1469">
        <f>SUM(E48:E52)</f>
        <v>18368</v>
      </c>
      <c r="F47" s="1469">
        <f>SUM(F48:F52)</f>
        <v>376.1</v>
      </c>
      <c r="G47" s="1469"/>
      <c r="H47" s="1469"/>
      <c r="I47" s="1469"/>
      <c r="J47" s="1469"/>
      <c r="K47" s="1406">
        <f>SUM(K48:K52)</f>
        <v>22736.54464</v>
      </c>
      <c r="L47" s="1406">
        <f>SUM(L48:L52)</f>
        <v>2353</v>
      </c>
      <c r="M47" s="1406">
        <f>SUM(M48:M52)</f>
        <v>20383.54464</v>
      </c>
      <c r="N47" s="1470"/>
      <c r="O47" s="1470"/>
      <c r="P47" s="1408"/>
      <c r="Q47" s="1488"/>
      <c r="R47" s="1488"/>
      <c r="S47" s="1488"/>
      <c r="T47" s="1488"/>
      <c r="U47" s="1408"/>
      <c r="V47" s="1397">
        <f t="shared" si="9"/>
        <v>0.98558438083843758</v>
      </c>
      <c r="W47" s="1489"/>
      <c r="X47" s="1411">
        <f t="shared" si="9"/>
        <v>1.109731306620209</v>
      </c>
      <c r="Y47" s="1403"/>
      <c r="Z47" s="1403"/>
      <c r="AA47" s="1403"/>
      <c r="AB47" s="1401"/>
      <c r="AC47" s="1401"/>
    </row>
    <row r="48" spans="1:29" ht="18" customHeight="1">
      <c r="A48" s="1472" t="s">
        <v>1547</v>
      </c>
      <c r="B48" s="1473" t="s">
        <v>1359</v>
      </c>
      <c r="C48" s="1414">
        <f>D48+E48+F48+G48+H48+I48+J48</f>
        <v>7859.6</v>
      </c>
      <c r="D48" s="1474">
        <f>[2]B55!C11</f>
        <v>4325</v>
      </c>
      <c r="E48" s="1475">
        <v>3384</v>
      </c>
      <c r="F48" s="1475">
        <v>150.6</v>
      </c>
      <c r="G48" s="1475"/>
      <c r="H48" s="1475"/>
      <c r="I48" s="1475"/>
      <c r="J48" s="1475"/>
      <c r="K48" s="1417">
        <f t="shared" si="5"/>
        <v>6217.8249999999998</v>
      </c>
      <c r="L48" s="1476">
        <f>[2]B55!D11</f>
        <v>2353</v>
      </c>
      <c r="M48" s="1474">
        <f>[2]B56!D45</f>
        <v>3864.8249999999998</v>
      </c>
      <c r="N48" s="1477"/>
      <c r="O48" s="1477"/>
      <c r="P48" s="1478"/>
      <c r="Q48" s="1477"/>
      <c r="R48" s="1490">
        <f>'[2]B61 Các CTMT QG'!F23</f>
        <v>0</v>
      </c>
      <c r="S48" s="1477"/>
      <c r="T48" s="1477"/>
      <c r="U48" s="1474"/>
      <c r="V48" s="1422">
        <f t="shared" si="9"/>
        <v>0.79111214311160871</v>
      </c>
      <c r="W48" s="1423"/>
      <c r="X48" s="1422">
        <f t="shared" si="9"/>
        <v>1.1420877659574467</v>
      </c>
      <c r="Y48" s="1482"/>
      <c r="Z48" s="1482"/>
      <c r="AA48" s="1482"/>
      <c r="AB48" s="1425"/>
      <c r="AC48" s="1426"/>
    </row>
    <row r="49" spans="1:29" ht="18" customHeight="1">
      <c r="A49" s="1437" t="s">
        <v>1548</v>
      </c>
      <c r="B49" s="1491" t="s">
        <v>1360</v>
      </c>
      <c r="C49" s="1414">
        <f>D49+E49+F49+G49+H49+I49+J49</f>
        <v>3988</v>
      </c>
      <c r="D49" s="1429"/>
      <c r="E49" s="1439">
        <v>3871</v>
      </c>
      <c r="F49" s="1439">
        <v>117</v>
      </c>
      <c r="G49" s="1439"/>
      <c r="H49" s="1439"/>
      <c r="I49" s="1439"/>
      <c r="J49" s="1439"/>
      <c r="K49" s="1430">
        <f t="shared" si="5"/>
        <v>4400.1987499999996</v>
      </c>
      <c r="L49" s="1432"/>
      <c r="M49" s="1429">
        <f>[2]B56!D46</f>
        <v>4400.1987499999996</v>
      </c>
      <c r="N49" s="1432"/>
      <c r="O49" s="1432"/>
      <c r="P49" s="1492"/>
      <c r="Q49" s="1432"/>
      <c r="R49" s="1493">
        <f>'[2]B61 Các CTMT QG'!F25</f>
        <v>0</v>
      </c>
      <c r="S49" s="1432"/>
      <c r="T49" s="1432"/>
      <c r="U49" s="1429"/>
      <c r="V49" s="1422">
        <f t="shared" si="9"/>
        <v>1.1033597668004012</v>
      </c>
      <c r="W49" s="1434"/>
      <c r="X49" s="1422">
        <f t="shared" si="9"/>
        <v>1.136708537845518</v>
      </c>
      <c r="Y49" s="1435"/>
      <c r="Z49" s="1435"/>
      <c r="AA49" s="1435"/>
      <c r="AB49" s="1436"/>
      <c r="AC49" s="1436"/>
    </row>
    <row r="50" spans="1:29" ht="18" customHeight="1">
      <c r="A50" s="1437" t="s">
        <v>1549</v>
      </c>
      <c r="B50" s="1491" t="s">
        <v>1361</v>
      </c>
      <c r="C50" s="1414">
        <f>D50+E50+F50+G50+H50+I50+J50</f>
        <v>4447</v>
      </c>
      <c r="D50" s="1429"/>
      <c r="E50" s="1439">
        <v>4447</v>
      </c>
      <c r="F50" s="1439"/>
      <c r="G50" s="1439"/>
      <c r="H50" s="1439"/>
      <c r="I50" s="1439"/>
      <c r="J50" s="1439"/>
      <c r="K50" s="1430">
        <f t="shared" si="5"/>
        <v>4813.3458899999996</v>
      </c>
      <c r="L50" s="1432"/>
      <c r="M50" s="1429">
        <f>[2]B56!D47</f>
        <v>4813.3458899999996</v>
      </c>
      <c r="N50" s="1432"/>
      <c r="O50" s="1432"/>
      <c r="P50" s="1492"/>
      <c r="Q50" s="1432"/>
      <c r="R50" s="1493"/>
      <c r="S50" s="1432"/>
      <c r="T50" s="1432"/>
      <c r="U50" s="1429"/>
      <c r="V50" s="1422">
        <f t="shared" si="9"/>
        <v>1.0823804564875197</v>
      </c>
      <c r="W50" s="1434"/>
      <c r="X50" s="1422">
        <f t="shared" si="9"/>
        <v>1.0823804564875197</v>
      </c>
      <c r="Y50" s="1435"/>
      <c r="Z50" s="1435"/>
      <c r="AA50" s="1435"/>
      <c r="AB50" s="1436"/>
      <c r="AC50" s="1436"/>
    </row>
    <row r="51" spans="1:29" ht="18" customHeight="1">
      <c r="A51" s="1437" t="s">
        <v>1550</v>
      </c>
      <c r="B51" s="1491" t="s">
        <v>1362</v>
      </c>
      <c r="C51" s="1414">
        <f>D51+E51+F51+G51+H51+I51+J51</f>
        <v>4771.5</v>
      </c>
      <c r="D51" s="1429"/>
      <c r="E51" s="1439">
        <v>4663</v>
      </c>
      <c r="F51" s="1439">
        <v>108.5</v>
      </c>
      <c r="G51" s="1439"/>
      <c r="H51" s="1439"/>
      <c r="I51" s="1439"/>
      <c r="J51" s="1439"/>
      <c r="K51" s="1430">
        <f t="shared" si="5"/>
        <v>5055.7240000000002</v>
      </c>
      <c r="L51" s="1432"/>
      <c r="M51" s="1429">
        <f>[2]B56!D48</f>
        <v>5055.7240000000002</v>
      </c>
      <c r="N51" s="1432"/>
      <c r="O51" s="1432"/>
      <c r="P51" s="1492"/>
      <c r="Q51" s="1432"/>
      <c r="R51" s="1493">
        <f>'[2]B61 Các CTMT QG'!F24</f>
        <v>0</v>
      </c>
      <c r="S51" s="1432"/>
      <c r="T51" s="1432"/>
      <c r="U51" s="1429"/>
      <c r="V51" s="1422">
        <f t="shared" si="9"/>
        <v>1.0595670124698733</v>
      </c>
      <c r="W51" s="1434"/>
      <c r="X51" s="1422">
        <f t="shared" si="9"/>
        <v>1.0842213167488741</v>
      </c>
      <c r="Y51" s="1435"/>
      <c r="Z51" s="1435"/>
      <c r="AA51" s="1435"/>
      <c r="AB51" s="1436"/>
      <c r="AC51" s="1436"/>
    </row>
    <row r="52" spans="1:29" ht="18" customHeight="1">
      <c r="A52" s="1447" t="s">
        <v>1551</v>
      </c>
      <c r="B52" s="1483" t="s">
        <v>1363</v>
      </c>
      <c r="C52" s="1414">
        <f>D52+E52+F52+G52+H52+I52+J52</f>
        <v>2003</v>
      </c>
      <c r="D52" s="1449"/>
      <c r="E52" s="1450">
        <v>2003</v>
      </c>
      <c r="F52" s="1450"/>
      <c r="G52" s="1450"/>
      <c r="H52" s="1450"/>
      <c r="I52" s="1450"/>
      <c r="J52" s="1450"/>
      <c r="K52" s="1494">
        <f t="shared" si="5"/>
        <v>2249.451</v>
      </c>
      <c r="L52" s="1452"/>
      <c r="M52" s="1449">
        <f>[2]B56!D49</f>
        <v>2249.451</v>
      </c>
      <c r="N52" s="1452"/>
      <c r="O52" s="1452"/>
      <c r="P52" s="1484"/>
      <c r="Q52" s="1452"/>
      <c r="R52" s="1452"/>
      <c r="S52" s="1452"/>
      <c r="T52" s="1452"/>
      <c r="U52" s="1449"/>
      <c r="V52" s="1422">
        <f t="shared" si="9"/>
        <v>1.1230409385921118</v>
      </c>
      <c r="W52" s="1495"/>
      <c r="X52" s="1422">
        <f t="shared" si="9"/>
        <v>1.1230409385921118</v>
      </c>
      <c r="Y52" s="1454"/>
      <c r="Z52" s="1454"/>
      <c r="AA52" s="1454"/>
      <c r="AB52" s="1455"/>
      <c r="AC52" s="1467"/>
    </row>
    <row r="53" spans="1:29" ht="18" customHeight="1">
      <c r="A53" s="1404">
        <v>4</v>
      </c>
      <c r="B53" s="1468" t="s">
        <v>2188</v>
      </c>
      <c r="C53" s="1469">
        <f>SUM(C54:C67)</f>
        <v>12106.25</v>
      </c>
      <c r="D53" s="1469">
        <f>SUM(D54:D67)</f>
        <v>0</v>
      </c>
      <c r="E53" s="1469">
        <f>SUM(E54:E67)</f>
        <v>10775</v>
      </c>
      <c r="F53" s="1469">
        <f>SUM(F54:F67)</f>
        <v>1331.25</v>
      </c>
      <c r="G53" s="1469"/>
      <c r="H53" s="1469"/>
      <c r="I53" s="1469"/>
      <c r="J53" s="1469"/>
      <c r="K53" s="1406">
        <f>SUM(K54:K67)</f>
        <v>11864.914745</v>
      </c>
      <c r="L53" s="1406">
        <f>SUM(L54:L67)</f>
        <v>0</v>
      </c>
      <c r="M53" s="1406">
        <f>SUM(M54:M67)</f>
        <v>10826.914745</v>
      </c>
      <c r="N53" s="1470"/>
      <c r="O53" s="1470"/>
      <c r="P53" s="1406">
        <f>SUM(P54:P67)</f>
        <v>1038</v>
      </c>
      <c r="Q53" s="1488"/>
      <c r="R53" s="1406">
        <f>SUM(R54:R67)</f>
        <v>1038</v>
      </c>
      <c r="S53" s="1406"/>
      <c r="T53" s="1406"/>
      <c r="U53" s="1408"/>
      <c r="V53" s="1410">
        <f t="shared" si="9"/>
        <v>0.9800652344863191</v>
      </c>
      <c r="W53" s="1489"/>
      <c r="X53" s="1411">
        <f t="shared" si="9"/>
        <v>1.0048180737819026</v>
      </c>
      <c r="Y53" s="1403"/>
      <c r="Z53" s="1403"/>
      <c r="AA53" s="1403"/>
      <c r="AB53" s="1401"/>
      <c r="AC53" s="1401"/>
    </row>
    <row r="54" spans="1:29" ht="18" customHeight="1">
      <c r="A54" s="1496" t="s">
        <v>1552</v>
      </c>
      <c r="B54" s="1497" t="s">
        <v>1365</v>
      </c>
      <c r="C54" s="1414">
        <f t="shared" ref="C54:C67" si="10">D54+E54+F54+G54+H54+I54+J54</f>
        <v>1056</v>
      </c>
      <c r="D54" s="1474"/>
      <c r="E54" s="1475">
        <v>1056</v>
      </c>
      <c r="F54" s="1475"/>
      <c r="G54" s="1475"/>
      <c r="H54" s="1475"/>
      <c r="I54" s="1475"/>
      <c r="J54" s="1475"/>
      <c r="K54" s="1417">
        <f t="shared" si="5"/>
        <v>1154.2170000000001</v>
      </c>
      <c r="L54" s="1477"/>
      <c r="M54" s="1474">
        <f>[2]B56!D51</f>
        <v>1154.2170000000001</v>
      </c>
      <c r="N54" s="1477"/>
      <c r="O54" s="1477"/>
      <c r="P54" s="1478"/>
      <c r="Q54" s="1477"/>
      <c r="R54" s="1477"/>
      <c r="S54" s="1477"/>
      <c r="T54" s="1477"/>
      <c r="U54" s="1479"/>
      <c r="V54" s="1422">
        <f t="shared" si="9"/>
        <v>1.0930085227272728</v>
      </c>
      <c r="W54" s="1423"/>
      <c r="X54" s="1422">
        <f t="shared" si="9"/>
        <v>1.0930085227272728</v>
      </c>
      <c r="Y54" s="1482"/>
      <c r="Z54" s="1482"/>
      <c r="AA54" s="1482"/>
      <c r="AB54" s="1425"/>
      <c r="AC54" s="1426"/>
    </row>
    <row r="55" spans="1:29" ht="18" customHeight="1">
      <c r="A55" s="1437" t="s">
        <v>1553</v>
      </c>
      <c r="B55" s="1491" t="s">
        <v>1366</v>
      </c>
      <c r="C55" s="1414">
        <f t="shared" si="10"/>
        <v>646</v>
      </c>
      <c r="D55" s="1429"/>
      <c r="E55" s="1439">
        <v>646</v>
      </c>
      <c r="F55" s="1439"/>
      <c r="G55" s="1439"/>
      <c r="H55" s="1439"/>
      <c r="I55" s="1439"/>
      <c r="J55" s="1439"/>
      <c r="K55" s="1430">
        <f t="shared" si="5"/>
        <v>782.78399999999999</v>
      </c>
      <c r="L55" s="1432"/>
      <c r="M55" s="1429">
        <f>[2]B56!D52</f>
        <v>782.78399999999999</v>
      </c>
      <c r="N55" s="1432"/>
      <c r="O55" s="1432"/>
      <c r="P55" s="1492"/>
      <c r="Q55" s="1432"/>
      <c r="R55" s="1432"/>
      <c r="S55" s="1432"/>
      <c r="T55" s="1432"/>
      <c r="U55" s="1446"/>
      <c r="V55" s="1422">
        <f t="shared" si="9"/>
        <v>1.2117399380804954</v>
      </c>
      <c r="W55" s="1434"/>
      <c r="X55" s="1422">
        <f t="shared" si="9"/>
        <v>1.2117399380804954</v>
      </c>
      <c r="Y55" s="1435"/>
      <c r="Z55" s="1435"/>
      <c r="AA55" s="1435"/>
      <c r="AB55" s="1436"/>
      <c r="AC55" s="1436"/>
    </row>
    <row r="56" spans="1:29" ht="18" customHeight="1">
      <c r="A56" s="1437" t="s">
        <v>1554</v>
      </c>
      <c r="B56" s="1491" t="s">
        <v>1522</v>
      </c>
      <c r="C56" s="1414">
        <f t="shared" si="10"/>
        <v>4498.25</v>
      </c>
      <c r="D56" s="1429"/>
      <c r="E56" s="1439">
        <v>3167</v>
      </c>
      <c r="F56" s="1439">
        <v>1331.25</v>
      </c>
      <c r="G56" s="1439"/>
      <c r="H56" s="1439"/>
      <c r="I56" s="1439"/>
      <c r="J56" s="1439"/>
      <c r="K56" s="1430">
        <f t="shared" si="5"/>
        <v>4084.2370000000001</v>
      </c>
      <c r="L56" s="1432"/>
      <c r="M56" s="1429">
        <f>[2]B56!D53-R56</f>
        <v>3046.2370000000001</v>
      </c>
      <c r="N56" s="1432"/>
      <c r="O56" s="1432"/>
      <c r="P56" s="1492">
        <f>Q56+R56</f>
        <v>1038</v>
      </c>
      <c r="Q56" s="1432"/>
      <c r="R56" s="1433">
        <f>'[2]B61 Các CTMT QG'!F19</f>
        <v>1038</v>
      </c>
      <c r="S56" s="1429"/>
      <c r="T56" s="1429"/>
      <c r="U56" s="1446"/>
      <c r="V56" s="1422">
        <f t="shared" si="9"/>
        <v>0.90796131829044635</v>
      </c>
      <c r="W56" s="1434"/>
      <c r="X56" s="1422">
        <f t="shared" si="9"/>
        <v>0.96186832964951063</v>
      </c>
      <c r="Y56" s="1435"/>
      <c r="Z56" s="1435"/>
      <c r="AA56" s="1498">
        <f>P56/F56%</f>
        <v>77.971830985915489</v>
      </c>
      <c r="AB56" s="1436"/>
      <c r="AC56" s="1436"/>
    </row>
    <row r="57" spans="1:29" ht="18" customHeight="1">
      <c r="A57" s="1499" t="s">
        <v>1555</v>
      </c>
      <c r="B57" s="1491" t="s">
        <v>1367</v>
      </c>
      <c r="C57" s="1414">
        <f t="shared" si="10"/>
        <v>1923</v>
      </c>
      <c r="D57" s="1429"/>
      <c r="E57" s="1439">
        <v>1923</v>
      </c>
      <c r="F57" s="1439"/>
      <c r="G57" s="1439"/>
      <c r="H57" s="1439"/>
      <c r="I57" s="1439"/>
      <c r="J57" s="1439"/>
      <c r="K57" s="1430">
        <f t="shared" si="5"/>
        <v>1873.231</v>
      </c>
      <c r="L57" s="1432"/>
      <c r="M57" s="1429">
        <f>[2]B56!D54</f>
        <v>1873.231</v>
      </c>
      <c r="N57" s="1432"/>
      <c r="O57" s="1432"/>
      <c r="P57" s="1492"/>
      <c r="Q57" s="1432"/>
      <c r="R57" s="1432"/>
      <c r="S57" s="1432"/>
      <c r="T57" s="1432"/>
      <c r="U57" s="1446"/>
      <c r="V57" s="1422">
        <f t="shared" si="9"/>
        <v>0.97411908476339049</v>
      </c>
      <c r="W57" s="1434"/>
      <c r="X57" s="1422">
        <f t="shared" si="9"/>
        <v>0.97411908476339049</v>
      </c>
      <c r="Y57" s="1435"/>
      <c r="Z57" s="1435"/>
      <c r="AA57" s="1435"/>
      <c r="AB57" s="1436"/>
      <c r="AC57" s="1436"/>
    </row>
    <row r="58" spans="1:29" ht="18" customHeight="1">
      <c r="A58" s="1437" t="s">
        <v>1556</v>
      </c>
      <c r="B58" s="1491" t="s">
        <v>1368</v>
      </c>
      <c r="C58" s="1414">
        <f t="shared" si="10"/>
        <v>992</v>
      </c>
      <c r="D58" s="1429"/>
      <c r="E58" s="1439">
        <v>992</v>
      </c>
      <c r="F58" s="1439"/>
      <c r="G58" s="1439"/>
      <c r="H58" s="1439"/>
      <c r="I58" s="1439"/>
      <c r="J58" s="1439"/>
      <c r="K58" s="1430">
        <f t="shared" si="5"/>
        <v>971.60599999999999</v>
      </c>
      <c r="L58" s="1432"/>
      <c r="M58" s="1429">
        <f>[2]B56!D55</f>
        <v>971.60599999999999</v>
      </c>
      <c r="N58" s="1432"/>
      <c r="O58" s="1432"/>
      <c r="P58" s="1492"/>
      <c r="Q58" s="1432"/>
      <c r="R58" s="1432"/>
      <c r="S58" s="1432"/>
      <c r="T58" s="1432"/>
      <c r="U58" s="1446"/>
      <c r="V58" s="1422">
        <f t="shared" si="9"/>
        <v>0.97944153225806452</v>
      </c>
      <c r="W58" s="1434"/>
      <c r="X58" s="1422">
        <f t="shared" si="9"/>
        <v>0.97944153225806452</v>
      </c>
      <c r="Y58" s="1435"/>
      <c r="Z58" s="1435"/>
      <c r="AA58" s="1435"/>
      <c r="AB58" s="1436"/>
      <c r="AC58" s="1436"/>
    </row>
    <row r="59" spans="1:29" ht="18" customHeight="1">
      <c r="A59" s="1437" t="s">
        <v>1557</v>
      </c>
      <c r="B59" s="1491" t="s">
        <v>1369</v>
      </c>
      <c r="C59" s="1414">
        <f t="shared" si="10"/>
        <v>378</v>
      </c>
      <c r="D59" s="1429"/>
      <c r="E59" s="1439">
        <v>378</v>
      </c>
      <c r="F59" s="1439"/>
      <c r="G59" s="1439"/>
      <c r="H59" s="1439"/>
      <c r="I59" s="1439"/>
      <c r="J59" s="1439"/>
      <c r="K59" s="1430">
        <f t="shared" si="5"/>
        <v>383.29899999999998</v>
      </c>
      <c r="L59" s="1432"/>
      <c r="M59" s="1429">
        <f>[2]B56!D56</f>
        <v>383.29899999999998</v>
      </c>
      <c r="N59" s="1432"/>
      <c r="O59" s="1432"/>
      <c r="P59" s="1492"/>
      <c r="Q59" s="1432"/>
      <c r="R59" s="1432"/>
      <c r="S59" s="1432"/>
      <c r="T59" s="1432"/>
      <c r="U59" s="1446"/>
      <c r="V59" s="1422">
        <f t="shared" si="9"/>
        <v>1.0140185185185184</v>
      </c>
      <c r="W59" s="1434"/>
      <c r="X59" s="1422">
        <f t="shared" si="9"/>
        <v>1.0140185185185184</v>
      </c>
      <c r="Y59" s="1435"/>
      <c r="Z59" s="1435"/>
      <c r="AA59" s="1435"/>
      <c r="AB59" s="1436"/>
      <c r="AC59" s="1436"/>
    </row>
    <row r="60" spans="1:29" ht="18" customHeight="1">
      <c r="A60" s="1499" t="s">
        <v>1558</v>
      </c>
      <c r="B60" s="1491" t="s">
        <v>1370</v>
      </c>
      <c r="C60" s="1414">
        <f t="shared" si="10"/>
        <v>431</v>
      </c>
      <c r="D60" s="1429"/>
      <c r="E60" s="1439">
        <v>431</v>
      </c>
      <c r="F60" s="1439"/>
      <c r="G60" s="1439"/>
      <c r="H60" s="1439"/>
      <c r="I60" s="1439"/>
      <c r="J60" s="1439"/>
      <c r="K60" s="1430">
        <f t="shared" si="5"/>
        <v>437.57600000000002</v>
      </c>
      <c r="L60" s="1432"/>
      <c r="M60" s="1429">
        <f>[2]B56!D57</f>
        <v>437.57600000000002</v>
      </c>
      <c r="N60" s="1432"/>
      <c r="O60" s="1432"/>
      <c r="P60" s="1492"/>
      <c r="Q60" s="1432"/>
      <c r="R60" s="1432"/>
      <c r="S60" s="1432"/>
      <c r="T60" s="1432"/>
      <c r="U60" s="1446"/>
      <c r="V60" s="1422">
        <f t="shared" ref="V60:V67" si="11">K60/C60</f>
        <v>1.0152575406032482</v>
      </c>
      <c r="W60" s="1434"/>
      <c r="X60" s="1422">
        <f t="shared" ref="X60:X67" si="12">M60/E60</f>
        <v>1.0152575406032482</v>
      </c>
      <c r="Y60" s="1435"/>
      <c r="Z60" s="1435"/>
      <c r="AA60" s="1435"/>
      <c r="AB60" s="1436"/>
      <c r="AC60" s="1436"/>
    </row>
    <row r="61" spans="1:29" ht="18" customHeight="1">
      <c r="A61" s="1437" t="s">
        <v>1559</v>
      </c>
      <c r="B61" s="1491" t="s">
        <v>1371</v>
      </c>
      <c r="C61" s="1414">
        <f t="shared" si="10"/>
        <v>383</v>
      </c>
      <c r="D61" s="1429"/>
      <c r="E61" s="1439">
        <v>383</v>
      </c>
      <c r="F61" s="1439"/>
      <c r="G61" s="1439"/>
      <c r="H61" s="1439"/>
      <c r="I61" s="1439"/>
      <c r="J61" s="1439"/>
      <c r="K61" s="1430">
        <f t="shared" si="5"/>
        <v>394.82799999999997</v>
      </c>
      <c r="L61" s="1432"/>
      <c r="M61" s="1429">
        <f>[2]B56!D58</f>
        <v>394.82799999999997</v>
      </c>
      <c r="N61" s="1432"/>
      <c r="O61" s="1432"/>
      <c r="P61" s="1492"/>
      <c r="Q61" s="1432"/>
      <c r="R61" s="1432"/>
      <c r="S61" s="1432"/>
      <c r="T61" s="1432"/>
      <c r="U61" s="1446"/>
      <c r="V61" s="1422">
        <f t="shared" si="11"/>
        <v>1.030882506527415</v>
      </c>
      <c r="W61" s="1434"/>
      <c r="X61" s="1422">
        <f t="shared" si="12"/>
        <v>1.030882506527415</v>
      </c>
      <c r="Y61" s="1435"/>
      <c r="Z61" s="1435"/>
      <c r="AA61" s="1435"/>
      <c r="AB61" s="1436"/>
      <c r="AC61" s="1436"/>
    </row>
    <row r="62" spans="1:29" ht="18" customHeight="1">
      <c r="A62" s="1437" t="s">
        <v>1560</v>
      </c>
      <c r="B62" s="1491" t="s">
        <v>1372</v>
      </c>
      <c r="C62" s="1414">
        <f t="shared" si="10"/>
        <v>382</v>
      </c>
      <c r="D62" s="1429"/>
      <c r="E62" s="1439">
        <v>382</v>
      </c>
      <c r="F62" s="1439"/>
      <c r="G62" s="1439"/>
      <c r="H62" s="1439"/>
      <c r="I62" s="1439"/>
      <c r="J62" s="1439"/>
      <c r="K62" s="1430">
        <f t="shared" si="5"/>
        <v>450.66399999999999</v>
      </c>
      <c r="L62" s="1432"/>
      <c r="M62" s="1429">
        <f>[2]B56!D59</f>
        <v>450.66399999999999</v>
      </c>
      <c r="N62" s="1432"/>
      <c r="O62" s="1432"/>
      <c r="P62" s="1492"/>
      <c r="Q62" s="1432"/>
      <c r="R62" s="1432"/>
      <c r="S62" s="1432"/>
      <c r="T62" s="1432"/>
      <c r="U62" s="1446"/>
      <c r="V62" s="1422">
        <f t="shared" si="11"/>
        <v>1.1797486910994763</v>
      </c>
      <c r="W62" s="1434"/>
      <c r="X62" s="1422">
        <f t="shared" si="12"/>
        <v>1.1797486910994763</v>
      </c>
      <c r="Y62" s="1435"/>
      <c r="Z62" s="1435"/>
      <c r="AA62" s="1435"/>
      <c r="AB62" s="1436"/>
      <c r="AC62" s="1436"/>
    </row>
    <row r="63" spans="1:29" ht="18" customHeight="1">
      <c r="A63" s="1499" t="s">
        <v>1561</v>
      </c>
      <c r="B63" s="1491" t="s">
        <v>1373</v>
      </c>
      <c r="C63" s="1414">
        <f t="shared" si="10"/>
        <v>561</v>
      </c>
      <c r="D63" s="1429"/>
      <c r="E63" s="1439">
        <v>561</v>
      </c>
      <c r="F63" s="1439"/>
      <c r="G63" s="1439"/>
      <c r="H63" s="1439"/>
      <c r="I63" s="1439"/>
      <c r="J63" s="1439"/>
      <c r="K63" s="1430">
        <f t="shared" si="5"/>
        <v>432.14800000000002</v>
      </c>
      <c r="L63" s="1432"/>
      <c r="M63" s="1429">
        <f>[2]B56!D60</f>
        <v>432.14800000000002</v>
      </c>
      <c r="N63" s="1432"/>
      <c r="O63" s="1432"/>
      <c r="P63" s="1492"/>
      <c r="Q63" s="1432"/>
      <c r="R63" s="1432"/>
      <c r="S63" s="1432"/>
      <c r="T63" s="1432"/>
      <c r="U63" s="1446"/>
      <c r="V63" s="1422">
        <f t="shared" si="11"/>
        <v>0.77031729055258469</v>
      </c>
      <c r="W63" s="1434"/>
      <c r="X63" s="1422">
        <f t="shared" si="12"/>
        <v>0.77031729055258469</v>
      </c>
      <c r="Y63" s="1435"/>
      <c r="Z63" s="1435"/>
      <c r="AA63" s="1435"/>
      <c r="AB63" s="1436"/>
      <c r="AC63" s="1436"/>
    </row>
    <row r="64" spans="1:29" ht="18" customHeight="1">
      <c r="A64" s="1437" t="s">
        <v>1562</v>
      </c>
      <c r="B64" s="1445" t="s">
        <v>1374</v>
      </c>
      <c r="C64" s="1414">
        <f t="shared" si="10"/>
        <v>375</v>
      </c>
      <c r="D64" s="1429"/>
      <c r="E64" s="1439">
        <v>375</v>
      </c>
      <c r="F64" s="1439"/>
      <c r="G64" s="1439"/>
      <c r="H64" s="1439"/>
      <c r="I64" s="1439"/>
      <c r="J64" s="1439"/>
      <c r="K64" s="1430">
        <f t="shared" si="5"/>
        <v>385.29500000000002</v>
      </c>
      <c r="L64" s="1432"/>
      <c r="M64" s="1429">
        <f>[2]B56!D61</f>
        <v>385.29500000000002</v>
      </c>
      <c r="N64" s="1432"/>
      <c r="O64" s="1432"/>
      <c r="P64" s="1492"/>
      <c r="Q64" s="1432"/>
      <c r="R64" s="1432"/>
      <c r="S64" s="1432"/>
      <c r="T64" s="1432"/>
      <c r="U64" s="1446"/>
      <c r="V64" s="1422">
        <f t="shared" si="11"/>
        <v>1.0274533333333333</v>
      </c>
      <c r="W64" s="1434"/>
      <c r="X64" s="1422">
        <f t="shared" si="12"/>
        <v>1.0274533333333333</v>
      </c>
      <c r="Y64" s="1435"/>
      <c r="Z64" s="1435"/>
      <c r="AA64" s="1435"/>
      <c r="AB64" s="1436"/>
      <c r="AC64" s="1436"/>
    </row>
    <row r="65" spans="1:29" ht="18" customHeight="1">
      <c r="A65" s="1437" t="s">
        <v>1563</v>
      </c>
      <c r="B65" s="1445" t="s">
        <v>1375</v>
      </c>
      <c r="C65" s="1414">
        <f t="shared" si="10"/>
        <v>50</v>
      </c>
      <c r="D65" s="1429"/>
      <c r="E65" s="1444">
        <v>50</v>
      </c>
      <c r="F65" s="1444"/>
      <c r="G65" s="1444"/>
      <c r="H65" s="1444"/>
      <c r="I65" s="1444"/>
      <c r="J65" s="1444"/>
      <c r="K65" s="1430">
        <f t="shared" si="5"/>
        <v>50</v>
      </c>
      <c r="L65" s="1432"/>
      <c r="M65" s="1429">
        <f>[2]B56!D62</f>
        <v>50</v>
      </c>
      <c r="N65" s="1432"/>
      <c r="O65" s="1432"/>
      <c r="P65" s="1492"/>
      <c r="Q65" s="1432"/>
      <c r="R65" s="1432"/>
      <c r="S65" s="1432"/>
      <c r="T65" s="1432"/>
      <c r="U65" s="1446"/>
      <c r="V65" s="1422">
        <f t="shared" si="11"/>
        <v>1</v>
      </c>
      <c r="W65" s="1434"/>
      <c r="X65" s="1422">
        <f t="shared" si="12"/>
        <v>1</v>
      </c>
      <c r="Y65" s="1435"/>
      <c r="Z65" s="1435"/>
      <c r="AA65" s="1435"/>
      <c r="AB65" s="1436"/>
      <c r="AC65" s="1436"/>
    </row>
    <row r="66" spans="1:29" ht="18" customHeight="1">
      <c r="A66" s="1499" t="s">
        <v>1564</v>
      </c>
      <c r="B66" s="1445" t="s">
        <v>1376</v>
      </c>
      <c r="C66" s="1414">
        <f t="shared" si="10"/>
        <v>80</v>
      </c>
      <c r="D66" s="1429"/>
      <c r="E66" s="1444">
        <v>80</v>
      </c>
      <c r="F66" s="1444"/>
      <c r="G66" s="1444"/>
      <c r="H66" s="1444"/>
      <c r="I66" s="1444"/>
      <c r="J66" s="1444"/>
      <c r="K66" s="1430">
        <f t="shared" si="5"/>
        <v>80</v>
      </c>
      <c r="L66" s="1432"/>
      <c r="M66" s="1429">
        <f>[2]B56!D63</f>
        <v>80</v>
      </c>
      <c r="N66" s="1432"/>
      <c r="O66" s="1432"/>
      <c r="P66" s="1492"/>
      <c r="Q66" s="1432"/>
      <c r="R66" s="1432"/>
      <c r="S66" s="1432"/>
      <c r="T66" s="1432"/>
      <c r="U66" s="1446"/>
      <c r="V66" s="1422">
        <f t="shared" si="11"/>
        <v>1</v>
      </c>
      <c r="W66" s="1434"/>
      <c r="X66" s="1422">
        <f t="shared" si="12"/>
        <v>1</v>
      </c>
      <c r="Y66" s="1435"/>
      <c r="Z66" s="1435"/>
      <c r="AA66" s="1435"/>
      <c r="AB66" s="1436"/>
      <c r="AC66" s="1436"/>
    </row>
    <row r="67" spans="1:29" ht="18" customHeight="1">
      <c r="A67" s="1447" t="s">
        <v>1565</v>
      </c>
      <c r="B67" s="1500" t="s">
        <v>1377</v>
      </c>
      <c r="C67" s="1414">
        <f t="shared" si="10"/>
        <v>351</v>
      </c>
      <c r="D67" s="1449"/>
      <c r="E67" s="1450">
        <v>351</v>
      </c>
      <c r="F67" s="1450"/>
      <c r="G67" s="1450"/>
      <c r="H67" s="1450"/>
      <c r="I67" s="1450"/>
      <c r="J67" s="1450"/>
      <c r="K67" s="1494">
        <f t="shared" si="5"/>
        <v>385.02974499999999</v>
      </c>
      <c r="L67" s="1452"/>
      <c r="M67" s="1449">
        <f>[2]B56!D64</f>
        <v>385.02974499999999</v>
      </c>
      <c r="N67" s="1452"/>
      <c r="O67" s="1452"/>
      <c r="P67" s="1484"/>
      <c r="Q67" s="1452"/>
      <c r="R67" s="1452"/>
      <c r="S67" s="1452"/>
      <c r="T67" s="1452"/>
      <c r="U67" s="1501"/>
      <c r="V67" s="1422">
        <f t="shared" si="11"/>
        <v>1.0969508404558403</v>
      </c>
      <c r="W67" s="1495"/>
      <c r="X67" s="1422">
        <f t="shared" si="12"/>
        <v>1.0969508404558403</v>
      </c>
      <c r="Y67" s="1454"/>
      <c r="Z67" s="1454"/>
      <c r="AA67" s="1454"/>
      <c r="AB67" s="1455"/>
      <c r="AC67" s="1467"/>
    </row>
    <row r="68" spans="1:29" ht="19.5" customHeight="1">
      <c r="A68" s="1404">
        <v>5</v>
      </c>
      <c r="B68" s="1468" t="s">
        <v>1378</v>
      </c>
      <c r="C68" s="1406">
        <f>SUM(C69:C70)</f>
        <v>44572</v>
      </c>
      <c r="D68" s="1406">
        <f>SUM(D69:D70)</f>
        <v>13339</v>
      </c>
      <c r="E68" s="1406">
        <f>SUM(E69:E70)</f>
        <v>31153</v>
      </c>
      <c r="F68" s="1406">
        <f>SUM(F69:F70)</f>
        <v>80</v>
      </c>
      <c r="G68" s="1406"/>
      <c r="H68" s="1406"/>
      <c r="I68" s="1406"/>
      <c r="J68" s="1406"/>
      <c r="K68" s="1406">
        <f>K69+K70</f>
        <v>55983.661199999995</v>
      </c>
      <c r="L68" s="1406">
        <f>L69+L70</f>
        <v>12929</v>
      </c>
      <c r="M68" s="1406">
        <f>M69+M70</f>
        <v>42974.661199999995</v>
      </c>
      <c r="N68" s="1470"/>
      <c r="O68" s="1470"/>
      <c r="P68" s="1406">
        <f>P69+P70</f>
        <v>80</v>
      </c>
      <c r="Q68" s="1470"/>
      <c r="R68" s="1406">
        <f>R69+R70</f>
        <v>80</v>
      </c>
      <c r="S68" s="1470"/>
      <c r="T68" s="1470"/>
      <c r="U68" s="1406"/>
      <c r="V68" s="1410">
        <f>K68/C68</f>
        <v>1.2560275778515659</v>
      </c>
      <c r="W68" s="1411">
        <f>L68/D68</f>
        <v>0.96926306319814082</v>
      </c>
      <c r="X68" s="1411">
        <f>M68/E68</f>
        <v>1.3794710364972875</v>
      </c>
      <c r="Y68" s="1403"/>
      <c r="Z68" s="1403"/>
      <c r="AA68" s="1403"/>
      <c r="AB68" s="1401"/>
      <c r="AC68" s="1401"/>
    </row>
    <row r="69" spans="1:29" ht="19.5" customHeight="1">
      <c r="A69" s="1472" t="s">
        <v>1566</v>
      </c>
      <c r="B69" s="1473" t="s">
        <v>1379</v>
      </c>
      <c r="C69" s="1414">
        <f>D69+E69+F69+G69+H69+I69+J69</f>
        <v>9408</v>
      </c>
      <c r="D69" s="1474"/>
      <c r="E69" s="1475">
        <v>9328</v>
      </c>
      <c r="F69" s="1475">
        <v>80</v>
      </c>
      <c r="G69" s="1475"/>
      <c r="H69" s="1475"/>
      <c r="I69" s="1475"/>
      <c r="J69" s="1475"/>
      <c r="K69" s="1417">
        <f t="shared" si="5"/>
        <v>17777</v>
      </c>
      <c r="L69" s="1477"/>
      <c r="M69" s="1474">
        <f>[2]B56!D66-R69</f>
        <v>17697</v>
      </c>
      <c r="N69" s="1477"/>
      <c r="O69" s="1477"/>
      <c r="P69" s="1414">
        <f>Q69+R69</f>
        <v>80</v>
      </c>
      <c r="Q69" s="1477"/>
      <c r="R69" s="1502">
        <f>'[2]B61 Các CTMT QG'!F22</f>
        <v>80</v>
      </c>
      <c r="S69" s="1477"/>
      <c r="T69" s="1477"/>
      <c r="U69" s="1503"/>
      <c r="V69" s="1422">
        <f t="shared" ref="V69:V74" si="13">K69/C69</f>
        <v>1.889562074829932</v>
      </c>
      <c r="W69" s="1423"/>
      <c r="X69" s="1422">
        <f>M69/E69</f>
        <v>1.8971912521440824</v>
      </c>
      <c r="Y69" s="1482"/>
      <c r="Z69" s="1482"/>
      <c r="AA69" s="1482"/>
      <c r="AB69" s="1425"/>
      <c r="AC69" s="1426"/>
    </row>
    <row r="70" spans="1:29" ht="18.75" customHeight="1">
      <c r="A70" s="1447" t="s">
        <v>1567</v>
      </c>
      <c r="B70" s="1483" t="s">
        <v>1380</v>
      </c>
      <c r="C70" s="1414">
        <f>D70+E70+F70+G70+H70+I70+J70</f>
        <v>35164</v>
      </c>
      <c r="D70" s="1449">
        <f>[2]B55!C19</f>
        <v>13339</v>
      </c>
      <c r="E70" s="1450">
        <v>21825</v>
      </c>
      <c r="F70" s="1450"/>
      <c r="G70" s="1450"/>
      <c r="H70" s="1450"/>
      <c r="I70" s="1450"/>
      <c r="J70" s="1450"/>
      <c r="K70" s="1462">
        <f t="shared" si="5"/>
        <v>38206.661199999995</v>
      </c>
      <c r="L70" s="1451">
        <f>[2]B55!D19</f>
        <v>12929</v>
      </c>
      <c r="M70" s="1449">
        <f>[2]B56!D67</f>
        <v>25277.661199999995</v>
      </c>
      <c r="N70" s="1452"/>
      <c r="O70" s="1452"/>
      <c r="P70" s="1484"/>
      <c r="Q70" s="1452"/>
      <c r="R70" s="1452"/>
      <c r="S70" s="1452"/>
      <c r="T70" s="1452"/>
      <c r="U70" s="1449"/>
      <c r="V70" s="1422">
        <f t="shared" si="13"/>
        <v>1.0865277329086565</v>
      </c>
      <c r="W70" s="1422">
        <f>L70/D70</f>
        <v>0.96926306319814082</v>
      </c>
      <c r="X70" s="1422">
        <f>M70/E70</f>
        <v>1.1581975349369986</v>
      </c>
      <c r="Y70" s="1454"/>
      <c r="Z70" s="1454"/>
      <c r="AA70" s="1454"/>
      <c r="AB70" s="1455"/>
      <c r="AC70" s="1466"/>
    </row>
    <row r="71" spans="1:29" ht="21" customHeight="1">
      <c r="A71" s="1404">
        <v>6</v>
      </c>
      <c r="B71" s="1405" t="s">
        <v>1521</v>
      </c>
      <c r="C71" s="1408">
        <f>SUM(C72:C97)</f>
        <v>231538</v>
      </c>
      <c r="D71" s="1408">
        <f>SUM(D72:D97)</f>
        <v>29047</v>
      </c>
      <c r="E71" s="1408">
        <f>SUM(E72:E97)</f>
        <v>202491</v>
      </c>
      <c r="F71" s="1408"/>
      <c r="G71" s="1408"/>
      <c r="H71" s="1408"/>
      <c r="I71" s="1408"/>
      <c r="J71" s="1408"/>
      <c r="K71" s="1408">
        <f>SUM(K72:K97)</f>
        <v>256046.44809600001</v>
      </c>
      <c r="L71" s="1408">
        <f>SUM(L72:L97)</f>
        <v>11917</v>
      </c>
      <c r="M71" s="1408">
        <f>SUM(M72:M97)</f>
        <v>244129.44809600001</v>
      </c>
      <c r="N71" s="1470"/>
      <c r="O71" s="1470"/>
      <c r="P71" s="1408"/>
      <c r="Q71" s="1470"/>
      <c r="R71" s="1470"/>
      <c r="S71" s="1470"/>
      <c r="T71" s="1470"/>
      <c r="U71" s="1504"/>
      <c r="V71" s="1397">
        <f t="shared" si="13"/>
        <v>1.1058506512797035</v>
      </c>
      <c r="W71" s="1411">
        <f>L71/D71</f>
        <v>0.41026612042551724</v>
      </c>
      <c r="X71" s="1411">
        <f>M71/E71</f>
        <v>1.2056311050663981</v>
      </c>
      <c r="Y71" s="1403"/>
      <c r="Z71" s="1403"/>
      <c r="AA71" s="1403"/>
      <c r="AB71" s="1401"/>
      <c r="AC71" s="1401"/>
    </row>
    <row r="72" spans="1:29" ht="24" customHeight="1">
      <c r="A72" s="1472" t="s">
        <v>1568</v>
      </c>
      <c r="B72" s="1505" t="s">
        <v>1576</v>
      </c>
      <c r="C72" s="1414">
        <f t="shared" ref="C72:C97" si="14">D72+E72+F72+G72+H72+I72+J72</f>
        <v>3000</v>
      </c>
      <c r="D72" s="1474"/>
      <c r="E72" s="1475">
        <v>3000</v>
      </c>
      <c r="F72" s="1475"/>
      <c r="G72" s="1475"/>
      <c r="H72" s="1475"/>
      <c r="I72" s="1475"/>
      <c r="J72" s="1475"/>
      <c r="K72" s="1417">
        <f t="shared" si="5"/>
        <v>3000</v>
      </c>
      <c r="L72" s="1476"/>
      <c r="M72" s="1474">
        <f>[2]B56!D69</f>
        <v>3000</v>
      </c>
      <c r="N72" s="1477"/>
      <c r="O72" s="1477"/>
      <c r="P72" s="1478"/>
      <c r="Q72" s="1477"/>
      <c r="R72" s="1477"/>
      <c r="S72" s="1477"/>
      <c r="T72" s="1477"/>
      <c r="U72" s="1506"/>
      <c r="V72" s="1481">
        <f t="shared" si="13"/>
        <v>1</v>
      </c>
      <c r="W72" s="1423"/>
      <c r="X72" s="1423"/>
      <c r="Y72" s="1482"/>
      <c r="Z72" s="1482"/>
      <c r="AA72" s="1482"/>
      <c r="AB72" s="1425"/>
      <c r="AC72" s="1426"/>
    </row>
    <row r="73" spans="1:29" ht="22.5" customHeight="1">
      <c r="A73" s="1437" t="s">
        <v>1569</v>
      </c>
      <c r="B73" s="1507" t="s">
        <v>1577</v>
      </c>
      <c r="C73" s="1414">
        <f t="shared" si="14"/>
        <v>184427</v>
      </c>
      <c r="D73" s="1429"/>
      <c r="E73" s="1439">
        <v>184427</v>
      </c>
      <c r="F73" s="1439"/>
      <c r="G73" s="1439"/>
      <c r="H73" s="1439"/>
      <c r="I73" s="1439"/>
      <c r="J73" s="1439"/>
      <c r="K73" s="1430">
        <f t="shared" si="5"/>
        <v>223123.308578</v>
      </c>
      <c r="L73" s="1440"/>
      <c r="M73" s="1429">
        <f>[2]B56!D70</f>
        <v>223123.308578</v>
      </c>
      <c r="N73" s="1432"/>
      <c r="O73" s="1432"/>
      <c r="P73" s="1492"/>
      <c r="Q73" s="1432"/>
      <c r="R73" s="1432"/>
      <c r="S73" s="1432"/>
      <c r="T73" s="1432"/>
      <c r="U73" s="1508"/>
      <c r="V73" s="1509">
        <f t="shared" si="13"/>
        <v>1.2098191077119944</v>
      </c>
      <c r="W73" s="1434"/>
      <c r="X73" s="1434"/>
      <c r="Y73" s="1435"/>
      <c r="Z73" s="1435"/>
      <c r="AA73" s="1435"/>
      <c r="AB73" s="1436"/>
      <c r="AC73" s="1436"/>
    </row>
    <row r="74" spans="1:29" ht="30" customHeight="1">
      <c r="A74" s="1437" t="s">
        <v>1585</v>
      </c>
      <c r="B74" s="1507" t="s">
        <v>1575</v>
      </c>
      <c r="C74" s="1414">
        <f t="shared" si="14"/>
        <v>10628</v>
      </c>
      <c r="D74" s="1429"/>
      <c r="E74" s="1439">
        <v>10628</v>
      </c>
      <c r="F74" s="1439"/>
      <c r="G74" s="1439"/>
      <c r="H74" s="1439"/>
      <c r="I74" s="1439"/>
      <c r="J74" s="1439"/>
      <c r="K74" s="1430">
        <f t="shared" si="5"/>
        <v>12061.435627000001</v>
      </c>
      <c r="L74" s="1440"/>
      <c r="M74" s="1429">
        <f>[2]B56!D71</f>
        <v>12061.435627000001</v>
      </c>
      <c r="N74" s="1432"/>
      <c r="O74" s="1432"/>
      <c r="P74" s="1492"/>
      <c r="Q74" s="1432"/>
      <c r="R74" s="1432"/>
      <c r="S74" s="1432"/>
      <c r="T74" s="1432"/>
      <c r="U74" s="1446"/>
      <c r="V74" s="1509">
        <f t="shared" si="13"/>
        <v>1.1348735064922846</v>
      </c>
      <c r="W74" s="1434"/>
      <c r="X74" s="1434"/>
      <c r="Y74" s="1435"/>
      <c r="Z74" s="1435"/>
      <c r="AA74" s="1435"/>
      <c r="AB74" s="1436"/>
      <c r="AC74" s="1436"/>
    </row>
    <row r="75" spans="1:29" ht="20.100000000000001" customHeight="1">
      <c r="A75" s="1437" t="s">
        <v>1586</v>
      </c>
      <c r="B75" s="1507" t="s">
        <v>1306</v>
      </c>
      <c r="C75" s="1414">
        <f t="shared" si="14"/>
        <v>5595</v>
      </c>
      <c r="D75" s="1429">
        <f>[2]B55!C23</f>
        <v>2417</v>
      </c>
      <c r="E75" s="1439">
        <v>3178</v>
      </c>
      <c r="F75" s="1439"/>
      <c r="G75" s="1439"/>
      <c r="H75" s="1439"/>
      <c r="I75" s="1439"/>
      <c r="J75" s="1439"/>
      <c r="K75" s="1430">
        <f t="shared" si="5"/>
        <v>4037.4776710000001</v>
      </c>
      <c r="L75" s="1440">
        <f>[2]B55!D23</f>
        <v>1989</v>
      </c>
      <c r="M75" s="1429">
        <f>[2]B56!D72</f>
        <v>2048.4776710000001</v>
      </c>
      <c r="N75" s="1432"/>
      <c r="O75" s="1432"/>
      <c r="P75" s="1492"/>
      <c r="Q75" s="1432"/>
      <c r="R75" s="1432"/>
      <c r="S75" s="1432"/>
      <c r="T75" s="1432"/>
      <c r="U75" s="1508"/>
      <c r="V75" s="1423"/>
      <c r="W75" s="1434"/>
      <c r="X75" s="1509">
        <f t="shared" ref="X75:X80" si="15">M75/E75</f>
        <v>0.64458076494650729</v>
      </c>
      <c r="Y75" s="1435"/>
      <c r="Z75" s="1435"/>
      <c r="AA75" s="1435"/>
      <c r="AB75" s="1436"/>
      <c r="AC75" s="1436"/>
    </row>
    <row r="76" spans="1:29" ht="20.100000000000001" customHeight="1">
      <c r="A76" s="1437" t="s">
        <v>1587</v>
      </c>
      <c r="B76" s="1507" t="s">
        <v>1583</v>
      </c>
      <c r="C76" s="1414">
        <f t="shared" si="14"/>
        <v>57</v>
      </c>
      <c r="D76" s="1429"/>
      <c r="E76" s="1439">
        <v>57</v>
      </c>
      <c r="F76" s="1439"/>
      <c r="G76" s="1439"/>
      <c r="H76" s="1439"/>
      <c r="I76" s="1439"/>
      <c r="J76" s="1439"/>
      <c r="K76" s="1430">
        <f t="shared" si="5"/>
        <v>28.458120000000001</v>
      </c>
      <c r="L76" s="1440"/>
      <c r="M76" s="1429">
        <f>[2]B56!D73</f>
        <v>28.458120000000001</v>
      </c>
      <c r="N76" s="1432"/>
      <c r="O76" s="1432"/>
      <c r="P76" s="1492"/>
      <c r="Q76" s="1432"/>
      <c r="R76" s="1432"/>
      <c r="S76" s="1432"/>
      <c r="T76" s="1432"/>
      <c r="U76" s="1508"/>
      <c r="V76" s="1434"/>
      <c r="W76" s="1434"/>
      <c r="X76" s="1509">
        <f t="shared" si="15"/>
        <v>0.49926526315789477</v>
      </c>
      <c r="Y76" s="1435"/>
      <c r="Z76" s="1435"/>
      <c r="AA76" s="1435"/>
      <c r="AB76" s="1436"/>
      <c r="AC76" s="1436"/>
    </row>
    <row r="77" spans="1:29" ht="20.100000000000001" customHeight="1">
      <c r="A77" s="1437" t="s">
        <v>1588</v>
      </c>
      <c r="B77" s="1507" t="s">
        <v>1572</v>
      </c>
      <c r="C77" s="1414">
        <f t="shared" si="14"/>
        <v>30</v>
      </c>
      <c r="D77" s="1429"/>
      <c r="E77" s="1439">
        <v>30</v>
      </c>
      <c r="F77" s="1439"/>
      <c r="G77" s="1439"/>
      <c r="H77" s="1439"/>
      <c r="I77" s="1439"/>
      <c r="J77" s="1439"/>
      <c r="K77" s="1430">
        <f t="shared" si="5"/>
        <v>50.439</v>
      </c>
      <c r="L77" s="1440"/>
      <c r="M77" s="1429">
        <f>[2]B56!D74</f>
        <v>50.439</v>
      </c>
      <c r="N77" s="1432"/>
      <c r="O77" s="1432"/>
      <c r="P77" s="1492"/>
      <c r="Q77" s="1432"/>
      <c r="R77" s="1432"/>
      <c r="S77" s="1432"/>
      <c r="T77" s="1432"/>
      <c r="U77" s="1446"/>
      <c r="V77" s="1434"/>
      <c r="W77" s="1434"/>
      <c r="X77" s="1509">
        <f t="shared" si="15"/>
        <v>1.6813</v>
      </c>
      <c r="Y77" s="1435"/>
      <c r="Z77" s="1435"/>
      <c r="AA77" s="1435"/>
      <c r="AB77" s="1436"/>
      <c r="AC77" s="1436"/>
    </row>
    <row r="78" spans="1:29" ht="20.100000000000001" customHeight="1">
      <c r="A78" s="1437" t="s">
        <v>1589</v>
      </c>
      <c r="B78" s="1507" t="s">
        <v>1571</v>
      </c>
      <c r="C78" s="1414">
        <f t="shared" si="14"/>
        <v>14</v>
      </c>
      <c r="D78" s="1429"/>
      <c r="E78" s="1439">
        <v>14</v>
      </c>
      <c r="F78" s="1439"/>
      <c r="G78" s="1439"/>
      <c r="H78" s="1439"/>
      <c r="I78" s="1439"/>
      <c r="J78" s="1439"/>
      <c r="K78" s="1430">
        <f t="shared" ref="K78:K111" si="16">L78+M78+N78+O78+P78+S78+U78</f>
        <v>65.040000000000006</v>
      </c>
      <c r="L78" s="1440"/>
      <c r="M78" s="1429">
        <f>[2]B56!D75</f>
        <v>65.040000000000006</v>
      </c>
      <c r="N78" s="1432"/>
      <c r="O78" s="1432"/>
      <c r="P78" s="1492"/>
      <c r="Q78" s="1432"/>
      <c r="R78" s="1432"/>
      <c r="S78" s="1432"/>
      <c r="T78" s="1432"/>
      <c r="U78" s="1508"/>
      <c r="V78" s="1434"/>
      <c r="W78" s="1434"/>
      <c r="X78" s="1509">
        <f t="shared" si="15"/>
        <v>4.6457142857142859</v>
      </c>
      <c r="Y78" s="1435"/>
      <c r="Z78" s="1435"/>
      <c r="AA78" s="1435"/>
      <c r="AB78" s="1436"/>
      <c r="AC78" s="1436"/>
    </row>
    <row r="79" spans="1:29" ht="20.100000000000001" customHeight="1">
      <c r="A79" s="1437" t="s">
        <v>1590</v>
      </c>
      <c r="B79" s="1507" t="s">
        <v>1584</v>
      </c>
      <c r="C79" s="1414">
        <f t="shared" si="14"/>
        <v>122</v>
      </c>
      <c r="D79" s="1429"/>
      <c r="E79" s="1439">
        <v>122</v>
      </c>
      <c r="F79" s="1439"/>
      <c r="G79" s="1439"/>
      <c r="H79" s="1439"/>
      <c r="I79" s="1439"/>
      <c r="J79" s="1439"/>
      <c r="K79" s="1430">
        <f t="shared" si="16"/>
        <v>200.2251</v>
      </c>
      <c r="L79" s="1440"/>
      <c r="M79" s="1429">
        <f>[2]B56!D76</f>
        <v>200.2251</v>
      </c>
      <c r="N79" s="1432"/>
      <c r="O79" s="1432"/>
      <c r="P79" s="1492"/>
      <c r="Q79" s="1432"/>
      <c r="R79" s="1432"/>
      <c r="S79" s="1432"/>
      <c r="T79" s="1432"/>
      <c r="U79" s="1508"/>
      <c r="V79" s="1434"/>
      <c r="W79" s="1434"/>
      <c r="X79" s="1509">
        <f t="shared" si="15"/>
        <v>1.6411893442622951</v>
      </c>
      <c r="Y79" s="1435"/>
      <c r="Z79" s="1435"/>
      <c r="AA79" s="1435"/>
      <c r="AB79" s="1436"/>
      <c r="AC79" s="1436"/>
    </row>
    <row r="80" spans="1:29" ht="20.100000000000001" customHeight="1">
      <c r="A80" s="1437" t="s">
        <v>1591</v>
      </c>
      <c r="B80" s="1507" t="s">
        <v>1578</v>
      </c>
      <c r="C80" s="1414">
        <f t="shared" si="14"/>
        <v>19</v>
      </c>
      <c r="D80" s="1429"/>
      <c r="E80" s="1439">
        <v>19</v>
      </c>
      <c r="F80" s="1439"/>
      <c r="G80" s="1439"/>
      <c r="H80" s="1439"/>
      <c r="I80" s="1439"/>
      <c r="J80" s="1439"/>
      <c r="K80" s="1430">
        <f t="shared" si="16"/>
        <v>30.2</v>
      </c>
      <c r="L80" s="1440"/>
      <c r="M80" s="1429">
        <f>[2]B56!D77</f>
        <v>30.2</v>
      </c>
      <c r="N80" s="1432"/>
      <c r="O80" s="1432"/>
      <c r="P80" s="1492"/>
      <c r="Q80" s="1432"/>
      <c r="R80" s="1432"/>
      <c r="S80" s="1432"/>
      <c r="T80" s="1432"/>
      <c r="U80" s="1508"/>
      <c r="V80" s="1434"/>
      <c r="W80" s="1434"/>
      <c r="X80" s="1509">
        <f t="shared" si="15"/>
        <v>1.5894736842105264</v>
      </c>
      <c r="Y80" s="1435"/>
      <c r="Z80" s="1435"/>
      <c r="AA80" s="1435"/>
      <c r="AB80" s="1436"/>
      <c r="AC80" s="1436"/>
    </row>
    <row r="81" spans="1:29" ht="20.100000000000001" customHeight="1">
      <c r="A81" s="1437" t="s">
        <v>1592</v>
      </c>
      <c r="B81" s="1507" t="s">
        <v>2189</v>
      </c>
      <c r="C81" s="1414">
        <f t="shared" si="14"/>
        <v>16</v>
      </c>
      <c r="D81" s="1429"/>
      <c r="E81" s="1439">
        <v>16</v>
      </c>
      <c r="F81" s="1439"/>
      <c r="G81" s="1439"/>
      <c r="H81" s="1439"/>
      <c r="I81" s="1439"/>
      <c r="J81" s="1439"/>
      <c r="K81" s="1430">
        <f t="shared" si="16"/>
        <v>46.3</v>
      </c>
      <c r="L81" s="1440"/>
      <c r="M81" s="1429">
        <f>[2]B56!D78</f>
        <v>46.3</v>
      </c>
      <c r="N81" s="1432"/>
      <c r="O81" s="1432"/>
      <c r="P81" s="1492"/>
      <c r="Q81" s="1432"/>
      <c r="R81" s="1432"/>
      <c r="S81" s="1432"/>
      <c r="T81" s="1432"/>
      <c r="U81" s="1508"/>
      <c r="V81" s="1434"/>
      <c r="W81" s="1434"/>
      <c r="X81" s="1434"/>
      <c r="Y81" s="1435"/>
      <c r="Z81" s="1435"/>
      <c r="AA81" s="1435"/>
      <c r="AB81" s="1436"/>
      <c r="AC81" s="1436"/>
    </row>
    <row r="82" spans="1:29" ht="20.100000000000001" customHeight="1">
      <c r="A82" s="1437" t="s">
        <v>1593</v>
      </c>
      <c r="B82" s="1507" t="s">
        <v>2190</v>
      </c>
      <c r="C82" s="1414">
        <f t="shared" si="14"/>
        <v>19</v>
      </c>
      <c r="D82" s="1429"/>
      <c r="E82" s="1439">
        <v>19</v>
      </c>
      <c r="F82" s="1439"/>
      <c r="G82" s="1439"/>
      <c r="H82" s="1439"/>
      <c r="I82" s="1439"/>
      <c r="J82" s="1439"/>
      <c r="K82" s="1430">
        <f t="shared" si="16"/>
        <v>19</v>
      </c>
      <c r="L82" s="1440"/>
      <c r="M82" s="1429">
        <f>[2]B56!D79</f>
        <v>19</v>
      </c>
      <c r="N82" s="1432"/>
      <c r="O82" s="1432"/>
      <c r="P82" s="1492"/>
      <c r="Q82" s="1432"/>
      <c r="R82" s="1432"/>
      <c r="S82" s="1432"/>
      <c r="T82" s="1432"/>
      <c r="U82" s="1508"/>
      <c r="V82" s="1434"/>
      <c r="W82" s="1434"/>
      <c r="X82" s="1434"/>
      <c r="Y82" s="1435"/>
      <c r="Z82" s="1435"/>
      <c r="AA82" s="1435"/>
      <c r="AB82" s="1436"/>
      <c r="AC82" s="1436"/>
    </row>
    <row r="83" spans="1:29" ht="20.100000000000001" customHeight="1">
      <c r="A83" s="1437" t="s">
        <v>1594</v>
      </c>
      <c r="B83" s="1507" t="s">
        <v>2191</v>
      </c>
      <c r="C83" s="1414">
        <f t="shared" si="14"/>
        <v>560</v>
      </c>
      <c r="D83" s="1429"/>
      <c r="E83" s="1439">
        <v>560</v>
      </c>
      <c r="F83" s="1439"/>
      <c r="G83" s="1439"/>
      <c r="H83" s="1439"/>
      <c r="I83" s="1439"/>
      <c r="J83" s="1439"/>
      <c r="K83" s="1430">
        <f t="shared" si="16"/>
        <v>590</v>
      </c>
      <c r="L83" s="1440"/>
      <c r="M83" s="1429">
        <f>[2]B56!D80</f>
        <v>590</v>
      </c>
      <c r="N83" s="1432"/>
      <c r="O83" s="1432"/>
      <c r="P83" s="1492"/>
      <c r="Q83" s="1432"/>
      <c r="R83" s="1432"/>
      <c r="S83" s="1432"/>
      <c r="T83" s="1432"/>
      <c r="U83" s="1508"/>
      <c r="V83" s="1434"/>
      <c r="W83" s="1434"/>
      <c r="X83" s="1434"/>
      <c r="Y83" s="1435"/>
      <c r="Z83" s="1435"/>
      <c r="AA83" s="1435"/>
      <c r="AB83" s="1436"/>
      <c r="AC83" s="1436"/>
    </row>
    <row r="84" spans="1:29" ht="20.100000000000001" customHeight="1">
      <c r="A84" s="1437" t="s">
        <v>1595</v>
      </c>
      <c r="B84" s="1507" t="s">
        <v>1581</v>
      </c>
      <c r="C84" s="1414">
        <f t="shared" si="14"/>
        <v>100</v>
      </c>
      <c r="D84" s="1429"/>
      <c r="E84" s="1439">
        <v>100</v>
      </c>
      <c r="F84" s="1439"/>
      <c r="G84" s="1439"/>
      <c r="H84" s="1439"/>
      <c r="I84" s="1439"/>
      <c r="J84" s="1439"/>
      <c r="K84" s="1430">
        <f t="shared" si="16"/>
        <v>0</v>
      </c>
      <c r="L84" s="1440"/>
      <c r="M84" s="1429">
        <f>[2]B56!D81</f>
        <v>0</v>
      </c>
      <c r="N84" s="1432"/>
      <c r="O84" s="1432"/>
      <c r="P84" s="1492"/>
      <c r="Q84" s="1432"/>
      <c r="R84" s="1432"/>
      <c r="S84" s="1432"/>
      <c r="T84" s="1432"/>
      <c r="U84" s="1508"/>
      <c r="V84" s="1434"/>
      <c r="W84" s="1434"/>
      <c r="X84" s="1434"/>
      <c r="Y84" s="1435"/>
      <c r="Z84" s="1435"/>
      <c r="AA84" s="1435"/>
      <c r="AB84" s="1436"/>
      <c r="AC84" s="1436"/>
    </row>
    <row r="85" spans="1:29" ht="20.100000000000001" customHeight="1">
      <c r="A85" s="1437" t="s">
        <v>1596</v>
      </c>
      <c r="B85" s="1507" t="s">
        <v>1579</v>
      </c>
      <c r="C85" s="1414">
        <f t="shared" si="14"/>
        <v>310</v>
      </c>
      <c r="D85" s="1429"/>
      <c r="E85" s="1439">
        <v>310</v>
      </c>
      <c r="F85" s="1439"/>
      <c r="G85" s="1439"/>
      <c r="H85" s="1439"/>
      <c r="I85" s="1439"/>
      <c r="J85" s="1439"/>
      <c r="K85" s="1430">
        <f t="shared" si="16"/>
        <v>310</v>
      </c>
      <c r="L85" s="1440"/>
      <c r="M85" s="1429">
        <f>[2]B56!D82</f>
        <v>310</v>
      </c>
      <c r="N85" s="1432"/>
      <c r="O85" s="1432"/>
      <c r="P85" s="1492"/>
      <c r="Q85" s="1432"/>
      <c r="R85" s="1432"/>
      <c r="S85" s="1432"/>
      <c r="T85" s="1432"/>
      <c r="U85" s="1508"/>
      <c r="V85" s="1434"/>
      <c r="W85" s="1434"/>
      <c r="X85" s="1434"/>
      <c r="Y85" s="1435"/>
      <c r="Z85" s="1435"/>
      <c r="AA85" s="1435"/>
      <c r="AB85" s="1436"/>
      <c r="AC85" s="1436"/>
    </row>
    <row r="86" spans="1:29" ht="20.100000000000001" customHeight="1">
      <c r="A86" s="1437" t="s">
        <v>1597</v>
      </c>
      <c r="B86" s="1507" t="s">
        <v>1580</v>
      </c>
      <c r="C86" s="1414">
        <f t="shared" si="14"/>
        <v>11</v>
      </c>
      <c r="D86" s="1429"/>
      <c r="E86" s="1439">
        <v>11</v>
      </c>
      <c r="F86" s="1439"/>
      <c r="G86" s="1439"/>
      <c r="H86" s="1439"/>
      <c r="I86" s="1439"/>
      <c r="J86" s="1439"/>
      <c r="K86" s="1430">
        <f t="shared" si="16"/>
        <v>11</v>
      </c>
      <c r="L86" s="1440"/>
      <c r="M86" s="1429">
        <f>[2]B56!D83</f>
        <v>11</v>
      </c>
      <c r="N86" s="1432"/>
      <c r="O86" s="1432"/>
      <c r="P86" s="1492"/>
      <c r="Q86" s="1432"/>
      <c r="R86" s="1432"/>
      <c r="S86" s="1432"/>
      <c r="T86" s="1432"/>
      <c r="U86" s="1508"/>
      <c r="V86" s="1434"/>
      <c r="W86" s="1434"/>
      <c r="X86" s="1434"/>
      <c r="Y86" s="1435"/>
      <c r="Z86" s="1435"/>
      <c r="AA86" s="1435"/>
      <c r="AB86" s="1436"/>
      <c r="AC86" s="1436"/>
    </row>
    <row r="87" spans="1:29" ht="20.100000000000001" customHeight="1">
      <c r="A87" s="1437" t="s">
        <v>1598</v>
      </c>
      <c r="B87" s="1510" t="s">
        <v>2192</v>
      </c>
      <c r="C87" s="1414">
        <f t="shared" si="14"/>
        <v>0</v>
      </c>
      <c r="D87" s="1429"/>
      <c r="E87" s="1439"/>
      <c r="F87" s="1439"/>
      <c r="G87" s="1439"/>
      <c r="H87" s="1439"/>
      <c r="I87" s="1439"/>
      <c r="J87" s="1439"/>
      <c r="K87" s="1430">
        <f t="shared" si="16"/>
        <v>10</v>
      </c>
      <c r="L87" s="1440"/>
      <c r="M87" s="1429">
        <f>[2]B56!D84</f>
        <v>10</v>
      </c>
      <c r="N87" s="1432"/>
      <c r="O87" s="1432"/>
      <c r="P87" s="1492"/>
      <c r="Q87" s="1432"/>
      <c r="R87" s="1432"/>
      <c r="S87" s="1432"/>
      <c r="T87" s="1432"/>
      <c r="U87" s="1508"/>
      <c r="V87" s="1434"/>
      <c r="W87" s="1434"/>
      <c r="X87" s="1434"/>
      <c r="Y87" s="1435"/>
      <c r="Z87" s="1435"/>
      <c r="AA87" s="1435"/>
      <c r="AB87" s="1436"/>
      <c r="AC87" s="1436"/>
    </row>
    <row r="88" spans="1:29" ht="20.100000000000001" customHeight="1">
      <c r="A88" s="1437" t="s">
        <v>1599</v>
      </c>
      <c r="B88" s="1510" t="s">
        <v>1574</v>
      </c>
      <c r="C88" s="1414">
        <f t="shared" si="14"/>
        <v>0</v>
      </c>
      <c r="D88" s="1429"/>
      <c r="E88" s="1439"/>
      <c r="F88" s="1439"/>
      <c r="G88" s="1439"/>
      <c r="H88" s="1439"/>
      <c r="I88" s="1439"/>
      <c r="J88" s="1439"/>
      <c r="K88" s="1430">
        <f t="shared" si="16"/>
        <v>1360</v>
      </c>
      <c r="L88" s="1440"/>
      <c r="M88" s="1429">
        <f>[2]B56!D85</f>
        <v>1360</v>
      </c>
      <c r="N88" s="1432"/>
      <c r="O88" s="1432"/>
      <c r="P88" s="1492"/>
      <c r="Q88" s="1432"/>
      <c r="R88" s="1432"/>
      <c r="S88" s="1432"/>
      <c r="T88" s="1432"/>
      <c r="U88" s="1508"/>
      <c r="V88" s="1434"/>
      <c r="W88" s="1434"/>
      <c r="X88" s="1434"/>
      <c r="Y88" s="1435"/>
      <c r="Z88" s="1435"/>
      <c r="AA88" s="1435"/>
      <c r="AB88" s="1436"/>
      <c r="AC88" s="1436"/>
    </row>
    <row r="89" spans="1:29" ht="20.100000000000001" customHeight="1">
      <c r="A89" s="1437" t="s">
        <v>1600</v>
      </c>
      <c r="B89" s="1510" t="s">
        <v>2193</v>
      </c>
      <c r="C89" s="1414">
        <f t="shared" si="14"/>
        <v>0</v>
      </c>
      <c r="D89" s="1429"/>
      <c r="E89" s="1439"/>
      <c r="F89" s="1439"/>
      <c r="G89" s="1439"/>
      <c r="H89" s="1439"/>
      <c r="I89" s="1439"/>
      <c r="J89" s="1439"/>
      <c r="K89" s="1430">
        <f t="shared" si="16"/>
        <v>62</v>
      </c>
      <c r="L89" s="1440"/>
      <c r="M89" s="1429">
        <f>[2]B56!D86</f>
        <v>62</v>
      </c>
      <c r="N89" s="1432"/>
      <c r="O89" s="1432"/>
      <c r="P89" s="1492"/>
      <c r="Q89" s="1432"/>
      <c r="R89" s="1432"/>
      <c r="S89" s="1432"/>
      <c r="T89" s="1432"/>
      <c r="U89" s="1508"/>
      <c r="V89" s="1434"/>
      <c r="W89" s="1434"/>
      <c r="X89" s="1434"/>
      <c r="Y89" s="1435"/>
      <c r="Z89" s="1435"/>
      <c r="AA89" s="1435"/>
      <c r="AB89" s="1436"/>
      <c r="AC89" s="1436"/>
    </row>
    <row r="90" spans="1:29" ht="20.100000000000001" customHeight="1">
      <c r="A90" s="1437" t="s">
        <v>1601</v>
      </c>
      <c r="B90" s="1510" t="s">
        <v>2194</v>
      </c>
      <c r="C90" s="1414">
        <f t="shared" si="14"/>
        <v>0</v>
      </c>
      <c r="D90" s="1429"/>
      <c r="E90" s="1439"/>
      <c r="F90" s="1439"/>
      <c r="G90" s="1439"/>
      <c r="H90" s="1439"/>
      <c r="I90" s="1439"/>
      <c r="J90" s="1439"/>
      <c r="K90" s="1430">
        <f t="shared" si="16"/>
        <v>64</v>
      </c>
      <c r="L90" s="1440"/>
      <c r="M90" s="1429">
        <f>[2]B56!D87</f>
        <v>64</v>
      </c>
      <c r="N90" s="1432"/>
      <c r="O90" s="1432"/>
      <c r="P90" s="1492"/>
      <c r="Q90" s="1432"/>
      <c r="R90" s="1432"/>
      <c r="S90" s="1432"/>
      <c r="T90" s="1432"/>
      <c r="U90" s="1508"/>
      <c r="V90" s="1434"/>
      <c r="W90" s="1434"/>
      <c r="X90" s="1434"/>
      <c r="Y90" s="1435"/>
      <c r="Z90" s="1435"/>
      <c r="AA90" s="1435"/>
      <c r="AB90" s="1436"/>
      <c r="AC90" s="1436"/>
    </row>
    <row r="91" spans="1:29" ht="20.100000000000001" customHeight="1">
      <c r="A91" s="1437" t="s">
        <v>2195</v>
      </c>
      <c r="B91" s="1510" t="s">
        <v>2196</v>
      </c>
      <c r="C91" s="1414">
        <f t="shared" si="14"/>
        <v>0</v>
      </c>
      <c r="D91" s="1429"/>
      <c r="E91" s="1439"/>
      <c r="F91" s="1439"/>
      <c r="G91" s="1439"/>
      <c r="H91" s="1439"/>
      <c r="I91" s="1439"/>
      <c r="J91" s="1439"/>
      <c r="K91" s="1430">
        <f t="shared" si="16"/>
        <v>295.39999999999998</v>
      </c>
      <c r="L91" s="1440"/>
      <c r="M91" s="1429">
        <f>[2]B56!D88</f>
        <v>295.39999999999998</v>
      </c>
      <c r="N91" s="1432"/>
      <c r="O91" s="1432"/>
      <c r="P91" s="1492"/>
      <c r="Q91" s="1432"/>
      <c r="R91" s="1432"/>
      <c r="S91" s="1432"/>
      <c r="T91" s="1432"/>
      <c r="U91" s="1508"/>
      <c r="V91" s="1434"/>
      <c r="W91" s="1434"/>
      <c r="X91" s="1434"/>
      <c r="Y91" s="1435"/>
      <c r="Z91" s="1435"/>
      <c r="AA91" s="1435"/>
      <c r="AB91" s="1436"/>
      <c r="AC91" s="1436"/>
    </row>
    <row r="92" spans="1:29" ht="20.100000000000001" customHeight="1">
      <c r="A92" s="1437" t="s">
        <v>2197</v>
      </c>
      <c r="B92" s="1510" t="s">
        <v>2198</v>
      </c>
      <c r="C92" s="1414">
        <f t="shared" si="14"/>
        <v>0</v>
      </c>
      <c r="D92" s="1429"/>
      <c r="E92" s="1439"/>
      <c r="F92" s="1439"/>
      <c r="G92" s="1439"/>
      <c r="H92" s="1439"/>
      <c r="I92" s="1439"/>
      <c r="J92" s="1439"/>
      <c r="K92" s="1430">
        <f t="shared" si="16"/>
        <v>277.5</v>
      </c>
      <c r="L92" s="1440"/>
      <c r="M92" s="1429">
        <f>[2]B56!D89</f>
        <v>277.5</v>
      </c>
      <c r="N92" s="1432"/>
      <c r="O92" s="1432"/>
      <c r="P92" s="1492"/>
      <c r="Q92" s="1432"/>
      <c r="R92" s="1432"/>
      <c r="S92" s="1432"/>
      <c r="T92" s="1432"/>
      <c r="U92" s="1508"/>
      <c r="V92" s="1434"/>
      <c r="W92" s="1434"/>
      <c r="X92" s="1434"/>
      <c r="Y92" s="1435"/>
      <c r="Z92" s="1435"/>
      <c r="AA92" s="1435"/>
      <c r="AB92" s="1436"/>
      <c r="AC92" s="1436"/>
    </row>
    <row r="93" spans="1:29" ht="20.100000000000001" customHeight="1">
      <c r="A93" s="1437" t="s">
        <v>2199</v>
      </c>
      <c r="B93" s="1510" t="s">
        <v>2200</v>
      </c>
      <c r="C93" s="1414">
        <f t="shared" si="14"/>
        <v>0</v>
      </c>
      <c r="D93" s="1429"/>
      <c r="E93" s="1439"/>
      <c r="F93" s="1439"/>
      <c r="G93" s="1439"/>
      <c r="H93" s="1439"/>
      <c r="I93" s="1439"/>
      <c r="J93" s="1439"/>
      <c r="K93" s="1430">
        <f t="shared" si="16"/>
        <v>279.8</v>
      </c>
      <c r="L93" s="1440"/>
      <c r="M93" s="1429">
        <f>[2]B56!D90</f>
        <v>279.8</v>
      </c>
      <c r="N93" s="1432"/>
      <c r="O93" s="1432"/>
      <c r="P93" s="1492"/>
      <c r="Q93" s="1432"/>
      <c r="R93" s="1432"/>
      <c r="S93" s="1432"/>
      <c r="T93" s="1432"/>
      <c r="U93" s="1508"/>
      <c r="V93" s="1434"/>
      <c r="W93" s="1434"/>
      <c r="X93" s="1434"/>
      <c r="Y93" s="1435"/>
      <c r="Z93" s="1435"/>
      <c r="AA93" s="1435"/>
      <c r="AB93" s="1436"/>
      <c r="AC93" s="1436"/>
    </row>
    <row r="94" spans="1:29" ht="20.100000000000001" customHeight="1">
      <c r="A94" s="1437" t="s">
        <v>2201</v>
      </c>
      <c r="B94" s="1510" t="s">
        <v>2202</v>
      </c>
      <c r="C94" s="1414">
        <f t="shared" si="14"/>
        <v>0</v>
      </c>
      <c r="D94" s="1429"/>
      <c r="E94" s="1439"/>
      <c r="F94" s="1439"/>
      <c r="G94" s="1439"/>
      <c r="H94" s="1439"/>
      <c r="I94" s="1439"/>
      <c r="J94" s="1439"/>
      <c r="K94" s="1430">
        <f t="shared" si="16"/>
        <v>98.5</v>
      </c>
      <c r="L94" s="1440"/>
      <c r="M94" s="1429">
        <f>[2]B56!D91</f>
        <v>98.5</v>
      </c>
      <c r="N94" s="1432"/>
      <c r="O94" s="1432"/>
      <c r="P94" s="1492"/>
      <c r="Q94" s="1432"/>
      <c r="R94" s="1432"/>
      <c r="S94" s="1432"/>
      <c r="T94" s="1432"/>
      <c r="U94" s="1508"/>
      <c r="V94" s="1434"/>
      <c r="W94" s="1434"/>
      <c r="X94" s="1434"/>
      <c r="Y94" s="1435"/>
      <c r="Z94" s="1435"/>
      <c r="AA94" s="1435"/>
      <c r="AB94" s="1436"/>
      <c r="AC94" s="1436"/>
    </row>
    <row r="95" spans="1:29" ht="20.100000000000001" customHeight="1">
      <c r="A95" s="1447" t="s">
        <v>2203</v>
      </c>
      <c r="B95" s="1511" t="s">
        <v>2204</v>
      </c>
      <c r="C95" s="1420">
        <f t="shared" si="14"/>
        <v>0</v>
      </c>
      <c r="D95" s="1449"/>
      <c r="E95" s="1450"/>
      <c r="F95" s="1450"/>
      <c r="G95" s="1450"/>
      <c r="H95" s="1450"/>
      <c r="I95" s="1450"/>
      <c r="J95" s="1450"/>
      <c r="K95" s="1512">
        <f t="shared" si="16"/>
        <v>98.364000000000004</v>
      </c>
      <c r="L95" s="1451"/>
      <c r="M95" s="1449">
        <f>[2]B56!D92</f>
        <v>98.364000000000004</v>
      </c>
      <c r="N95" s="1452"/>
      <c r="O95" s="1452"/>
      <c r="P95" s="1484"/>
      <c r="Q95" s="1452"/>
      <c r="R95" s="1452"/>
      <c r="S95" s="1452"/>
      <c r="T95" s="1452"/>
      <c r="U95" s="1485"/>
      <c r="V95" s="1495"/>
      <c r="W95" s="1495"/>
      <c r="X95" s="1495"/>
      <c r="Y95" s="1454"/>
      <c r="Z95" s="1454"/>
      <c r="AA95" s="1454"/>
      <c r="AB95" s="1455"/>
      <c r="AC95" s="1436"/>
    </row>
    <row r="96" spans="1:29" ht="20.100000000000001" customHeight="1">
      <c r="A96" s="1437" t="s">
        <v>2205</v>
      </c>
      <c r="B96" s="1510" t="s">
        <v>1302</v>
      </c>
      <c r="C96" s="1430">
        <f t="shared" si="14"/>
        <v>621</v>
      </c>
      <c r="D96" s="1429">
        <f>[2]B55!C15</f>
        <v>621</v>
      </c>
      <c r="E96" s="1439"/>
      <c r="F96" s="1439"/>
      <c r="G96" s="1439"/>
      <c r="H96" s="1439"/>
      <c r="I96" s="1439"/>
      <c r="J96" s="1439"/>
      <c r="K96" s="1512">
        <f t="shared" si="16"/>
        <v>620</v>
      </c>
      <c r="L96" s="1440">
        <f>[2]B55!D15</f>
        <v>620</v>
      </c>
      <c r="M96" s="1429">
        <v>0</v>
      </c>
      <c r="N96" s="1432"/>
      <c r="O96" s="1432"/>
      <c r="P96" s="1492"/>
      <c r="Q96" s="1432"/>
      <c r="R96" s="1432"/>
      <c r="S96" s="1432"/>
      <c r="T96" s="1432"/>
      <c r="U96" s="1508"/>
      <c r="V96" s="1434"/>
      <c r="W96" s="1434"/>
      <c r="X96" s="1434"/>
      <c r="Y96" s="1435"/>
      <c r="Z96" s="1435"/>
      <c r="AA96" s="1435"/>
      <c r="AB96" s="1436"/>
      <c r="AC96" s="1436"/>
    </row>
    <row r="97" spans="1:29" ht="20.100000000000001" customHeight="1">
      <c r="A97" s="1456" t="s">
        <v>2206</v>
      </c>
      <c r="B97" s="1513" t="s">
        <v>1316</v>
      </c>
      <c r="C97" s="1414">
        <f t="shared" si="14"/>
        <v>26009</v>
      </c>
      <c r="D97" s="1458">
        <f>[2]B55!C38</f>
        <v>26009</v>
      </c>
      <c r="E97" s="1459"/>
      <c r="F97" s="1459"/>
      <c r="G97" s="1459"/>
      <c r="H97" s="1459"/>
      <c r="I97" s="1459"/>
      <c r="J97" s="1459"/>
      <c r="K97" s="1512">
        <f t="shared" si="16"/>
        <v>9308</v>
      </c>
      <c r="L97" s="1460">
        <f>[2]B55!D38</f>
        <v>9308</v>
      </c>
      <c r="M97" s="1458">
        <v>0</v>
      </c>
      <c r="N97" s="1461"/>
      <c r="O97" s="1461"/>
      <c r="P97" s="1514"/>
      <c r="Q97" s="1461"/>
      <c r="R97" s="1461"/>
      <c r="S97" s="1461"/>
      <c r="T97" s="1461"/>
      <c r="U97" s="1515"/>
      <c r="V97" s="1464"/>
      <c r="W97" s="1464"/>
      <c r="X97" s="1464"/>
      <c r="Y97" s="1465"/>
      <c r="Z97" s="1465"/>
      <c r="AA97" s="1465"/>
      <c r="AB97" s="1466"/>
      <c r="AC97" s="1467"/>
    </row>
    <row r="98" spans="1:29" ht="18" customHeight="1">
      <c r="A98" s="1404">
        <v>7</v>
      </c>
      <c r="B98" s="1516" t="s">
        <v>1524</v>
      </c>
      <c r="C98" s="1406">
        <f>SUM(C99:C106)</f>
        <v>251655</v>
      </c>
      <c r="D98" s="1406">
        <f>SUM(D99:D106)</f>
        <v>251655</v>
      </c>
      <c r="E98" s="1406">
        <f t="shared" ref="E98:J98" si="17">SUM(E99:E106)</f>
        <v>0</v>
      </c>
      <c r="F98" s="1406">
        <f t="shared" si="17"/>
        <v>0</v>
      </c>
      <c r="G98" s="1406">
        <f t="shared" si="17"/>
        <v>0</v>
      </c>
      <c r="H98" s="1406">
        <f t="shared" si="17"/>
        <v>0</v>
      </c>
      <c r="I98" s="1406">
        <f t="shared" si="17"/>
        <v>0</v>
      </c>
      <c r="J98" s="1406">
        <f t="shared" si="17"/>
        <v>0</v>
      </c>
      <c r="K98" s="1409">
        <f>SUM(K99:K106)</f>
        <v>251439.45008800001</v>
      </c>
      <c r="L98" s="1409">
        <f>SUM(L99:L106)</f>
        <v>251439.45008800001</v>
      </c>
      <c r="M98" s="1517"/>
      <c r="N98" s="1470"/>
      <c r="O98" s="1470"/>
      <c r="P98" s="1408"/>
      <c r="Q98" s="1470"/>
      <c r="R98" s="1470"/>
      <c r="S98" s="1470"/>
      <c r="T98" s="1470"/>
      <c r="U98" s="1406"/>
      <c r="V98" s="1489"/>
      <c r="W98" s="1411">
        <f>L98/D98</f>
        <v>0.99914347057678177</v>
      </c>
      <c r="X98" s="1489"/>
      <c r="Y98" s="1403"/>
      <c r="Z98" s="1403"/>
      <c r="AA98" s="1403"/>
      <c r="AB98" s="1401"/>
      <c r="AC98" s="1401"/>
    </row>
    <row r="99" spans="1:29" ht="18" customHeight="1">
      <c r="A99" s="1472" t="s">
        <v>1602</v>
      </c>
      <c r="B99" s="1518" t="s">
        <v>1299</v>
      </c>
      <c r="C99" s="1414">
        <f>D99+E99+F99+G99+H99+I99+J99</f>
        <v>138892</v>
      </c>
      <c r="D99" s="1474">
        <f>[2]B55!C9</f>
        <v>138892</v>
      </c>
      <c r="E99" s="1475"/>
      <c r="F99" s="1475"/>
      <c r="G99" s="1475"/>
      <c r="H99" s="1475"/>
      <c r="I99" s="1475"/>
      <c r="J99" s="1475"/>
      <c r="K99" s="1417">
        <f t="shared" si="16"/>
        <v>130218</v>
      </c>
      <c r="L99" s="1476">
        <f>[2]B55!D9</f>
        <v>130218</v>
      </c>
      <c r="M99" s="1474"/>
      <c r="N99" s="1477"/>
      <c r="O99" s="1477"/>
      <c r="P99" s="1478"/>
      <c r="Q99" s="1477"/>
      <c r="R99" s="1477"/>
      <c r="S99" s="1477"/>
      <c r="T99" s="1477"/>
      <c r="U99" s="1474"/>
      <c r="V99" s="1423"/>
      <c r="W99" s="1422">
        <f>L99/D99</f>
        <v>0.93754859891138442</v>
      </c>
      <c r="X99" s="1423"/>
      <c r="Y99" s="1482"/>
      <c r="Z99" s="1482"/>
      <c r="AA99" s="1482"/>
      <c r="AB99" s="1425"/>
      <c r="AC99" s="1426"/>
    </row>
    <row r="100" spans="1:29" ht="18" customHeight="1">
      <c r="A100" s="1437" t="s">
        <v>267</v>
      </c>
      <c r="B100" s="1507" t="s">
        <v>1319</v>
      </c>
      <c r="C100" s="1414">
        <f t="shared" ref="C100:C118" si="18">D100+E100+F100+G100+H100+I100+J100</f>
        <v>24990</v>
      </c>
      <c r="D100" s="1429">
        <f>[2]B55!C17+[2]B55!C40</f>
        <v>24990</v>
      </c>
      <c r="E100" s="1439"/>
      <c r="F100" s="1439"/>
      <c r="G100" s="1439"/>
      <c r="H100" s="1439"/>
      <c r="I100" s="1439"/>
      <c r="J100" s="1439"/>
      <c r="K100" s="1430">
        <f t="shared" si="16"/>
        <v>24793</v>
      </c>
      <c r="L100" s="1440">
        <f>[2]B55!D17+[2]B55!D40</f>
        <v>24793</v>
      </c>
      <c r="M100" s="1429"/>
      <c r="N100" s="1432"/>
      <c r="O100" s="1432"/>
      <c r="P100" s="1492"/>
      <c r="Q100" s="1432"/>
      <c r="R100" s="1432"/>
      <c r="S100" s="1432"/>
      <c r="T100" s="1432"/>
      <c r="U100" s="1429"/>
      <c r="V100" s="1434"/>
      <c r="W100" s="1422">
        <f t="shared" ref="W100:W106" si="19">L100/D100</f>
        <v>0.99211684673869549</v>
      </c>
      <c r="X100" s="1434"/>
      <c r="Y100" s="1435"/>
      <c r="Z100" s="1435"/>
      <c r="AA100" s="1435"/>
      <c r="AB100" s="1436"/>
      <c r="AC100" s="1436"/>
    </row>
    <row r="101" spans="1:29" ht="18" customHeight="1">
      <c r="A101" s="1437" t="s">
        <v>1603</v>
      </c>
      <c r="B101" s="1507" t="s">
        <v>1320</v>
      </c>
      <c r="C101" s="1414">
        <f t="shared" si="18"/>
        <v>8515</v>
      </c>
      <c r="D101" s="1429">
        <f>[2]B55!C41</f>
        <v>8515</v>
      </c>
      <c r="E101" s="1439"/>
      <c r="F101" s="1439"/>
      <c r="G101" s="1439"/>
      <c r="H101" s="1439"/>
      <c r="I101" s="1439"/>
      <c r="J101" s="1439"/>
      <c r="K101" s="1430">
        <f t="shared" si="16"/>
        <v>9325.5100879999991</v>
      </c>
      <c r="L101" s="1440">
        <f>[2]B55!D41</f>
        <v>9325.5100879999991</v>
      </c>
      <c r="M101" s="1429"/>
      <c r="N101" s="1432"/>
      <c r="O101" s="1432"/>
      <c r="P101" s="1492"/>
      <c r="Q101" s="1432"/>
      <c r="R101" s="1432"/>
      <c r="S101" s="1432"/>
      <c r="T101" s="1432"/>
      <c r="U101" s="1429"/>
      <c r="V101" s="1434"/>
      <c r="W101" s="1422">
        <f t="shared" si="19"/>
        <v>1.095186152436876</v>
      </c>
      <c r="X101" s="1434"/>
      <c r="Y101" s="1435"/>
      <c r="Z101" s="1435"/>
      <c r="AA101" s="1435"/>
      <c r="AB101" s="1436"/>
      <c r="AC101" s="1436"/>
    </row>
    <row r="102" spans="1:29" ht="18" customHeight="1">
      <c r="A102" s="1437" t="s">
        <v>1604</v>
      </c>
      <c r="B102" s="1507" t="s">
        <v>1321</v>
      </c>
      <c r="C102" s="1414">
        <f t="shared" si="18"/>
        <v>25950</v>
      </c>
      <c r="D102" s="1429">
        <f>[2]B55!C42</f>
        <v>25950</v>
      </c>
      <c r="E102" s="1439"/>
      <c r="F102" s="1439"/>
      <c r="G102" s="1439"/>
      <c r="H102" s="1439"/>
      <c r="I102" s="1439"/>
      <c r="J102" s="1439"/>
      <c r="K102" s="1430">
        <f t="shared" si="16"/>
        <v>30472</v>
      </c>
      <c r="L102" s="1440">
        <f>[2]B55!D42</f>
        <v>30472</v>
      </c>
      <c r="M102" s="1429"/>
      <c r="N102" s="1432"/>
      <c r="O102" s="1432"/>
      <c r="P102" s="1492"/>
      <c r="Q102" s="1432"/>
      <c r="R102" s="1432"/>
      <c r="S102" s="1432"/>
      <c r="T102" s="1432"/>
      <c r="U102" s="1429"/>
      <c r="V102" s="1434"/>
      <c r="W102" s="1422">
        <f t="shared" si="19"/>
        <v>1.1742581888246628</v>
      </c>
      <c r="X102" s="1434"/>
      <c r="Y102" s="1435"/>
      <c r="Z102" s="1435"/>
      <c r="AA102" s="1435"/>
      <c r="AB102" s="1436"/>
      <c r="AC102" s="1436"/>
    </row>
    <row r="103" spans="1:29" ht="18" customHeight="1">
      <c r="A103" s="1437" t="s">
        <v>1605</v>
      </c>
      <c r="B103" s="1507" t="s">
        <v>1322</v>
      </c>
      <c r="C103" s="1414">
        <f t="shared" si="18"/>
        <v>19039</v>
      </c>
      <c r="D103" s="1429">
        <f>[2]B55!C43</f>
        <v>19039</v>
      </c>
      <c r="E103" s="1439"/>
      <c r="F103" s="1439"/>
      <c r="G103" s="1439"/>
      <c r="H103" s="1439"/>
      <c r="I103" s="1439"/>
      <c r="J103" s="1439"/>
      <c r="K103" s="1430">
        <f t="shared" si="16"/>
        <v>17512</v>
      </c>
      <c r="L103" s="1440">
        <f>[2]B55!D43</f>
        <v>17512</v>
      </c>
      <c r="M103" s="1429"/>
      <c r="N103" s="1432"/>
      <c r="O103" s="1432"/>
      <c r="P103" s="1492"/>
      <c r="Q103" s="1432"/>
      <c r="R103" s="1432"/>
      <c r="S103" s="1432"/>
      <c r="T103" s="1432"/>
      <c r="U103" s="1429"/>
      <c r="V103" s="1434"/>
      <c r="W103" s="1422">
        <f t="shared" si="19"/>
        <v>0.91979620778402227</v>
      </c>
      <c r="X103" s="1434"/>
      <c r="Y103" s="1435"/>
      <c r="Z103" s="1435"/>
      <c r="AA103" s="1435"/>
      <c r="AB103" s="1436"/>
      <c r="AC103" s="1436"/>
    </row>
    <row r="104" spans="1:29" ht="18" customHeight="1">
      <c r="A104" s="1437" t="s">
        <v>1606</v>
      </c>
      <c r="B104" s="1507" t="s">
        <v>1323</v>
      </c>
      <c r="C104" s="1414">
        <f t="shared" si="18"/>
        <v>4694</v>
      </c>
      <c r="D104" s="1429">
        <f>[2]B55!C44</f>
        <v>4694</v>
      </c>
      <c r="E104" s="1439"/>
      <c r="F104" s="1439"/>
      <c r="G104" s="1439"/>
      <c r="H104" s="1439"/>
      <c r="I104" s="1439"/>
      <c r="J104" s="1439"/>
      <c r="K104" s="1430">
        <f t="shared" si="16"/>
        <v>7762</v>
      </c>
      <c r="L104" s="1440">
        <f>[2]B55!D44</f>
        <v>7762</v>
      </c>
      <c r="M104" s="1429"/>
      <c r="N104" s="1432"/>
      <c r="O104" s="1432"/>
      <c r="P104" s="1492"/>
      <c r="Q104" s="1432"/>
      <c r="R104" s="1432"/>
      <c r="S104" s="1432"/>
      <c r="T104" s="1432"/>
      <c r="U104" s="1429"/>
      <c r="V104" s="1434"/>
      <c r="W104" s="1422">
        <f t="shared" si="19"/>
        <v>1.6536003408606732</v>
      </c>
      <c r="X104" s="1434"/>
      <c r="Y104" s="1435"/>
      <c r="Z104" s="1435"/>
      <c r="AA104" s="1435"/>
      <c r="AB104" s="1436"/>
      <c r="AC104" s="1436"/>
    </row>
    <row r="105" spans="1:29" ht="18" customHeight="1">
      <c r="A105" s="1437" t="s">
        <v>1607</v>
      </c>
      <c r="B105" s="1507" t="s">
        <v>1324</v>
      </c>
      <c r="C105" s="1414">
        <f t="shared" si="18"/>
        <v>11893</v>
      </c>
      <c r="D105" s="1429">
        <f>[2]B55!C45</f>
        <v>11893</v>
      </c>
      <c r="E105" s="1439"/>
      <c r="F105" s="1439"/>
      <c r="G105" s="1439"/>
      <c r="H105" s="1439"/>
      <c r="I105" s="1439"/>
      <c r="J105" s="1439"/>
      <c r="K105" s="1430">
        <f t="shared" si="16"/>
        <v>12747</v>
      </c>
      <c r="L105" s="1440">
        <f>[2]B55!D45</f>
        <v>12747</v>
      </c>
      <c r="M105" s="1429"/>
      <c r="N105" s="1432"/>
      <c r="O105" s="1432"/>
      <c r="P105" s="1492"/>
      <c r="Q105" s="1432"/>
      <c r="R105" s="1432"/>
      <c r="S105" s="1432"/>
      <c r="T105" s="1432"/>
      <c r="U105" s="1429"/>
      <c r="V105" s="1434"/>
      <c r="W105" s="1422">
        <f t="shared" si="19"/>
        <v>1.0718069452619188</v>
      </c>
      <c r="X105" s="1434"/>
      <c r="Y105" s="1435"/>
      <c r="Z105" s="1435"/>
      <c r="AA105" s="1435"/>
      <c r="AB105" s="1436"/>
      <c r="AC105" s="1436"/>
    </row>
    <row r="106" spans="1:29" ht="18" customHeight="1">
      <c r="A106" s="1447" t="s">
        <v>1608</v>
      </c>
      <c r="B106" s="1519" t="s">
        <v>1325</v>
      </c>
      <c r="C106" s="1420">
        <f t="shared" si="18"/>
        <v>17682</v>
      </c>
      <c r="D106" s="1449">
        <f>[2]B55!C16+[2]B55!C46</f>
        <v>17682</v>
      </c>
      <c r="E106" s="1450"/>
      <c r="F106" s="1450"/>
      <c r="G106" s="1450"/>
      <c r="H106" s="1450"/>
      <c r="I106" s="1450"/>
      <c r="J106" s="1450"/>
      <c r="K106" s="1420">
        <f t="shared" si="16"/>
        <v>18609.940000000002</v>
      </c>
      <c r="L106" s="1451">
        <f>[2]B55!D16+[2]B55!D46</f>
        <v>18609.940000000002</v>
      </c>
      <c r="M106" s="1449"/>
      <c r="N106" s="1452"/>
      <c r="O106" s="1452"/>
      <c r="P106" s="1484"/>
      <c r="Q106" s="1452"/>
      <c r="R106" s="1452"/>
      <c r="S106" s="1452"/>
      <c r="T106" s="1452"/>
      <c r="U106" s="1449"/>
      <c r="V106" s="1495"/>
      <c r="W106" s="1422">
        <f t="shared" si="19"/>
        <v>1.0524793575387401</v>
      </c>
      <c r="X106" s="1495"/>
      <c r="Y106" s="1454"/>
      <c r="Z106" s="1454"/>
      <c r="AA106" s="1454"/>
      <c r="AB106" s="1455"/>
      <c r="AC106" s="1467"/>
    </row>
    <row r="107" spans="1:29" ht="18" customHeight="1">
      <c r="A107" s="1404">
        <v>8</v>
      </c>
      <c r="B107" s="1516" t="s">
        <v>2207</v>
      </c>
      <c r="C107" s="1408">
        <f t="shared" si="18"/>
        <v>0</v>
      </c>
      <c r="D107" s="1406">
        <f>[2]B55!C47</f>
        <v>0</v>
      </c>
      <c r="E107" s="1520">
        <v>0</v>
      </c>
      <c r="F107" s="1520">
        <v>0</v>
      </c>
      <c r="G107" s="1520">
        <v>0</v>
      </c>
      <c r="H107" s="1520">
        <v>0</v>
      </c>
      <c r="I107" s="1520">
        <v>0</v>
      </c>
      <c r="J107" s="1520">
        <v>0</v>
      </c>
      <c r="K107" s="1521">
        <f t="shared" si="16"/>
        <v>1988</v>
      </c>
      <c r="L107" s="1522">
        <f>[2]B55!D47</f>
        <v>1988</v>
      </c>
      <c r="M107" s="1517"/>
      <c r="N107" s="1470"/>
      <c r="O107" s="1470"/>
      <c r="P107" s="1408"/>
      <c r="Q107" s="1470"/>
      <c r="R107" s="1470"/>
      <c r="S107" s="1470"/>
      <c r="T107" s="1470"/>
      <c r="U107" s="1517"/>
      <c r="V107" s="1489"/>
      <c r="W107" s="1489"/>
      <c r="X107" s="1489"/>
      <c r="Y107" s="1403"/>
      <c r="Z107" s="1403"/>
      <c r="AA107" s="1403"/>
      <c r="AB107" s="1401"/>
      <c r="AC107" s="1401"/>
    </row>
    <row r="108" spans="1:29" ht="20.25" customHeight="1">
      <c r="A108" s="1404">
        <v>9</v>
      </c>
      <c r="B108" s="1523" t="s">
        <v>2208</v>
      </c>
      <c r="C108" s="1408">
        <f t="shared" si="18"/>
        <v>19693</v>
      </c>
      <c r="D108" s="1406">
        <f>[2]B55!C48</f>
        <v>19693</v>
      </c>
      <c r="E108" s="1520">
        <v>0</v>
      </c>
      <c r="F108" s="1520">
        <v>0</v>
      </c>
      <c r="G108" s="1520">
        <v>0</v>
      </c>
      <c r="H108" s="1520">
        <v>0</v>
      </c>
      <c r="I108" s="1520">
        <v>0</v>
      </c>
      <c r="J108" s="1520">
        <v>0</v>
      </c>
      <c r="K108" s="1521">
        <f t="shared" si="16"/>
        <v>0</v>
      </c>
      <c r="L108" s="1524">
        <f>[2]B55!D48</f>
        <v>0</v>
      </c>
      <c r="M108" s="1517"/>
      <c r="N108" s="1470"/>
      <c r="O108" s="1470"/>
      <c r="P108" s="1408"/>
      <c r="Q108" s="1470"/>
      <c r="R108" s="1470"/>
      <c r="S108" s="1470"/>
      <c r="T108" s="1470"/>
      <c r="U108" s="1517"/>
      <c r="V108" s="1489"/>
      <c r="W108" s="1489"/>
      <c r="X108" s="1489"/>
      <c r="Y108" s="1403"/>
      <c r="Z108" s="1403"/>
      <c r="AA108" s="1403"/>
      <c r="AB108" s="1401"/>
      <c r="AC108" s="1401"/>
    </row>
    <row r="109" spans="1:29" ht="27.75" customHeight="1">
      <c r="A109" s="1404">
        <v>10</v>
      </c>
      <c r="B109" s="1523" t="s">
        <v>2209</v>
      </c>
      <c r="C109" s="1408">
        <f t="shared" si="18"/>
        <v>2917</v>
      </c>
      <c r="D109" s="1406">
        <f>[2]B55!C49</f>
        <v>2917</v>
      </c>
      <c r="E109" s="1520">
        <v>0</v>
      </c>
      <c r="F109" s="1520">
        <v>0</v>
      </c>
      <c r="G109" s="1520">
        <v>0</v>
      </c>
      <c r="H109" s="1520">
        <v>0</v>
      </c>
      <c r="I109" s="1520">
        <v>0</v>
      </c>
      <c r="J109" s="1520">
        <v>0</v>
      </c>
      <c r="K109" s="1521">
        <f t="shared" si="16"/>
        <v>0</v>
      </c>
      <c r="L109" s="1524">
        <f>[2]B55!D49</f>
        <v>0</v>
      </c>
      <c r="M109" s="1517"/>
      <c r="N109" s="1470"/>
      <c r="O109" s="1470"/>
      <c r="P109" s="1408"/>
      <c r="Q109" s="1470"/>
      <c r="R109" s="1470"/>
      <c r="S109" s="1470"/>
      <c r="T109" s="1470"/>
      <c r="U109" s="1517"/>
      <c r="V109" s="1489"/>
      <c r="W109" s="1489"/>
      <c r="X109" s="1489"/>
      <c r="Y109" s="1403"/>
      <c r="Z109" s="1403"/>
      <c r="AA109" s="1403"/>
      <c r="AB109" s="1401"/>
      <c r="AC109" s="1401"/>
    </row>
    <row r="110" spans="1:29" ht="21" customHeight="1">
      <c r="A110" s="1404">
        <v>11</v>
      </c>
      <c r="B110" s="1523" t="s">
        <v>2210</v>
      </c>
      <c r="C110" s="1408">
        <f t="shared" si="18"/>
        <v>5500</v>
      </c>
      <c r="D110" s="1406">
        <f>[2]B55!C50</f>
        <v>5500</v>
      </c>
      <c r="E110" s="1520">
        <v>0</v>
      </c>
      <c r="F110" s="1520">
        <v>0</v>
      </c>
      <c r="G110" s="1520">
        <v>0</v>
      </c>
      <c r="H110" s="1520">
        <v>0</v>
      </c>
      <c r="I110" s="1520">
        <v>0</v>
      </c>
      <c r="J110" s="1520">
        <v>0</v>
      </c>
      <c r="K110" s="1521">
        <f t="shared" si="16"/>
        <v>0</v>
      </c>
      <c r="L110" s="1524">
        <f>[2]B55!D50</f>
        <v>0</v>
      </c>
      <c r="M110" s="1517"/>
      <c r="N110" s="1470"/>
      <c r="O110" s="1470"/>
      <c r="P110" s="1408"/>
      <c r="Q110" s="1470"/>
      <c r="R110" s="1470"/>
      <c r="S110" s="1470"/>
      <c r="T110" s="1470"/>
      <c r="U110" s="1517"/>
      <c r="V110" s="1489"/>
      <c r="W110" s="1489"/>
      <c r="X110" s="1489"/>
      <c r="Y110" s="1403"/>
      <c r="Z110" s="1403"/>
      <c r="AA110" s="1403"/>
      <c r="AB110" s="1401"/>
      <c r="AC110" s="1401"/>
    </row>
    <row r="111" spans="1:29" ht="39.75" customHeight="1">
      <c r="A111" s="1404">
        <v>12</v>
      </c>
      <c r="B111" s="1516" t="s">
        <v>2211</v>
      </c>
      <c r="C111" s="1408">
        <f t="shared" si="18"/>
        <v>8000</v>
      </c>
      <c r="D111" s="1406">
        <f>[2]B55!C51</f>
        <v>8000</v>
      </c>
      <c r="E111" s="1469">
        <v>0</v>
      </c>
      <c r="F111" s="1469">
        <v>0</v>
      </c>
      <c r="G111" s="1469">
        <v>0</v>
      </c>
      <c r="H111" s="1469">
        <v>0</v>
      </c>
      <c r="I111" s="1469">
        <v>0</v>
      </c>
      <c r="J111" s="1469">
        <v>0</v>
      </c>
      <c r="K111" s="1521">
        <f t="shared" si="16"/>
        <v>0</v>
      </c>
      <c r="L111" s="1524">
        <f>[2]B55!D51</f>
        <v>0</v>
      </c>
      <c r="M111" s="1406"/>
      <c r="N111" s="1525"/>
      <c r="O111" s="1525"/>
      <c r="P111" s="1408"/>
      <c r="Q111" s="1525"/>
      <c r="R111" s="1525"/>
      <c r="S111" s="1525"/>
      <c r="T111" s="1525"/>
      <c r="U111" s="1406"/>
      <c r="V111" s="1526"/>
      <c r="W111" s="1526"/>
      <c r="X111" s="1526"/>
      <c r="Y111" s="1527"/>
      <c r="Z111" s="1527"/>
      <c r="AA111" s="1527"/>
      <c r="AB111" s="1401"/>
      <c r="AC111" s="1401"/>
    </row>
    <row r="112" spans="1:29" ht="32.25" customHeight="1">
      <c r="A112" s="1404">
        <v>13</v>
      </c>
      <c r="B112" s="1528" t="s">
        <v>1617</v>
      </c>
      <c r="C112" s="1408">
        <f t="shared" si="18"/>
        <v>0</v>
      </c>
      <c r="D112" s="1517">
        <v>0</v>
      </c>
      <c r="E112" s="1520">
        <v>0</v>
      </c>
      <c r="F112" s="1520">
        <v>0</v>
      </c>
      <c r="G112" s="1520">
        <v>0</v>
      </c>
      <c r="H112" s="1520">
        <v>0</v>
      </c>
      <c r="I112" s="1520">
        <v>0</v>
      </c>
      <c r="J112" s="1520">
        <v>0</v>
      </c>
      <c r="K112" s="1408">
        <f>L112+M112+N112+O112+P112+S112+U112</f>
        <v>2184.4179899999999</v>
      </c>
      <c r="L112" s="1522"/>
      <c r="M112" s="1517">
        <f>[2]B56!D93</f>
        <v>2184.4179899999999</v>
      </c>
      <c r="N112" s="1470"/>
      <c r="O112" s="1470"/>
      <c r="P112" s="1408"/>
      <c r="Q112" s="1470"/>
      <c r="R112" s="1470"/>
      <c r="S112" s="1470"/>
      <c r="T112" s="1470"/>
      <c r="U112" s="1517"/>
      <c r="V112" s="1489"/>
      <c r="W112" s="1489"/>
      <c r="X112" s="1489"/>
      <c r="Y112" s="1403"/>
      <c r="Z112" s="1403"/>
      <c r="AA112" s="1403"/>
      <c r="AB112" s="1401"/>
      <c r="AC112" s="1401"/>
    </row>
    <row r="113" spans="1:29" ht="28.5" customHeight="1">
      <c r="A113" s="1392" t="s">
        <v>7</v>
      </c>
      <c r="B113" s="1402" t="s">
        <v>1615</v>
      </c>
      <c r="C113" s="1408">
        <f t="shared" si="18"/>
        <v>548</v>
      </c>
      <c r="D113" s="1517"/>
      <c r="E113" s="1488"/>
      <c r="F113" s="1488"/>
      <c r="G113" s="1517">
        <f>[2]B52!C43</f>
        <v>548</v>
      </c>
      <c r="H113" s="1488"/>
      <c r="I113" s="1488"/>
      <c r="J113" s="1488"/>
      <c r="K113" s="1396">
        <f>L113+M113+N113+O113+P113+S113+U113</f>
        <v>376.38898399999999</v>
      </c>
      <c r="L113" s="1470"/>
      <c r="M113" s="1470"/>
      <c r="N113" s="1517">
        <f>[2]B52!D43</f>
        <v>376.38898399999999</v>
      </c>
      <c r="O113" s="1470"/>
      <c r="P113" s="1470"/>
      <c r="Q113" s="1470"/>
      <c r="R113" s="1470"/>
      <c r="S113" s="1470"/>
      <c r="T113" s="1470"/>
      <c r="U113" s="1488"/>
      <c r="V113" s="1397">
        <f>K113/C113</f>
        <v>0.68684121167883205</v>
      </c>
      <c r="W113" s="1489"/>
      <c r="X113" s="1489"/>
      <c r="Y113" s="1529">
        <f>N113/G113</f>
        <v>0.68684121167883205</v>
      </c>
      <c r="Z113" s="1403"/>
      <c r="AA113" s="1403"/>
      <c r="AB113" s="1401"/>
      <c r="AC113" s="1401"/>
    </row>
    <row r="114" spans="1:29" ht="21" customHeight="1">
      <c r="A114" s="1392" t="s">
        <v>8</v>
      </c>
      <c r="B114" s="1402" t="s">
        <v>1614</v>
      </c>
      <c r="C114" s="1408">
        <f t="shared" si="18"/>
        <v>1000</v>
      </c>
      <c r="D114" s="1488"/>
      <c r="E114" s="1517"/>
      <c r="F114" s="1517"/>
      <c r="G114" s="1517"/>
      <c r="H114" s="1517">
        <f>[2]B52!C44</f>
        <v>1000</v>
      </c>
      <c r="I114" s="1517"/>
      <c r="J114" s="1517"/>
      <c r="K114" s="1396">
        <f>L114+M114+N114+O114+P114+S114+U114</f>
        <v>1000</v>
      </c>
      <c r="L114" s="1470"/>
      <c r="M114" s="1470"/>
      <c r="N114" s="1470"/>
      <c r="O114" s="1470">
        <f>[2]B52!D44</f>
        <v>1000</v>
      </c>
      <c r="P114" s="1470"/>
      <c r="Q114" s="1470"/>
      <c r="R114" s="1470"/>
      <c r="S114" s="1470"/>
      <c r="T114" s="1470"/>
      <c r="U114" s="1488"/>
      <c r="V114" s="1397">
        <f>K114/C114</f>
        <v>1</v>
      </c>
      <c r="W114" s="1489"/>
      <c r="X114" s="1489"/>
      <c r="Y114" s="1403"/>
      <c r="Z114" s="1529">
        <f>O114/H114</f>
        <v>1</v>
      </c>
      <c r="AA114" s="1403"/>
      <c r="AB114" s="1401"/>
      <c r="AC114" s="1401"/>
    </row>
    <row r="115" spans="1:29" ht="21" customHeight="1">
      <c r="A115" s="1392" t="s">
        <v>9</v>
      </c>
      <c r="B115" s="1402" t="s">
        <v>137</v>
      </c>
      <c r="C115" s="1408">
        <f t="shared" si="18"/>
        <v>35202</v>
      </c>
      <c r="D115" s="1488"/>
      <c r="E115" s="1488"/>
      <c r="F115" s="1488"/>
      <c r="G115" s="1488"/>
      <c r="H115" s="1488"/>
      <c r="I115" s="1517">
        <f>[2]B52!C45</f>
        <v>35202</v>
      </c>
      <c r="J115" s="1470"/>
      <c r="K115" s="1530">
        <f>[2]B52!D45</f>
        <v>0</v>
      </c>
      <c r="L115" s="1470"/>
      <c r="M115" s="1470"/>
      <c r="N115" s="1470"/>
      <c r="O115" s="1470"/>
      <c r="P115" s="1470"/>
      <c r="Q115" s="1470"/>
      <c r="R115" s="1470"/>
      <c r="S115" s="1470"/>
      <c r="T115" s="1470"/>
      <c r="U115" s="1488"/>
      <c r="V115" s="1531"/>
      <c r="W115" s="1489"/>
      <c r="X115" s="1489"/>
      <c r="Y115" s="1403"/>
      <c r="Z115" s="1403"/>
      <c r="AA115" s="1403"/>
      <c r="AB115" s="1401"/>
      <c r="AC115" s="1401"/>
    </row>
    <row r="116" spans="1:29" ht="24.75" customHeight="1">
      <c r="A116" s="1392" t="s">
        <v>23</v>
      </c>
      <c r="B116" s="1402" t="s">
        <v>138</v>
      </c>
      <c r="C116" s="1532">
        <v>0</v>
      </c>
      <c r="D116" s="1488"/>
      <c r="E116" s="1488"/>
      <c r="F116" s="1488"/>
      <c r="G116" s="1488"/>
      <c r="H116" s="1488"/>
      <c r="I116" s="1488"/>
      <c r="J116" s="1488"/>
      <c r="K116" s="1488">
        <v>0</v>
      </c>
      <c r="L116" s="1470"/>
      <c r="M116" s="1470"/>
      <c r="N116" s="1470"/>
      <c r="O116" s="1470"/>
      <c r="P116" s="1470"/>
      <c r="Q116" s="1470"/>
      <c r="R116" s="1470"/>
      <c r="S116" s="1470"/>
      <c r="T116" s="1470"/>
      <c r="U116" s="1488"/>
      <c r="V116" s="1531"/>
      <c r="W116" s="1489"/>
      <c r="X116" s="1489"/>
      <c r="Y116" s="1403"/>
      <c r="Z116" s="1403"/>
      <c r="AA116" s="1403"/>
      <c r="AB116" s="1401"/>
      <c r="AC116" s="1401"/>
    </row>
    <row r="117" spans="1:29" ht="24.75" customHeight="1">
      <c r="A117" s="1392" t="s">
        <v>96</v>
      </c>
      <c r="B117" s="1402" t="s">
        <v>2083</v>
      </c>
      <c r="C117" s="1521">
        <v>0</v>
      </c>
      <c r="D117" s="1488"/>
      <c r="E117" s="1488"/>
      <c r="F117" s="1488"/>
      <c r="G117" s="1488"/>
      <c r="H117" s="1488"/>
      <c r="I117" s="1488"/>
      <c r="J117" s="1488"/>
      <c r="K117" s="1396">
        <f>L117+M117+N117+O117+P117+S117+U117+T117</f>
        <v>59351.751263999999</v>
      </c>
      <c r="L117" s="1470"/>
      <c r="M117" s="1470"/>
      <c r="N117" s="1470"/>
      <c r="O117" s="1470"/>
      <c r="P117" s="1470"/>
      <c r="Q117" s="1470"/>
      <c r="R117" s="1470"/>
      <c r="S117" s="1470"/>
      <c r="T117" s="1533">
        <f>[2]B52!D47</f>
        <v>59351.751263999999</v>
      </c>
      <c r="U117" s="1488"/>
      <c r="V117" s="1531"/>
      <c r="W117" s="1489"/>
      <c r="X117" s="1489"/>
      <c r="Y117" s="1403"/>
      <c r="Z117" s="1403"/>
      <c r="AA117" s="1403"/>
      <c r="AB117" s="1401"/>
      <c r="AC117" s="1401"/>
    </row>
    <row r="118" spans="1:29" ht="27.75" customHeight="1">
      <c r="A118" s="1392" t="s">
        <v>139</v>
      </c>
      <c r="B118" s="1402" t="s">
        <v>1613</v>
      </c>
      <c r="C118" s="1396">
        <f t="shared" si="18"/>
        <v>2111242</v>
      </c>
      <c r="D118" s="1488"/>
      <c r="E118" s="1517"/>
      <c r="F118" s="1517"/>
      <c r="G118" s="1517"/>
      <c r="H118" s="1517"/>
      <c r="I118" s="1517"/>
      <c r="J118" s="1517">
        <f>[2]B52!C9</f>
        <v>2111242</v>
      </c>
      <c r="K118" s="1396">
        <f>L118+M118+N118+O118+P118+S118+U118</f>
        <v>2289806.653624</v>
      </c>
      <c r="L118" s="1488"/>
      <c r="M118" s="1488"/>
      <c r="N118" s="1488"/>
      <c r="O118" s="1488"/>
      <c r="P118" s="1488"/>
      <c r="Q118" s="1488"/>
      <c r="R118" s="1488"/>
      <c r="S118" s="1406">
        <f>[2]B52!D9</f>
        <v>2289806.653624</v>
      </c>
      <c r="T118" s="1517"/>
      <c r="U118" s="1488"/>
      <c r="V118" s="1531"/>
      <c r="W118" s="1489"/>
      <c r="X118" s="1489"/>
      <c r="Y118" s="1403"/>
      <c r="Z118" s="1403"/>
      <c r="AA118" s="1403"/>
      <c r="AB118" s="1534">
        <f>S118/J118</f>
        <v>1.0845780131429745</v>
      </c>
      <c r="AC118" s="1401"/>
    </row>
    <row r="119" spans="1:29" ht="30" customHeight="1">
      <c r="A119" s="1392" t="s">
        <v>504</v>
      </c>
      <c r="B119" s="1402" t="s">
        <v>124</v>
      </c>
      <c r="C119" s="1408">
        <v>0</v>
      </c>
      <c r="D119" s="1488"/>
      <c r="E119" s="1488"/>
      <c r="F119" s="1488"/>
      <c r="G119" s="1488"/>
      <c r="H119" s="1488"/>
      <c r="I119" s="1488"/>
      <c r="J119" s="1488"/>
      <c r="K119" s="1396">
        <f>L119+M119+N119+O119+P119+S119+U119</f>
        <v>897180.74841900019</v>
      </c>
      <c r="L119" s="1517"/>
      <c r="M119" s="1517"/>
      <c r="N119" s="1488"/>
      <c r="O119" s="1488"/>
      <c r="P119" s="1488"/>
      <c r="Q119" s="1488"/>
      <c r="R119" s="1488"/>
      <c r="S119" s="1488"/>
      <c r="T119" s="1488"/>
      <c r="U119" s="1406">
        <f>[2]B52!D48</f>
        <v>897180.74841900019</v>
      </c>
      <c r="V119" s="1531"/>
      <c r="W119" s="1489"/>
      <c r="X119" s="1489"/>
      <c r="Y119" s="1403"/>
      <c r="Z119" s="1403"/>
      <c r="AA119" s="1403"/>
      <c r="AB119" s="1401"/>
      <c r="AC119" s="1401"/>
    </row>
    <row r="120" spans="1:29" ht="14.25" customHeight="1">
      <c r="A120" s="1535"/>
      <c r="B120" s="1536"/>
      <c r="C120" s="1537"/>
      <c r="D120" s="1538"/>
      <c r="E120" s="1538"/>
      <c r="F120" s="1538"/>
      <c r="G120" s="1538"/>
      <c r="H120" s="1538"/>
      <c r="I120" s="1538"/>
      <c r="J120" s="1538"/>
      <c r="K120" s="1537"/>
      <c r="L120" s="1539"/>
      <c r="M120" s="1539"/>
      <c r="N120" s="1540"/>
      <c r="O120" s="1540"/>
      <c r="P120" s="1540"/>
      <c r="Q120" s="1540"/>
      <c r="R120" s="1540"/>
      <c r="S120" s="1540"/>
      <c r="T120" s="1540"/>
      <c r="U120" s="1540"/>
      <c r="V120" s="1540"/>
      <c r="W120" s="1540"/>
      <c r="X120" s="1540"/>
      <c r="Y120" s="1541"/>
      <c r="Z120" s="1541"/>
      <c r="AA120" s="1541"/>
    </row>
    <row r="121" spans="1:29">
      <c r="A121" s="1542"/>
    </row>
  </sheetData>
  <mergeCells count="36">
    <mergeCell ref="Z1:AC1"/>
    <mergeCell ref="W7:W8"/>
    <mergeCell ref="X7:X8"/>
    <mergeCell ref="Y7:Y8"/>
    <mergeCell ref="Z7:Z8"/>
    <mergeCell ref="AA7:AA8"/>
    <mergeCell ref="AB7:AB8"/>
    <mergeCell ref="M7:M8"/>
    <mergeCell ref="N7:N8"/>
    <mergeCell ref="AC7:AC8"/>
    <mergeCell ref="H7:H8"/>
    <mergeCell ref="A3:AC3"/>
    <mergeCell ref="O7:O8"/>
    <mergeCell ref="P7:R7"/>
    <mergeCell ref="S7:S8"/>
    <mergeCell ref="T7:T8"/>
    <mergeCell ref="U7:U8"/>
    <mergeCell ref="V7:V8"/>
    <mergeCell ref="I7:I8"/>
    <mergeCell ref="K7:K8"/>
    <mergeCell ref="A1:B1"/>
    <mergeCell ref="A2:AA2"/>
    <mergeCell ref="A4:AA4"/>
    <mergeCell ref="X5:AC5"/>
    <mergeCell ref="A6:A8"/>
    <mergeCell ref="B6:B8"/>
    <mergeCell ref="C6:J6"/>
    <mergeCell ref="K6:U6"/>
    <mergeCell ref="V6:AC6"/>
    <mergeCell ref="C7:C8"/>
    <mergeCell ref="D7:D8"/>
    <mergeCell ref="E7:E8"/>
    <mergeCell ref="F7:F8"/>
    <mergeCell ref="G7:G8"/>
    <mergeCell ref="J7:J8"/>
    <mergeCell ref="L7:L8"/>
  </mergeCells>
  <pageMargins left="0.33" right="0.33" top="0.43" bottom="0.42" header="0.3" footer="0.24"/>
  <pageSetup paperSize="8" scale="55" firstPageNumber="12" fitToHeight="0" orientation="landscape" useFirstPageNumber="1" r:id="rId1"/>
  <headerFooter>
    <oddFooter>&amp;R&amp;P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49"/>
  <sheetViews>
    <sheetView zoomScaleNormal="100" workbookViewId="0">
      <selection activeCell="V6" sqref="V6"/>
    </sheetView>
  </sheetViews>
  <sheetFormatPr defaultRowHeight="12.75"/>
  <cols>
    <col min="1" max="1" width="3" style="187" customWidth="1"/>
    <col min="2" max="2" width="25.85546875" style="187" customWidth="1"/>
    <col min="3" max="3" width="7.42578125" style="187" customWidth="1"/>
    <col min="4" max="4" width="7.5703125" style="187" customWidth="1"/>
    <col min="5" max="5" width="6.5703125" style="187" customWidth="1"/>
    <col min="6" max="6" width="6.85546875" style="187" customWidth="1"/>
    <col min="7" max="7" width="6.7109375" style="187" customWidth="1"/>
    <col min="8" max="8" width="4.7109375" style="187" customWidth="1"/>
    <col min="9" max="9" width="6.5703125" style="187" customWidth="1"/>
    <col min="10" max="11" width="5.85546875" style="187" customWidth="1"/>
    <col min="12" max="12" width="5.28515625" style="187" customWidth="1"/>
    <col min="13" max="13" width="6.140625" style="187" customWidth="1"/>
    <col min="14" max="15" width="7.42578125" style="187" customWidth="1"/>
    <col min="16" max="16" width="7.42578125" style="188" customWidth="1"/>
    <col min="17" max="17" width="6.5703125" style="188" customWidth="1"/>
    <col min="18" max="18" width="4.7109375" style="187" customWidth="1"/>
    <col min="19" max="19" width="6.7109375" style="187" customWidth="1"/>
    <col min="20" max="20" width="4.85546875" style="187" customWidth="1"/>
    <col min="21" max="256" width="9.140625" style="187"/>
    <col min="257" max="257" width="4.85546875" style="187" customWidth="1"/>
    <col min="258" max="258" width="23.85546875" style="187" customWidth="1"/>
    <col min="259" max="259" width="6.85546875" style="187" customWidth="1"/>
    <col min="260" max="260" width="6.7109375" style="187" customWidth="1"/>
    <col min="261" max="263" width="6.42578125" style="187" customWidth="1"/>
    <col min="264" max="270" width="6.85546875" style="187" customWidth="1"/>
    <col min="271" max="271" width="6.28515625" style="187" customWidth="1"/>
    <col min="272" max="272" width="7.140625" style="187" customWidth="1"/>
    <col min="273" max="273" width="7.85546875" style="187" customWidth="1"/>
    <col min="274" max="274" width="6.42578125" style="187" customWidth="1"/>
    <col min="275" max="275" width="6.7109375" style="187" customWidth="1"/>
    <col min="276" max="276" width="6.42578125" style="187" customWidth="1"/>
    <col min="277" max="512" width="9.140625" style="187"/>
    <col min="513" max="513" width="4.85546875" style="187" customWidth="1"/>
    <col min="514" max="514" width="23.85546875" style="187" customWidth="1"/>
    <col min="515" max="515" width="6.85546875" style="187" customWidth="1"/>
    <col min="516" max="516" width="6.7109375" style="187" customWidth="1"/>
    <col min="517" max="519" width="6.42578125" style="187" customWidth="1"/>
    <col min="520" max="526" width="6.85546875" style="187" customWidth="1"/>
    <col min="527" max="527" width="6.28515625" style="187" customWidth="1"/>
    <col min="528" max="528" width="7.140625" style="187" customWidth="1"/>
    <col min="529" max="529" width="7.85546875" style="187" customWidth="1"/>
    <col min="530" max="530" width="6.42578125" style="187" customWidth="1"/>
    <col min="531" max="531" width="6.7109375" style="187" customWidth="1"/>
    <col min="532" max="532" width="6.42578125" style="187" customWidth="1"/>
    <col min="533" max="768" width="9.140625" style="187"/>
    <col min="769" max="769" width="4.85546875" style="187" customWidth="1"/>
    <col min="770" max="770" width="23.85546875" style="187" customWidth="1"/>
    <col min="771" max="771" width="6.85546875" style="187" customWidth="1"/>
    <col min="772" max="772" width="6.7109375" style="187" customWidth="1"/>
    <col min="773" max="775" width="6.42578125" style="187" customWidth="1"/>
    <col min="776" max="782" width="6.85546875" style="187" customWidth="1"/>
    <col min="783" max="783" width="6.28515625" style="187" customWidth="1"/>
    <col min="784" max="784" width="7.140625" style="187" customWidth="1"/>
    <col min="785" max="785" width="7.85546875" style="187" customWidth="1"/>
    <col min="786" max="786" width="6.42578125" style="187" customWidth="1"/>
    <col min="787" max="787" width="6.7109375" style="187" customWidth="1"/>
    <col min="788" max="788" width="6.42578125" style="187" customWidth="1"/>
    <col min="789" max="1024" width="9.140625" style="187"/>
    <col min="1025" max="1025" width="4.85546875" style="187" customWidth="1"/>
    <col min="1026" max="1026" width="23.85546875" style="187" customWidth="1"/>
    <col min="1027" max="1027" width="6.85546875" style="187" customWidth="1"/>
    <col min="1028" max="1028" width="6.7109375" style="187" customWidth="1"/>
    <col min="1029" max="1031" width="6.42578125" style="187" customWidth="1"/>
    <col min="1032" max="1038" width="6.85546875" style="187" customWidth="1"/>
    <col min="1039" max="1039" width="6.28515625" style="187" customWidth="1"/>
    <col min="1040" max="1040" width="7.140625" style="187" customWidth="1"/>
    <col min="1041" max="1041" width="7.85546875" style="187" customWidth="1"/>
    <col min="1042" max="1042" width="6.42578125" style="187" customWidth="1"/>
    <col min="1043" max="1043" width="6.7109375" style="187" customWidth="1"/>
    <col min="1044" max="1044" width="6.42578125" style="187" customWidth="1"/>
    <col min="1045" max="1280" width="9.140625" style="187"/>
    <col min="1281" max="1281" width="4.85546875" style="187" customWidth="1"/>
    <col min="1282" max="1282" width="23.85546875" style="187" customWidth="1"/>
    <col min="1283" max="1283" width="6.85546875" style="187" customWidth="1"/>
    <col min="1284" max="1284" width="6.7109375" style="187" customWidth="1"/>
    <col min="1285" max="1287" width="6.42578125" style="187" customWidth="1"/>
    <col min="1288" max="1294" width="6.85546875" style="187" customWidth="1"/>
    <col min="1295" max="1295" width="6.28515625" style="187" customWidth="1"/>
    <col min="1296" max="1296" width="7.140625" style="187" customWidth="1"/>
    <col min="1297" max="1297" width="7.85546875" style="187" customWidth="1"/>
    <col min="1298" max="1298" width="6.42578125" style="187" customWidth="1"/>
    <col min="1299" max="1299" width="6.7109375" style="187" customWidth="1"/>
    <col min="1300" max="1300" width="6.42578125" style="187" customWidth="1"/>
    <col min="1301" max="1536" width="9.140625" style="187"/>
    <col min="1537" max="1537" width="4.85546875" style="187" customWidth="1"/>
    <col min="1538" max="1538" width="23.85546875" style="187" customWidth="1"/>
    <col min="1539" max="1539" width="6.85546875" style="187" customWidth="1"/>
    <col min="1540" max="1540" width="6.7109375" style="187" customWidth="1"/>
    <col min="1541" max="1543" width="6.42578125" style="187" customWidth="1"/>
    <col min="1544" max="1550" width="6.85546875" style="187" customWidth="1"/>
    <col min="1551" max="1551" width="6.28515625" style="187" customWidth="1"/>
    <col min="1552" max="1552" width="7.140625" style="187" customWidth="1"/>
    <col min="1553" max="1553" width="7.85546875" style="187" customWidth="1"/>
    <col min="1554" max="1554" width="6.42578125" style="187" customWidth="1"/>
    <col min="1555" max="1555" width="6.7109375" style="187" customWidth="1"/>
    <col min="1556" max="1556" width="6.42578125" style="187" customWidth="1"/>
    <col min="1557" max="1792" width="9.140625" style="187"/>
    <col min="1793" max="1793" width="4.85546875" style="187" customWidth="1"/>
    <col min="1794" max="1794" width="23.85546875" style="187" customWidth="1"/>
    <col min="1795" max="1795" width="6.85546875" style="187" customWidth="1"/>
    <col min="1796" max="1796" width="6.7109375" style="187" customWidth="1"/>
    <col min="1797" max="1799" width="6.42578125" style="187" customWidth="1"/>
    <col min="1800" max="1806" width="6.85546875" style="187" customWidth="1"/>
    <col min="1807" max="1807" width="6.28515625" style="187" customWidth="1"/>
    <col min="1808" max="1808" width="7.140625" style="187" customWidth="1"/>
    <col min="1809" max="1809" width="7.85546875" style="187" customWidth="1"/>
    <col min="1810" max="1810" width="6.42578125" style="187" customWidth="1"/>
    <col min="1811" max="1811" width="6.7109375" style="187" customWidth="1"/>
    <col min="1812" max="1812" width="6.42578125" style="187" customWidth="1"/>
    <col min="1813" max="2048" width="9.140625" style="187"/>
    <col min="2049" max="2049" width="4.85546875" style="187" customWidth="1"/>
    <col min="2050" max="2050" width="23.85546875" style="187" customWidth="1"/>
    <col min="2051" max="2051" width="6.85546875" style="187" customWidth="1"/>
    <col min="2052" max="2052" width="6.7109375" style="187" customWidth="1"/>
    <col min="2053" max="2055" width="6.42578125" style="187" customWidth="1"/>
    <col min="2056" max="2062" width="6.85546875" style="187" customWidth="1"/>
    <col min="2063" max="2063" width="6.28515625" style="187" customWidth="1"/>
    <col min="2064" max="2064" width="7.140625" style="187" customWidth="1"/>
    <col min="2065" max="2065" width="7.85546875" style="187" customWidth="1"/>
    <col min="2066" max="2066" width="6.42578125" style="187" customWidth="1"/>
    <col min="2067" max="2067" width="6.7109375" style="187" customWidth="1"/>
    <col min="2068" max="2068" width="6.42578125" style="187" customWidth="1"/>
    <col min="2069" max="2304" width="9.140625" style="187"/>
    <col min="2305" max="2305" width="4.85546875" style="187" customWidth="1"/>
    <col min="2306" max="2306" width="23.85546875" style="187" customWidth="1"/>
    <col min="2307" max="2307" width="6.85546875" style="187" customWidth="1"/>
    <col min="2308" max="2308" width="6.7109375" style="187" customWidth="1"/>
    <col min="2309" max="2311" width="6.42578125" style="187" customWidth="1"/>
    <col min="2312" max="2318" width="6.85546875" style="187" customWidth="1"/>
    <col min="2319" max="2319" width="6.28515625" style="187" customWidth="1"/>
    <col min="2320" max="2320" width="7.140625" style="187" customWidth="1"/>
    <col min="2321" max="2321" width="7.85546875" style="187" customWidth="1"/>
    <col min="2322" max="2322" width="6.42578125" style="187" customWidth="1"/>
    <col min="2323" max="2323" width="6.7109375" style="187" customWidth="1"/>
    <col min="2324" max="2324" width="6.42578125" style="187" customWidth="1"/>
    <col min="2325" max="2560" width="9.140625" style="187"/>
    <col min="2561" max="2561" width="4.85546875" style="187" customWidth="1"/>
    <col min="2562" max="2562" width="23.85546875" style="187" customWidth="1"/>
    <col min="2563" max="2563" width="6.85546875" style="187" customWidth="1"/>
    <col min="2564" max="2564" width="6.7109375" style="187" customWidth="1"/>
    <col min="2565" max="2567" width="6.42578125" style="187" customWidth="1"/>
    <col min="2568" max="2574" width="6.85546875" style="187" customWidth="1"/>
    <col min="2575" max="2575" width="6.28515625" style="187" customWidth="1"/>
    <col min="2576" max="2576" width="7.140625" style="187" customWidth="1"/>
    <col min="2577" max="2577" width="7.85546875" style="187" customWidth="1"/>
    <col min="2578" max="2578" width="6.42578125" style="187" customWidth="1"/>
    <col min="2579" max="2579" width="6.7109375" style="187" customWidth="1"/>
    <col min="2580" max="2580" width="6.42578125" style="187" customWidth="1"/>
    <col min="2581" max="2816" width="9.140625" style="187"/>
    <col min="2817" max="2817" width="4.85546875" style="187" customWidth="1"/>
    <col min="2818" max="2818" width="23.85546875" style="187" customWidth="1"/>
    <col min="2819" max="2819" width="6.85546875" style="187" customWidth="1"/>
    <col min="2820" max="2820" width="6.7109375" style="187" customWidth="1"/>
    <col min="2821" max="2823" width="6.42578125" style="187" customWidth="1"/>
    <col min="2824" max="2830" width="6.85546875" style="187" customWidth="1"/>
    <col min="2831" max="2831" width="6.28515625" style="187" customWidth="1"/>
    <col min="2832" max="2832" width="7.140625" style="187" customWidth="1"/>
    <col min="2833" max="2833" width="7.85546875" style="187" customWidth="1"/>
    <col min="2834" max="2834" width="6.42578125" style="187" customWidth="1"/>
    <col min="2835" max="2835" width="6.7109375" style="187" customWidth="1"/>
    <col min="2836" max="2836" width="6.42578125" style="187" customWidth="1"/>
    <col min="2837" max="3072" width="9.140625" style="187"/>
    <col min="3073" max="3073" width="4.85546875" style="187" customWidth="1"/>
    <col min="3074" max="3074" width="23.85546875" style="187" customWidth="1"/>
    <col min="3075" max="3075" width="6.85546875" style="187" customWidth="1"/>
    <col min="3076" max="3076" width="6.7109375" style="187" customWidth="1"/>
    <col min="3077" max="3079" width="6.42578125" style="187" customWidth="1"/>
    <col min="3080" max="3086" width="6.85546875" style="187" customWidth="1"/>
    <col min="3087" max="3087" width="6.28515625" style="187" customWidth="1"/>
    <col min="3088" max="3088" width="7.140625" style="187" customWidth="1"/>
    <col min="3089" max="3089" width="7.85546875" style="187" customWidth="1"/>
    <col min="3090" max="3090" width="6.42578125" style="187" customWidth="1"/>
    <col min="3091" max="3091" width="6.7109375" style="187" customWidth="1"/>
    <col min="3092" max="3092" width="6.42578125" style="187" customWidth="1"/>
    <col min="3093" max="3328" width="9.140625" style="187"/>
    <col min="3329" max="3329" width="4.85546875" style="187" customWidth="1"/>
    <col min="3330" max="3330" width="23.85546875" style="187" customWidth="1"/>
    <col min="3331" max="3331" width="6.85546875" style="187" customWidth="1"/>
    <col min="3332" max="3332" width="6.7109375" style="187" customWidth="1"/>
    <col min="3333" max="3335" width="6.42578125" style="187" customWidth="1"/>
    <col min="3336" max="3342" width="6.85546875" style="187" customWidth="1"/>
    <col min="3343" max="3343" width="6.28515625" style="187" customWidth="1"/>
    <col min="3344" max="3344" width="7.140625" style="187" customWidth="1"/>
    <col min="3345" max="3345" width="7.85546875" style="187" customWidth="1"/>
    <col min="3346" max="3346" width="6.42578125" style="187" customWidth="1"/>
    <col min="3347" max="3347" width="6.7109375" style="187" customWidth="1"/>
    <col min="3348" max="3348" width="6.42578125" style="187" customWidth="1"/>
    <col min="3349" max="3584" width="9.140625" style="187"/>
    <col min="3585" max="3585" width="4.85546875" style="187" customWidth="1"/>
    <col min="3586" max="3586" width="23.85546875" style="187" customWidth="1"/>
    <col min="3587" max="3587" width="6.85546875" style="187" customWidth="1"/>
    <col min="3588" max="3588" width="6.7109375" style="187" customWidth="1"/>
    <col min="3589" max="3591" width="6.42578125" style="187" customWidth="1"/>
    <col min="3592" max="3598" width="6.85546875" style="187" customWidth="1"/>
    <col min="3599" max="3599" width="6.28515625" style="187" customWidth="1"/>
    <col min="3600" max="3600" width="7.140625" style="187" customWidth="1"/>
    <col min="3601" max="3601" width="7.85546875" style="187" customWidth="1"/>
    <col min="3602" max="3602" width="6.42578125" style="187" customWidth="1"/>
    <col min="3603" max="3603" width="6.7109375" style="187" customWidth="1"/>
    <col min="3604" max="3604" width="6.42578125" style="187" customWidth="1"/>
    <col min="3605" max="3840" width="9.140625" style="187"/>
    <col min="3841" max="3841" width="4.85546875" style="187" customWidth="1"/>
    <col min="3842" max="3842" width="23.85546875" style="187" customWidth="1"/>
    <col min="3843" max="3843" width="6.85546875" style="187" customWidth="1"/>
    <col min="3844" max="3844" width="6.7109375" style="187" customWidth="1"/>
    <col min="3845" max="3847" width="6.42578125" style="187" customWidth="1"/>
    <col min="3848" max="3854" width="6.85546875" style="187" customWidth="1"/>
    <col min="3855" max="3855" width="6.28515625" style="187" customWidth="1"/>
    <col min="3856" max="3856" width="7.140625" style="187" customWidth="1"/>
    <col min="3857" max="3857" width="7.85546875" style="187" customWidth="1"/>
    <col min="3858" max="3858" width="6.42578125" style="187" customWidth="1"/>
    <col min="3859" max="3859" width="6.7109375" style="187" customWidth="1"/>
    <col min="3860" max="3860" width="6.42578125" style="187" customWidth="1"/>
    <col min="3861" max="4096" width="9.140625" style="187"/>
    <col min="4097" max="4097" width="4.85546875" style="187" customWidth="1"/>
    <col min="4098" max="4098" width="23.85546875" style="187" customWidth="1"/>
    <col min="4099" max="4099" width="6.85546875" style="187" customWidth="1"/>
    <col min="4100" max="4100" width="6.7109375" style="187" customWidth="1"/>
    <col min="4101" max="4103" width="6.42578125" style="187" customWidth="1"/>
    <col min="4104" max="4110" width="6.85546875" style="187" customWidth="1"/>
    <col min="4111" max="4111" width="6.28515625" style="187" customWidth="1"/>
    <col min="4112" max="4112" width="7.140625" style="187" customWidth="1"/>
    <col min="4113" max="4113" width="7.85546875" style="187" customWidth="1"/>
    <col min="4114" max="4114" width="6.42578125" style="187" customWidth="1"/>
    <col min="4115" max="4115" width="6.7109375" style="187" customWidth="1"/>
    <col min="4116" max="4116" width="6.42578125" style="187" customWidth="1"/>
    <col min="4117" max="4352" width="9.140625" style="187"/>
    <col min="4353" max="4353" width="4.85546875" style="187" customWidth="1"/>
    <col min="4354" max="4354" width="23.85546875" style="187" customWidth="1"/>
    <col min="4355" max="4355" width="6.85546875" style="187" customWidth="1"/>
    <col min="4356" max="4356" width="6.7109375" style="187" customWidth="1"/>
    <col min="4357" max="4359" width="6.42578125" style="187" customWidth="1"/>
    <col min="4360" max="4366" width="6.85546875" style="187" customWidth="1"/>
    <col min="4367" max="4367" width="6.28515625" style="187" customWidth="1"/>
    <col min="4368" max="4368" width="7.140625" style="187" customWidth="1"/>
    <col min="4369" max="4369" width="7.85546875" style="187" customWidth="1"/>
    <col min="4370" max="4370" width="6.42578125" style="187" customWidth="1"/>
    <col min="4371" max="4371" width="6.7109375" style="187" customWidth="1"/>
    <col min="4372" max="4372" width="6.42578125" style="187" customWidth="1"/>
    <col min="4373" max="4608" width="9.140625" style="187"/>
    <col min="4609" max="4609" width="4.85546875" style="187" customWidth="1"/>
    <col min="4610" max="4610" width="23.85546875" style="187" customWidth="1"/>
    <col min="4611" max="4611" width="6.85546875" style="187" customWidth="1"/>
    <col min="4612" max="4612" width="6.7109375" style="187" customWidth="1"/>
    <col min="4613" max="4615" width="6.42578125" style="187" customWidth="1"/>
    <col min="4616" max="4622" width="6.85546875" style="187" customWidth="1"/>
    <col min="4623" max="4623" width="6.28515625" style="187" customWidth="1"/>
    <col min="4624" max="4624" width="7.140625" style="187" customWidth="1"/>
    <col min="4625" max="4625" width="7.85546875" style="187" customWidth="1"/>
    <col min="4626" max="4626" width="6.42578125" style="187" customWidth="1"/>
    <col min="4627" max="4627" width="6.7109375" style="187" customWidth="1"/>
    <col min="4628" max="4628" width="6.42578125" style="187" customWidth="1"/>
    <col min="4629" max="4864" width="9.140625" style="187"/>
    <col min="4865" max="4865" width="4.85546875" style="187" customWidth="1"/>
    <col min="4866" max="4866" width="23.85546875" style="187" customWidth="1"/>
    <col min="4867" max="4867" width="6.85546875" style="187" customWidth="1"/>
    <col min="4868" max="4868" width="6.7109375" style="187" customWidth="1"/>
    <col min="4869" max="4871" width="6.42578125" style="187" customWidth="1"/>
    <col min="4872" max="4878" width="6.85546875" style="187" customWidth="1"/>
    <col min="4879" max="4879" width="6.28515625" style="187" customWidth="1"/>
    <col min="4880" max="4880" width="7.140625" style="187" customWidth="1"/>
    <col min="4881" max="4881" width="7.85546875" style="187" customWidth="1"/>
    <col min="4882" max="4882" width="6.42578125" style="187" customWidth="1"/>
    <col min="4883" max="4883" width="6.7109375" style="187" customWidth="1"/>
    <col min="4884" max="4884" width="6.42578125" style="187" customWidth="1"/>
    <col min="4885" max="5120" width="9.140625" style="187"/>
    <col min="5121" max="5121" width="4.85546875" style="187" customWidth="1"/>
    <col min="5122" max="5122" width="23.85546875" style="187" customWidth="1"/>
    <col min="5123" max="5123" width="6.85546875" style="187" customWidth="1"/>
    <col min="5124" max="5124" width="6.7109375" style="187" customWidth="1"/>
    <col min="5125" max="5127" width="6.42578125" style="187" customWidth="1"/>
    <col min="5128" max="5134" width="6.85546875" style="187" customWidth="1"/>
    <col min="5135" max="5135" width="6.28515625" style="187" customWidth="1"/>
    <col min="5136" max="5136" width="7.140625" style="187" customWidth="1"/>
    <col min="5137" max="5137" width="7.85546875" style="187" customWidth="1"/>
    <col min="5138" max="5138" width="6.42578125" style="187" customWidth="1"/>
    <col min="5139" max="5139" width="6.7109375" style="187" customWidth="1"/>
    <col min="5140" max="5140" width="6.42578125" style="187" customWidth="1"/>
    <col min="5141" max="5376" width="9.140625" style="187"/>
    <col min="5377" max="5377" width="4.85546875" style="187" customWidth="1"/>
    <col min="5378" max="5378" width="23.85546875" style="187" customWidth="1"/>
    <col min="5379" max="5379" width="6.85546875" style="187" customWidth="1"/>
    <col min="5380" max="5380" width="6.7109375" style="187" customWidth="1"/>
    <col min="5381" max="5383" width="6.42578125" style="187" customWidth="1"/>
    <col min="5384" max="5390" width="6.85546875" style="187" customWidth="1"/>
    <col min="5391" max="5391" width="6.28515625" style="187" customWidth="1"/>
    <col min="5392" max="5392" width="7.140625" style="187" customWidth="1"/>
    <col min="5393" max="5393" width="7.85546875" style="187" customWidth="1"/>
    <col min="5394" max="5394" width="6.42578125" style="187" customWidth="1"/>
    <col min="5395" max="5395" width="6.7109375" style="187" customWidth="1"/>
    <col min="5396" max="5396" width="6.42578125" style="187" customWidth="1"/>
    <col min="5397" max="5632" width="9.140625" style="187"/>
    <col min="5633" max="5633" width="4.85546875" style="187" customWidth="1"/>
    <col min="5634" max="5634" width="23.85546875" style="187" customWidth="1"/>
    <col min="5635" max="5635" width="6.85546875" style="187" customWidth="1"/>
    <col min="5636" max="5636" width="6.7109375" style="187" customWidth="1"/>
    <col min="5637" max="5639" width="6.42578125" style="187" customWidth="1"/>
    <col min="5640" max="5646" width="6.85546875" style="187" customWidth="1"/>
    <col min="5647" max="5647" width="6.28515625" style="187" customWidth="1"/>
    <col min="5648" max="5648" width="7.140625" style="187" customWidth="1"/>
    <col min="5649" max="5649" width="7.85546875" style="187" customWidth="1"/>
    <col min="5650" max="5650" width="6.42578125" style="187" customWidth="1"/>
    <col min="5651" max="5651" width="6.7109375" style="187" customWidth="1"/>
    <col min="5652" max="5652" width="6.42578125" style="187" customWidth="1"/>
    <col min="5653" max="5888" width="9.140625" style="187"/>
    <col min="5889" max="5889" width="4.85546875" style="187" customWidth="1"/>
    <col min="5890" max="5890" width="23.85546875" style="187" customWidth="1"/>
    <col min="5891" max="5891" width="6.85546875" style="187" customWidth="1"/>
    <col min="5892" max="5892" width="6.7109375" style="187" customWidth="1"/>
    <col min="5893" max="5895" width="6.42578125" style="187" customWidth="1"/>
    <col min="5896" max="5902" width="6.85546875" style="187" customWidth="1"/>
    <col min="5903" max="5903" width="6.28515625" style="187" customWidth="1"/>
    <col min="5904" max="5904" width="7.140625" style="187" customWidth="1"/>
    <col min="5905" max="5905" width="7.85546875" style="187" customWidth="1"/>
    <col min="5906" max="5906" width="6.42578125" style="187" customWidth="1"/>
    <col min="5907" max="5907" width="6.7109375" style="187" customWidth="1"/>
    <col min="5908" max="5908" width="6.42578125" style="187" customWidth="1"/>
    <col min="5909" max="6144" width="9.140625" style="187"/>
    <col min="6145" max="6145" width="4.85546875" style="187" customWidth="1"/>
    <col min="6146" max="6146" width="23.85546875" style="187" customWidth="1"/>
    <col min="6147" max="6147" width="6.85546875" style="187" customWidth="1"/>
    <col min="6148" max="6148" width="6.7109375" style="187" customWidth="1"/>
    <col min="6149" max="6151" width="6.42578125" style="187" customWidth="1"/>
    <col min="6152" max="6158" width="6.85546875" style="187" customWidth="1"/>
    <col min="6159" max="6159" width="6.28515625" style="187" customWidth="1"/>
    <col min="6160" max="6160" width="7.140625" style="187" customWidth="1"/>
    <col min="6161" max="6161" width="7.85546875" style="187" customWidth="1"/>
    <col min="6162" max="6162" width="6.42578125" style="187" customWidth="1"/>
    <col min="6163" max="6163" width="6.7109375" style="187" customWidth="1"/>
    <col min="6164" max="6164" width="6.42578125" style="187" customWidth="1"/>
    <col min="6165" max="6400" width="9.140625" style="187"/>
    <col min="6401" max="6401" width="4.85546875" style="187" customWidth="1"/>
    <col min="6402" max="6402" width="23.85546875" style="187" customWidth="1"/>
    <col min="6403" max="6403" width="6.85546875" style="187" customWidth="1"/>
    <col min="6404" max="6404" width="6.7109375" style="187" customWidth="1"/>
    <col min="6405" max="6407" width="6.42578125" style="187" customWidth="1"/>
    <col min="6408" max="6414" width="6.85546875" style="187" customWidth="1"/>
    <col min="6415" max="6415" width="6.28515625" style="187" customWidth="1"/>
    <col min="6416" max="6416" width="7.140625" style="187" customWidth="1"/>
    <col min="6417" max="6417" width="7.85546875" style="187" customWidth="1"/>
    <col min="6418" max="6418" width="6.42578125" style="187" customWidth="1"/>
    <col min="6419" max="6419" width="6.7109375" style="187" customWidth="1"/>
    <col min="6420" max="6420" width="6.42578125" style="187" customWidth="1"/>
    <col min="6421" max="6656" width="9.140625" style="187"/>
    <col min="6657" max="6657" width="4.85546875" style="187" customWidth="1"/>
    <col min="6658" max="6658" width="23.85546875" style="187" customWidth="1"/>
    <col min="6659" max="6659" width="6.85546875" style="187" customWidth="1"/>
    <col min="6660" max="6660" width="6.7109375" style="187" customWidth="1"/>
    <col min="6661" max="6663" width="6.42578125" style="187" customWidth="1"/>
    <col min="6664" max="6670" width="6.85546875" style="187" customWidth="1"/>
    <col min="6671" max="6671" width="6.28515625" style="187" customWidth="1"/>
    <col min="6672" max="6672" width="7.140625" style="187" customWidth="1"/>
    <col min="6673" max="6673" width="7.85546875" style="187" customWidth="1"/>
    <col min="6674" max="6674" width="6.42578125" style="187" customWidth="1"/>
    <col min="6675" max="6675" width="6.7109375" style="187" customWidth="1"/>
    <col min="6676" max="6676" width="6.42578125" style="187" customWidth="1"/>
    <col min="6677" max="6912" width="9.140625" style="187"/>
    <col min="6913" max="6913" width="4.85546875" style="187" customWidth="1"/>
    <col min="6914" max="6914" width="23.85546875" style="187" customWidth="1"/>
    <col min="6915" max="6915" width="6.85546875" style="187" customWidth="1"/>
    <col min="6916" max="6916" width="6.7109375" style="187" customWidth="1"/>
    <col min="6917" max="6919" width="6.42578125" style="187" customWidth="1"/>
    <col min="6920" max="6926" width="6.85546875" style="187" customWidth="1"/>
    <col min="6927" max="6927" width="6.28515625" style="187" customWidth="1"/>
    <col min="6928" max="6928" width="7.140625" style="187" customWidth="1"/>
    <col min="6929" max="6929" width="7.85546875" style="187" customWidth="1"/>
    <col min="6930" max="6930" width="6.42578125" style="187" customWidth="1"/>
    <col min="6931" max="6931" width="6.7109375" style="187" customWidth="1"/>
    <col min="6932" max="6932" width="6.42578125" style="187" customWidth="1"/>
    <col min="6933" max="7168" width="9.140625" style="187"/>
    <col min="7169" max="7169" width="4.85546875" style="187" customWidth="1"/>
    <col min="7170" max="7170" width="23.85546875" style="187" customWidth="1"/>
    <col min="7171" max="7171" width="6.85546875" style="187" customWidth="1"/>
    <col min="7172" max="7172" width="6.7109375" style="187" customWidth="1"/>
    <col min="7173" max="7175" width="6.42578125" style="187" customWidth="1"/>
    <col min="7176" max="7182" width="6.85546875" style="187" customWidth="1"/>
    <col min="7183" max="7183" width="6.28515625" style="187" customWidth="1"/>
    <col min="7184" max="7184" width="7.140625" style="187" customWidth="1"/>
    <col min="7185" max="7185" width="7.85546875" style="187" customWidth="1"/>
    <col min="7186" max="7186" width="6.42578125" style="187" customWidth="1"/>
    <col min="7187" max="7187" width="6.7109375" style="187" customWidth="1"/>
    <col min="7188" max="7188" width="6.42578125" style="187" customWidth="1"/>
    <col min="7189" max="7424" width="9.140625" style="187"/>
    <col min="7425" max="7425" width="4.85546875" style="187" customWidth="1"/>
    <col min="7426" max="7426" width="23.85546875" style="187" customWidth="1"/>
    <col min="7427" max="7427" width="6.85546875" style="187" customWidth="1"/>
    <col min="7428" max="7428" width="6.7109375" style="187" customWidth="1"/>
    <col min="7429" max="7431" width="6.42578125" style="187" customWidth="1"/>
    <col min="7432" max="7438" width="6.85546875" style="187" customWidth="1"/>
    <col min="7439" max="7439" width="6.28515625" style="187" customWidth="1"/>
    <col min="7440" max="7440" width="7.140625" style="187" customWidth="1"/>
    <col min="7441" max="7441" width="7.85546875" style="187" customWidth="1"/>
    <col min="7442" max="7442" width="6.42578125" style="187" customWidth="1"/>
    <col min="7443" max="7443" width="6.7109375" style="187" customWidth="1"/>
    <col min="7444" max="7444" width="6.42578125" style="187" customWidth="1"/>
    <col min="7445" max="7680" width="9.140625" style="187"/>
    <col min="7681" max="7681" width="4.85546875" style="187" customWidth="1"/>
    <col min="7682" max="7682" width="23.85546875" style="187" customWidth="1"/>
    <col min="7683" max="7683" width="6.85546875" style="187" customWidth="1"/>
    <col min="7684" max="7684" width="6.7109375" style="187" customWidth="1"/>
    <col min="7685" max="7687" width="6.42578125" style="187" customWidth="1"/>
    <col min="7688" max="7694" width="6.85546875" style="187" customWidth="1"/>
    <col min="7695" max="7695" width="6.28515625" style="187" customWidth="1"/>
    <col min="7696" max="7696" width="7.140625" style="187" customWidth="1"/>
    <col min="7697" max="7697" width="7.85546875" style="187" customWidth="1"/>
    <col min="7698" max="7698" width="6.42578125" style="187" customWidth="1"/>
    <col min="7699" max="7699" width="6.7109375" style="187" customWidth="1"/>
    <col min="7700" max="7700" width="6.42578125" style="187" customWidth="1"/>
    <col min="7701" max="7936" width="9.140625" style="187"/>
    <col min="7937" max="7937" width="4.85546875" style="187" customWidth="1"/>
    <col min="7938" max="7938" width="23.85546875" style="187" customWidth="1"/>
    <col min="7939" max="7939" width="6.85546875" style="187" customWidth="1"/>
    <col min="7940" max="7940" width="6.7109375" style="187" customWidth="1"/>
    <col min="7941" max="7943" width="6.42578125" style="187" customWidth="1"/>
    <col min="7944" max="7950" width="6.85546875" style="187" customWidth="1"/>
    <col min="7951" max="7951" width="6.28515625" style="187" customWidth="1"/>
    <col min="7952" max="7952" width="7.140625" style="187" customWidth="1"/>
    <col min="7953" max="7953" width="7.85546875" style="187" customWidth="1"/>
    <col min="7954" max="7954" width="6.42578125" style="187" customWidth="1"/>
    <col min="7955" max="7955" width="6.7109375" style="187" customWidth="1"/>
    <col min="7956" max="7956" width="6.42578125" style="187" customWidth="1"/>
    <col min="7957" max="8192" width="9.140625" style="187"/>
    <col min="8193" max="8193" width="4.85546875" style="187" customWidth="1"/>
    <col min="8194" max="8194" width="23.85546875" style="187" customWidth="1"/>
    <col min="8195" max="8195" width="6.85546875" style="187" customWidth="1"/>
    <col min="8196" max="8196" width="6.7109375" style="187" customWidth="1"/>
    <col min="8197" max="8199" width="6.42578125" style="187" customWidth="1"/>
    <col min="8200" max="8206" width="6.85546875" style="187" customWidth="1"/>
    <col min="8207" max="8207" width="6.28515625" style="187" customWidth="1"/>
    <col min="8208" max="8208" width="7.140625" style="187" customWidth="1"/>
    <col min="8209" max="8209" width="7.85546875" style="187" customWidth="1"/>
    <col min="8210" max="8210" width="6.42578125" style="187" customWidth="1"/>
    <col min="8211" max="8211" width="6.7109375" style="187" customWidth="1"/>
    <col min="8212" max="8212" width="6.42578125" style="187" customWidth="1"/>
    <col min="8213" max="8448" width="9.140625" style="187"/>
    <col min="8449" max="8449" width="4.85546875" style="187" customWidth="1"/>
    <col min="8450" max="8450" width="23.85546875" style="187" customWidth="1"/>
    <col min="8451" max="8451" width="6.85546875" style="187" customWidth="1"/>
    <col min="8452" max="8452" width="6.7109375" style="187" customWidth="1"/>
    <col min="8453" max="8455" width="6.42578125" style="187" customWidth="1"/>
    <col min="8456" max="8462" width="6.85546875" style="187" customWidth="1"/>
    <col min="8463" max="8463" width="6.28515625" style="187" customWidth="1"/>
    <col min="8464" max="8464" width="7.140625" style="187" customWidth="1"/>
    <col min="8465" max="8465" width="7.85546875" style="187" customWidth="1"/>
    <col min="8466" max="8466" width="6.42578125" style="187" customWidth="1"/>
    <col min="8467" max="8467" width="6.7109375" style="187" customWidth="1"/>
    <col min="8468" max="8468" width="6.42578125" style="187" customWidth="1"/>
    <col min="8469" max="8704" width="9.140625" style="187"/>
    <col min="8705" max="8705" width="4.85546875" style="187" customWidth="1"/>
    <col min="8706" max="8706" width="23.85546875" style="187" customWidth="1"/>
    <col min="8707" max="8707" width="6.85546875" style="187" customWidth="1"/>
    <col min="8708" max="8708" width="6.7109375" style="187" customWidth="1"/>
    <col min="8709" max="8711" width="6.42578125" style="187" customWidth="1"/>
    <col min="8712" max="8718" width="6.85546875" style="187" customWidth="1"/>
    <col min="8719" max="8719" width="6.28515625" style="187" customWidth="1"/>
    <col min="8720" max="8720" width="7.140625" style="187" customWidth="1"/>
    <col min="8721" max="8721" width="7.85546875" style="187" customWidth="1"/>
    <col min="8722" max="8722" width="6.42578125" style="187" customWidth="1"/>
    <col min="8723" max="8723" width="6.7109375" style="187" customWidth="1"/>
    <col min="8724" max="8724" width="6.42578125" style="187" customWidth="1"/>
    <col min="8725" max="8960" width="9.140625" style="187"/>
    <col min="8961" max="8961" width="4.85546875" style="187" customWidth="1"/>
    <col min="8962" max="8962" width="23.85546875" style="187" customWidth="1"/>
    <col min="8963" max="8963" width="6.85546875" style="187" customWidth="1"/>
    <col min="8964" max="8964" width="6.7109375" style="187" customWidth="1"/>
    <col min="8965" max="8967" width="6.42578125" style="187" customWidth="1"/>
    <col min="8968" max="8974" width="6.85546875" style="187" customWidth="1"/>
    <col min="8975" max="8975" width="6.28515625" style="187" customWidth="1"/>
    <col min="8976" max="8976" width="7.140625" style="187" customWidth="1"/>
    <col min="8977" max="8977" width="7.85546875" style="187" customWidth="1"/>
    <col min="8978" max="8978" width="6.42578125" style="187" customWidth="1"/>
    <col min="8979" max="8979" width="6.7109375" style="187" customWidth="1"/>
    <col min="8980" max="8980" width="6.42578125" style="187" customWidth="1"/>
    <col min="8981" max="9216" width="9.140625" style="187"/>
    <col min="9217" max="9217" width="4.85546875" style="187" customWidth="1"/>
    <col min="9218" max="9218" width="23.85546875" style="187" customWidth="1"/>
    <col min="9219" max="9219" width="6.85546875" style="187" customWidth="1"/>
    <col min="9220" max="9220" width="6.7109375" style="187" customWidth="1"/>
    <col min="9221" max="9223" width="6.42578125" style="187" customWidth="1"/>
    <col min="9224" max="9230" width="6.85546875" style="187" customWidth="1"/>
    <col min="9231" max="9231" width="6.28515625" style="187" customWidth="1"/>
    <col min="9232" max="9232" width="7.140625" style="187" customWidth="1"/>
    <col min="9233" max="9233" width="7.85546875" style="187" customWidth="1"/>
    <col min="9234" max="9234" width="6.42578125" style="187" customWidth="1"/>
    <col min="9235" max="9235" width="6.7109375" style="187" customWidth="1"/>
    <col min="9236" max="9236" width="6.42578125" style="187" customWidth="1"/>
    <col min="9237" max="9472" width="9.140625" style="187"/>
    <col min="9473" max="9473" width="4.85546875" style="187" customWidth="1"/>
    <col min="9474" max="9474" width="23.85546875" style="187" customWidth="1"/>
    <col min="9475" max="9475" width="6.85546875" style="187" customWidth="1"/>
    <col min="9476" max="9476" width="6.7109375" style="187" customWidth="1"/>
    <col min="9477" max="9479" width="6.42578125" style="187" customWidth="1"/>
    <col min="9480" max="9486" width="6.85546875" style="187" customWidth="1"/>
    <col min="9487" max="9487" width="6.28515625" style="187" customWidth="1"/>
    <col min="9488" max="9488" width="7.140625" style="187" customWidth="1"/>
    <col min="9489" max="9489" width="7.85546875" style="187" customWidth="1"/>
    <col min="9490" max="9490" width="6.42578125" style="187" customWidth="1"/>
    <col min="9491" max="9491" width="6.7109375" style="187" customWidth="1"/>
    <col min="9492" max="9492" width="6.42578125" style="187" customWidth="1"/>
    <col min="9493" max="9728" width="9.140625" style="187"/>
    <col min="9729" max="9729" width="4.85546875" style="187" customWidth="1"/>
    <col min="9730" max="9730" width="23.85546875" style="187" customWidth="1"/>
    <col min="9731" max="9731" width="6.85546875" style="187" customWidth="1"/>
    <col min="9732" max="9732" width="6.7109375" style="187" customWidth="1"/>
    <col min="9733" max="9735" width="6.42578125" style="187" customWidth="1"/>
    <col min="9736" max="9742" width="6.85546875" style="187" customWidth="1"/>
    <col min="9743" max="9743" width="6.28515625" style="187" customWidth="1"/>
    <col min="9744" max="9744" width="7.140625" style="187" customWidth="1"/>
    <col min="9745" max="9745" width="7.85546875" style="187" customWidth="1"/>
    <col min="9746" max="9746" width="6.42578125" style="187" customWidth="1"/>
    <col min="9747" max="9747" width="6.7109375" style="187" customWidth="1"/>
    <col min="9748" max="9748" width="6.42578125" style="187" customWidth="1"/>
    <col min="9749" max="9984" width="9.140625" style="187"/>
    <col min="9985" max="9985" width="4.85546875" style="187" customWidth="1"/>
    <col min="9986" max="9986" width="23.85546875" style="187" customWidth="1"/>
    <col min="9987" max="9987" width="6.85546875" style="187" customWidth="1"/>
    <col min="9988" max="9988" width="6.7109375" style="187" customWidth="1"/>
    <col min="9989" max="9991" width="6.42578125" style="187" customWidth="1"/>
    <col min="9992" max="9998" width="6.85546875" style="187" customWidth="1"/>
    <col min="9999" max="9999" width="6.28515625" style="187" customWidth="1"/>
    <col min="10000" max="10000" width="7.140625" style="187" customWidth="1"/>
    <col min="10001" max="10001" width="7.85546875" style="187" customWidth="1"/>
    <col min="10002" max="10002" width="6.42578125" style="187" customWidth="1"/>
    <col min="10003" max="10003" width="6.7109375" style="187" customWidth="1"/>
    <col min="10004" max="10004" width="6.42578125" style="187" customWidth="1"/>
    <col min="10005" max="10240" width="9.140625" style="187"/>
    <col min="10241" max="10241" width="4.85546875" style="187" customWidth="1"/>
    <col min="10242" max="10242" width="23.85546875" style="187" customWidth="1"/>
    <col min="10243" max="10243" width="6.85546875" style="187" customWidth="1"/>
    <col min="10244" max="10244" width="6.7109375" style="187" customWidth="1"/>
    <col min="10245" max="10247" width="6.42578125" style="187" customWidth="1"/>
    <col min="10248" max="10254" width="6.85546875" style="187" customWidth="1"/>
    <col min="10255" max="10255" width="6.28515625" style="187" customWidth="1"/>
    <col min="10256" max="10256" width="7.140625" style="187" customWidth="1"/>
    <col min="10257" max="10257" width="7.85546875" style="187" customWidth="1"/>
    <col min="10258" max="10258" width="6.42578125" style="187" customWidth="1"/>
    <col min="10259" max="10259" width="6.7109375" style="187" customWidth="1"/>
    <col min="10260" max="10260" width="6.42578125" style="187" customWidth="1"/>
    <col min="10261" max="10496" width="9.140625" style="187"/>
    <col min="10497" max="10497" width="4.85546875" style="187" customWidth="1"/>
    <col min="10498" max="10498" width="23.85546875" style="187" customWidth="1"/>
    <col min="10499" max="10499" width="6.85546875" style="187" customWidth="1"/>
    <col min="10500" max="10500" width="6.7109375" style="187" customWidth="1"/>
    <col min="10501" max="10503" width="6.42578125" style="187" customWidth="1"/>
    <col min="10504" max="10510" width="6.85546875" style="187" customWidth="1"/>
    <col min="10511" max="10511" width="6.28515625" style="187" customWidth="1"/>
    <col min="10512" max="10512" width="7.140625" style="187" customWidth="1"/>
    <col min="10513" max="10513" width="7.85546875" style="187" customWidth="1"/>
    <col min="10514" max="10514" width="6.42578125" style="187" customWidth="1"/>
    <col min="10515" max="10515" width="6.7109375" style="187" customWidth="1"/>
    <col min="10516" max="10516" width="6.42578125" style="187" customWidth="1"/>
    <col min="10517" max="10752" width="9.140625" style="187"/>
    <col min="10753" max="10753" width="4.85546875" style="187" customWidth="1"/>
    <col min="10754" max="10754" width="23.85546875" style="187" customWidth="1"/>
    <col min="10755" max="10755" width="6.85546875" style="187" customWidth="1"/>
    <col min="10756" max="10756" width="6.7109375" style="187" customWidth="1"/>
    <col min="10757" max="10759" width="6.42578125" style="187" customWidth="1"/>
    <col min="10760" max="10766" width="6.85546875" style="187" customWidth="1"/>
    <col min="10767" max="10767" width="6.28515625" style="187" customWidth="1"/>
    <col min="10768" max="10768" width="7.140625" style="187" customWidth="1"/>
    <col min="10769" max="10769" width="7.85546875" style="187" customWidth="1"/>
    <col min="10770" max="10770" width="6.42578125" style="187" customWidth="1"/>
    <col min="10771" max="10771" width="6.7109375" style="187" customWidth="1"/>
    <col min="10772" max="10772" width="6.42578125" style="187" customWidth="1"/>
    <col min="10773" max="11008" width="9.140625" style="187"/>
    <col min="11009" max="11009" width="4.85546875" style="187" customWidth="1"/>
    <col min="11010" max="11010" width="23.85546875" style="187" customWidth="1"/>
    <col min="11011" max="11011" width="6.85546875" style="187" customWidth="1"/>
    <col min="11012" max="11012" width="6.7109375" style="187" customWidth="1"/>
    <col min="11013" max="11015" width="6.42578125" style="187" customWidth="1"/>
    <col min="11016" max="11022" width="6.85546875" style="187" customWidth="1"/>
    <col min="11023" max="11023" width="6.28515625" style="187" customWidth="1"/>
    <col min="11024" max="11024" width="7.140625" style="187" customWidth="1"/>
    <col min="11025" max="11025" width="7.85546875" style="187" customWidth="1"/>
    <col min="11026" max="11026" width="6.42578125" style="187" customWidth="1"/>
    <col min="11027" max="11027" width="6.7109375" style="187" customWidth="1"/>
    <col min="11028" max="11028" width="6.42578125" style="187" customWidth="1"/>
    <col min="11029" max="11264" width="9.140625" style="187"/>
    <col min="11265" max="11265" width="4.85546875" style="187" customWidth="1"/>
    <col min="11266" max="11266" width="23.85546875" style="187" customWidth="1"/>
    <col min="11267" max="11267" width="6.85546875" style="187" customWidth="1"/>
    <col min="11268" max="11268" width="6.7109375" style="187" customWidth="1"/>
    <col min="11269" max="11271" width="6.42578125" style="187" customWidth="1"/>
    <col min="11272" max="11278" width="6.85546875" style="187" customWidth="1"/>
    <col min="11279" max="11279" width="6.28515625" style="187" customWidth="1"/>
    <col min="11280" max="11280" width="7.140625" style="187" customWidth="1"/>
    <col min="11281" max="11281" width="7.85546875" style="187" customWidth="1"/>
    <col min="11282" max="11282" width="6.42578125" style="187" customWidth="1"/>
    <col min="11283" max="11283" width="6.7109375" style="187" customWidth="1"/>
    <col min="11284" max="11284" width="6.42578125" style="187" customWidth="1"/>
    <col min="11285" max="11520" width="9.140625" style="187"/>
    <col min="11521" max="11521" width="4.85546875" style="187" customWidth="1"/>
    <col min="11522" max="11522" width="23.85546875" style="187" customWidth="1"/>
    <col min="11523" max="11523" width="6.85546875" style="187" customWidth="1"/>
    <col min="11524" max="11524" width="6.7109375" style="187" customWidth="1"/>
    <col min="11525" max="11527" width="6.42578125" style="187" customWidth="1"/>
    <col min="11528" max="11534" width="6.85546875" style="187" customWidth="1"/>
    <col min="11535" max="11535" width="6.28515625" style="187" customWidth="1"/>
    <col min="11536" max="11536" width="7.140625" style="187" customWidth="1"/>
    <col min="11537" max="11537" width="7.85546875" style="187" customWidth="1"/>
    <col min="11538" max="11538" width="6.42578125" style="187" customWidth="1"/>
    <col min="11539" max="11539" width="6.7109375" style="187" customWidth="1"/>
    <col min="11540" max="11540" width="6.42578125" style="187" customWidth="1"/>
    <col min="11541" max="11776" width="9.140625" style="187"/>
    <col min="11777" max="11777" width="4.85546875" style="187" customWidth="1"/>
    <col min="11778" max="11778" width="23.85546875" style="187" customWidth="1"/>
    <col min="11779" max="11779" width="6.85546875" style="187" customWidth="1"/>
    <col min="11780" max="11780" width="6.7109375" style="187" customWidth="1"/>
    <col min="11781" max="11783" width="6.42578125" style="187" customWidth="1"/>
    <col min="11784" max="11790" width="6.85546875" style="187" customWidth="1"/>
    <col min="11791" max="11791" width="6.28515625" style="187" customWidth="1"/>
    <col min="11792" max="11792" width="7.140625" style="187" customWidth="1"/>
    <col min="11793" max="11793" width="7.85546875" style="187" customWidth="1"/>
    <col min="11794" max="11794" width="6.42578125" style="187" customWidth="1"/>
    <col min="11795" max="11795" width="6.7109375" style="187" customWidth="1"/>
    <col min="11796" max="11796" width="6.42578125" style="187" customWidth="1"/>
    <col min="11797" max="12032" width="9.140625" style="187"/>
    <col min="12033" max="12033" width="4.85546875" style="187" customWidth="1"/>
    <col min="12034" max="12034" width="23.85546875" style="187" customWidth="1"/>
    <col min="12035" max="12035" width="6.85546875" style="187" customWidth="1"/>
    <col min="12036" max="12036" width="6.7109375" style="187" customWidth="1"/>
    <col min="12037" max="12039" width="6.42578125" style="187" customWidth="1"/>
    <col min="12040" max="12046" width="6.85546875" style="187" customWidth="1"/>
    <col min="12047" max="12047" width="6.28515625" style="187" customWidth="1"/>
    <col min="12048" max="12048" width="7.140625" style="187" customWidth="1"/>
    <col min="12049" max="12049" width="7.85546875" style="187" customWidth="1"/>
    <col min="12050" max="12050" width="6.42578125" style="187" customWidth="1"/>
    <col min="12051" max="12051" width="6.7109375" style="187" customWidth="1"/>
    <col min="12052" max="12052" width="6.42578125" style="187" customWidth="1"/>
    <col min="12053" max="12288" width="9.140625" style="187"/>
    <col min="12289" max="12289" width="4.85546875" style="187" customWidth="1"/>
    <col min="12290" max="12290" width="23.85546875" style="187" customWidth="1"/>
    <col min="12291" max="12291" width="6.85546875" style="187" customWidth="1"/>
    <col min="12292" max="12292" width="6.7109375" style="187" customWidth="1"/>
    <col min="12293" max="12295" width="6.42578125" style="187" customWidth="1"/>
    <col min="12296" max="12302" width="6.85546875" style="187" customWidth="1"/>
    <col min="12303" max="12303" width="6.28515625" style="187" customWidth="1"/>
    <col min="12304" max="12304" width="7.140625" style="187" customWidth="1"/>
    <col min="12305" max="12305" width="7.85546875" style="187" customWidth="1"/>
    <col min="12306" max="12306" width="6.42578125" style="187" customWidth="1"/>
    <col min="12307" max="12307" width="6.7109375" style="187" customWidth="1"/>
    <col min="12308" max="12308" width="6.42578125" style="187" customWidth="1"/>
    <col min="12309" max="12544" width="9.140625" style="187"/>
    <col min="12545" max="12545" width="4.85546875" style="187" customWidth="1"/>
    <col min="12546" max="12546" width="23.85546875" style="187" customWidth="1"/>
    <col min="12547" max="12547" width="6.85546875" style="187" customWidth="1"/>
    <col min="12548" max="12548" width="6.7109375" style="187" customWidth="1"/>
    <col min="12549" max="12551" width="6.42578125" style="187" customWidth="1"/>
    <col min="12552" max="12558" width="6.85546875" style="187" customWidth="1"/>
    <col min="12559" max="12559" width="6.28515625" style="187" customWidth="1"/>
    <col min="12560" max="12560" width="7.140625" style="187" customWidth="1"/>
    <col min="12561" max="12561" width="7.85546875" style="187" customWidth="1"/>
    <col min="12562" max="12562" width="6.42578125" style="187" customWidth="1"/>
    <col min="12563" max="12563" width="6.7109375" style="187" customWidth="1"/>
    <col min="12564" max="12564" width="6.42578125" style="187" customWidth="1"/>
    <col min="12565" max="12800" width="9.140625" style="187"/>
    <col min="12801" max="12801" width="4.85546875" style="187" customWidth="1"/>
    <col min="12802" max="12802" width="23.85546875" style="187" customWidth="1"/>
    <col min="12803" max="12803" width="6.85546875" style="187" customWidth="1"/>
    <col min="12804" max="12804" width="6.7109375" style="187" customWidth="1"/>
    <col min="12805" max="12807" width="6.42578125" style="187" customWidth="1"/>
    <col min="12808" max="12814" width="6.85546875" style="187" customWidth="1"/>
    <col min="12815" max="12815" width="6.28515625" style="187" customWidth="1"/>
    <col min="12816" max="12816" width="7.140625" style="187" customWidth="1"/>
    <col min="12817" max="12817" width="7.85546875" style="187" customWidth="1"/>
    <col min="12818" max="12818" width="6.42578125" style="187" customWidth="1"/>
    <col min="12819" max="12819" width="6.7109375" style="187" customWidth="1"/>
    <col min="12820" max="12820" width="6.42578125" style="187" customWidth="1"/>
    <col min="12821" max="13056" width="9.140625" style="187"/>
    <col min="13057" max="13057" width="4.85546875" style="187" customWidth="1"/>
    <col min="13058" max="13058" width="23.85546875" style="187" customWidth="1"/>
    <col min="13059" max="13059" width="6.85546875" style="187" customWidth="1"/>
    <col min="13060" max="13060" width="6.7109375" style="187" customWidth="1"/>
    <col min="13061" max="13063" width="6.42578125" style="187" customWidth="1"/>
    <col min="13064" max="13070" width="6.85546875" style="187" customWidth="1"/>
    <col min="13071" max="13071" width="6.28515625" style="187" customWidth="1"/>
    <col min="13072" max="13072" width="7.140625" style="187" customWidth="1"/>
    <col min="13073" max="13073" width="7.85546875" style="187" customWidth="1"/>
    <col min="13074" max="13074" width="6.42578125" style="187" customWidth="1"/>
    <col min="13075" max="13075" width="6.7109375" style="187" customWidth="1"/>
    <col min="13076" max="13076" width="6.42578125" style="187" customWidth="1"/>
    <col min="13077" max="13312" width="9.140625" style="187"/>
    <col min="13313" max="13313" width="4.85546875" style="187" customWidth="1"/>
    <col min="13314" max="13314" width="23.85546875" style="187" customWidth="1"/>
    <col min="13315" max="13315" width="6.85546875" style="187" customWidth="1"/>
    <col min="13316" max="13316" width="6.7109375" style="187" customWidth="1"/>
    <col min="13317" max="13319" width="6.42578125" style="187" customWidth="1"/>
    <col min="13320" max="13326" width="6.85546875" style="187" customWidth="1"/>
    <col min="13327" max="13327" width="6.28515625" style="187" customWidth="1"/>
    <col min="13328" max="13328" width="7.140625" style="187" customWidth="1"/>
    <col min="13329" max="13329" width="7.85546875" style="187" customWidth="1"/>
    <col min="13330" max="13330" width="6.42578125" style="187" customWidth="1"/>
    <col min="13331" max="13331" width="6.7109375" style="187" customWidth="1"/>
    <col min="13332" max="13332" width="6.42578125" style="187" customWidth="1"/>
    <col min="13333" max="13568" width="9.140625" style="187"/>
    <col min="13569" max="13569" width="4.85546875" style="187" customWidth="1"/>
    <col min="13570" max="13570" width="23.85546875" style="187" customWidth="1"/>
    <col min="13571" max="13571" width="6.85546875" style="187" customWidth="1"/>
    <col min="13572" max="13572" width="6.7109375" style="187" customWidth="1"/>
    <col min="13573" max="13575" width="6.42578125" style="187" customWidth="1"/>
    <col min="13576" max="13582" width="6.85546875" style="187" customWidth="1"/>
    <col min="13583" max="13583" width="6.28515625" style="187" customWidth="1"/>
    <col min="13584" max="13584" width="7.140625" style="187" customWidth="1"/>
    <col min="13585" max="13585" width="7.85546875" style="187" customWidth="1"/>
    <col min="13586" max="13586" width="6.42578125" style="187" customWidth="1"/>
    <col min="13587" max="13587" width="6.7109375" style="187" customWidth="1"/>
    <col min="13588" max="13588" width="6.42578125" style="187" customWidth="1"/>
    <col min="13589" max="13824" width="9.140625" style="187"/>
    <col min="13825" max="13825" width="4.85546875" style="187" customWidth="1"/>
    <col min="13826" max="13826" width="23.85546875" style="187" customWidth="1"/>
    <col min="13827" max="13827" width="6.85546875" style="187" customWidth="1"/>
    <col min="13828" max="13828" width="6.7109375" style="187" customWidth="1"/>
    <col min="13829" max="13831" width="6.42578125" style="187" customWidth="1"/>
    <col min="13832" max="13838" width="6.85546875" style="187" customWidth="1"/>
    <col min="13839" max="13839" width="6.28515625" style="187" customWidth="1"/>
    <col min="13840" max="13840" width="7.140625" style="187" customWidth="1"/>
    <col min="13841" max="13841" width="7.85546875" style="187" customWidth="1"/>
    <col min="13842" max="13842" width="6.42578125" style="187" customWidth="1"/>
    <col min="13843" max="13843" width="6.7109375" style="187" customWidth="1"/>
    <col min="13844" max="13844" width="6.42578125" style="187" customWidth="1"/>
    <col min="13845" max="14080" width="9.140625" style="187"/>
    <col min="14081" max="14081" width="4.85546875" style="187" customWidth="1"/>
    <col min="14082" max="14082" width="23.85546875" style="187" customWidth="1"/>
    <col min="14083" max="14083" width="6.85546875" style="187" customWidth="1"/>
    <col min="14084" max="14084" width="6.7109375" style="187" customWidth="1"/>
    <col min="14085" max="14087" width="6.42578125" style="187" customWidth="1"/>
    <col min="14088" max="14094" width="6.85546875" style="187" customWidth="1"/>
    <col min="14095" max="14095" width="6.28515625" style="187" customWidth="1"/>
    <col min="14096" max="14096" width="7.140625" style="187" customWidth="1"/>
    <col min="14097" max="14097" width="7.85546875" style="187" customWidth="1"/>
    <col min="14098" max="14098" width="6.42578125" style="187" customWidth="1"/>
    <col min="14099" max="14099" width="6.7109375" style="187" customWidth="1"/>
    <col min="14100" max="14100" width="6.42578125" style="187" customWidth="1"/>
    <col min="14101" max="14336" width="9.140625" style="187"/>
    <col min="14337" max="14337" width="4.85546875" style="187" customWidth="1"/>
    <col min="14338" max="14338" width="23.85546875" style="187" customWidth="1"/>
    <col min="14339" max="14339" width="6.85546875" style="187" customWidth="1"/>
    <col min="14340" max="14340" width="6.7109375" style="187" customWidth="1"/>
    <col min="14341" max="14343" width="6.42578125" style="187" customWidth="1"/>
    <col min="14344" max="14350" width="6.85546875" style="187" customWidth="1"/>
    <col min="14351" max="14351" width="6.28515625" style="187" customWidth="1"/>
    <col min="14352" max="14352" width="7.140625" style="187" customWidth="1"/>
    <col min="14353" max="14353" width="7.85546875" style="187" customWidth="1"/>
    <col min="14354" max="14354" width="6.42578125" style="187" customWidth="1"/>
    <col min="14355" max="14355" width="6.7109375" style="187" customWidth="1"/>
    <col min="14356" max="14356" width="6.42578125" style="187" customWidth="1"/>
    <col min="14357" max="14592" width="9.140625" style="187"/>
    <col min="14593" max="14593" width="4.85546875" style="187" customWidth="1"/>
    <col min="14594" max="14594" width="23.85546875" style="187" customWidth="1"/>
    <col min="14595" max="14595" width="6.85546875" style="187" customWidth="1"/>
    <col min="14596" max="14596" width="6.7109375" style="187" customWidth="1"/>
    <col min="14597" max="14599" width="6.42578125" style="187" customWidth="1"/>
    <col min="14600" max="14606" width="6.85546875" style="187" customWidth="1"/>
    <col min="14607" max="14607" width="6.28515625" style="187" customWidth="1"/>
    <col min="14608" max="14608" width="7.140625" style="187" customWidth="1"/>
    <col min="14609" max="14609" width="7.85546875" style="187" customWidth="1"/>
    <col min="14610" max="14610" width="6.42578125" style="187" customWidth="1"/>
    <col min="14611" max="14611" width="6.7109375" style="187" customWidth="1"/>
    <col min="14612" max="14612" width="6.42578125" style="187" customWidth="1"/>
    <col min="14613" max="14848" width="9.140625" style="187"/>
    <col min="14849" max="14849" width="4.85546875" style="187" customWidth="1"/>
    <col min="14850" max="14850" width="23.85546875" style="187" customWidth="1"/>
    <col min="14851" max="14851" width="6.85546875" style="187" customWidth="1"/>
    <col min="14852" max="14852" width="6.7109375" style="187" customWidth="1"/>
    <col min="14853" max="14855" width="6.42578125" style="187" customWidth="1"/>
    <col min="14856" max="14862" width="6.85546875" style="187" customWidth="1"/>
    <col min="14863" max="14863" width="6.28515625" style="187" customWidth="1"/>
    <col min="14864" max="14864" width="7.140625" style="187" customWidth="1"/>
    <col min="14865" max="14865" width="7.85546875" style="187" customWidth="1"/>
    <col min="14866" max="14866" width="6.42578125" style="187" customWidth="1"/>
    <col min="14867" max="14867" width="6.7109375" style="187" customWidth="1"/>
    <col min="14868" max="14868" width="6.42578125" style="187" customWidth="1"/>
    <col min="14869" max="15104" width="9.140625" style="187"/>
    <col min="15105" max="15105" width="4.85546875" style="187" customWidth="1"/>
    <col min="15106" max="15106" width="23.85546875" style="187" customWidth="1"/>
    <col min="15107" max="15107" width="6.85546875" style="187" customWidth="1"/>
    <col min="15108" max="15108" width="6.7109375" style="187" customWidth="1"/>
    <col min="15109" max="15111" width="6.42578125" style="187" customWidth="1"/>
    <col min="15112" max="15118" width="6.85546875" style="187" customWidth="1"/>
    <col min="15119" max="15119" width="6.28515625" style="187" customWidth="1"/>
    <col min="15120" max="15120" width="7.140625" style="187" customWidth="1"/>
    <col min="15121" max="15121" width="7.85546875" style="187" customWidth="1"/>
    <col min="15122" max="15122" width="6.42578125" style="187" customWidth="1"/>
    <col min="15123" max="15123" width="6.7109375" style="187" customWidth="1"/>
    <col min="15124" max="15124" width="6.42578125" style="187" customWidth="1"/>
    <col min="15125" max="15360" width="9.140625" style="187"/>
    <col min="15361" max="15361" width="4.85546875" style="187" customWidth="1"/>
    <col min="15362" max="15362" width="23.85546875" style="187" customWidth="1"/>
    <col min="15363" max="15363" width="6.85546875" style="187" customWidth="1"/>
    <col min="15364" max="15364" width="6.7109375" style="187" customWidth="1"/>
    <col min="15365" max="15367" width="6.42578125" style="187" customWidth="1"/>
    <col min="15368" max="15374" width="6.85546875" style="187" customWidth="1"/>
    <col min="15375" max="15375" width="6.28515625" style="187" customWidth="1"/>
    <col min="15376" max="15376" width="7.140625" style="187" customWidth="1"/>
    <col min="15377" max="15377" width="7.85546875" style="187" customWidth="1"/>
    <col min="15378" max="15378" width="6.42578125" style="187" customWidth="1"/>
    <col min="15379" max="15379" width="6.7109375" style="187" customWidth="1"/>
    <col min="15380" max="15380" width="6.42578125" style="187" customWidth="1"/>
    <col min="15381" max="15616" width="9.140625" style="187"/>
    <col min="15617" max="15617" width="4.85546875" style="187" customWidth="1"/>
    <col min="15618" max="15618" width="23.85546875" style="187" customWidth="1"/>
    <col min="15619" max="15619" width="6.85546875" style="187" customWidth="1"/>
    <col min="15620" max="15620" width="6.7109375" style="187" customWidth="1"/>
    <col min="15621" max="15623" width="6.42578125" style="187" customWidth="1"/>
    <col min="15624" max="15630" width="6.85546875" style="187" customWidth="1"/>
    <col min="15631" max="15631" width="6.28515625" style="187" customWidth="1"/>
    <col min="15632" max="15632" width="7.140625" style="187" customWidth="1"/>
    <col min="15633" max="15633" width="7.85546875" style="187" customWidth="1"/>
    <col min="15634" max="15634" width="6.42578125" style="187" customWidth="1"/>
    <col min="15635" max="15635" width="6.7109375" style="187" customWidth="1"/>
    <col min="15636" max="15636" width="6.42578125" style="187" customWidth="1"/>
    <col min="15637" max="15872" width="9.140625" style="187"/>
    <col min="15873" max="15873" width="4.85546875" style="187" customWidth="1"/>
    <col min="15874" max="15874" width="23.85546875" style="187" customWidth="1"/>
    <col min="15875" max="15875" width="6.85546875" style="187" customWidth="1"/>
    <col min="15876" max="15876" width="6.7109375" style="187" customWidth="1"/>
    <col min="15877" max="15879" width="6.42578125" style="187" customWidth="1"/>
    <col min="15880" max="15886" width="6.85546875" style="187" customWidth="1"/>
    <col min="15887" max="15887" width="6.28515625" style="187" customWidth="1"/>
    <col min="15888" max="15888" width="7.140625" style="187" customWidth="1"/>
    <col min="15889" max="15889" width="7.85546875" style="187" customWidth="1"/>
    <col min="15890" max="15890" width="6.42578125" style="187" customWidth="1"/>
    <col min="15891" max="15891" width="6.7109375" style="187" customWidth="1"/>
    <col min="15892" max="15892" width="6.42578125" style="187" customWidth="1"/>
    <col min="15893" max="16128" width="9.140625" style="187"/>
    <col min="16129" max="16129" width="4.85546875" style="187" customWidth="1"/>
    <col min="16130" max="16130" width="23.85546875" style="187" customWidth="1"/>
    <col min="16131" max="16131" width="6.85546875" style="187" customWidth="1"/>
    <col min="16132" max="16132" width="6.7109375" style="187" customWidth="1"/>
    <col min="16133" max="16135" width="6.42578125" style="187" customWidth="1"/>
    <col min="16136" max="16142" width="6.85546875" style="187" customWidth="1"/>
    <col min="16143" max="16143" width="6.28515625" style="187" customWidth="1"/>
    <col min="16144" max="16144" width="7.140625" style="187" customWidth="1"/>
    <col min="16145" max="16145" width="7.85546875" style="187" customWidth="1"/>
    <col min="16146" max="16146" width="6.42578125" style="187" customWidth="1"/>
    <col min="16147" max="16147" width="6.7109375" style="187" customWidth="1"/>
    <col min="16148" max="16148" width="6.42578125" style="187" customWidth="1"/>
    <col min="16149" max="16384" width="9.140625" style="187"/>
  </cols>
  <sheetData>
    <row r="1" spans="1:21" ht="27" customHeight="1">
      <c r="A1" s="1645" t="s">
        <v>221</v>
      </c>
      <c r="B1" s="1645"/>
      <c r="C1" s="1645"/>
      <c r="D1" s="602"/>
      <c r="E1" s="602"/>
      <c r="F1" s="602"/>
      <c r="G1" s="602"/>
      <c r="H1" s="602"/>
      <c r="I1" s="602"/>
      <c r="J1" s="602"/>
      <c r="K1" s="602"/>
      <c r="L1" s="602"/>
      <c r="M1" s="602"/>
      <c r="N1" s="602"/>
      <c r="O1" s="602"/>
      <c r="P1" s="1717" t="s">
        <v>1326</v>
      </c>
      <c r="Q1" s="1717"/>
      <c r="R1" s="1717"/>
      <c r="S1" s="1717"/>
      <c r="T1" s="1717"/>
      <c r="U1" s="602"/>
    </row>
    <row r="2" spans="1:21" ht="36.75" customHeight="1">
      <c r="A2" s="1650" t="s">
        <v>1297</v>
      </c>
      <c r="B2" s="1645"/>
      <c r="C2" s="1645"/>
      <c r="D2" s="1645"/>
      <c r="E2" s="1645"/>
      <c r="F2" s="1645"/>
      <c r="G2" s="1645"/>
      <c r="H2" s="1645"/>
      <c r="I2" s="1645"/>
      <c r="J2" s="1645"/>
      <c r="K2" s="1645"/>
      <c r="L2" s="1645"/>
      <c r="M2" s="1645"/>
      <c r="N2" s="1645"/>
      <c r="O2" s="1645"/>
      <c r="P2" s="1645"/>
      <c r="Q2" s="1645"/>
      <c r="R2" s="1645"/>
      <c r="S2" s="1645"/>
      <c r="T2" s="1645"/>
      <c r="U2" s="602"/>
    </row>
    <row r="3" spans="1:21" ht="18.75" customHeight="1">
      <c r="A3" s="1648" t="e">
        <f>#REF!</f>
        <v>#REF!</v>
      </c>
      <c r="B3" s="1648"/>
      <c r="C3" s="1648"/>
      <c r="D3" s="1648"/>
      <c r="E3" s="1648"/>
      <c r="F3" s="1648"/>
      <c r="G3" s="1648"/>
      <c r="H3" s="1648"/>
      <c r="I3" s="1648"/>
      <c r="J3" s="1648"/>
      <c r="K3" s="1648"/>
      <c r="L3" s="1648"/>
      <c r="M3" s="1648"/>
      <c r="N3" s="1648"/>
      <c r="O3" s="1648"/>
      <c r="P3" s="1648"/>
      <c r="Q3" s="1648"/>
      <c r="R3" s="1648"/>
      <c r="S3" s="1648"/>
      <c r="T3" s="1648"/>
      <c r="U3" s="602"/>
    </row>
    <row r="4" spans="1:21" ht="16.5" customHeight="1">
      <c r="A4" s="602"/>
      <c r="B4" s="602"/>
      <c r="C4" s="602"/>
      <c r="D4" s="602"/>
      <c r="E4" s="602"/>
      <c r="F4" s="602"/>
      <c r="G4" s="602"/>
      <c r="H4" s="602"/>
      <c r="I4" s="602"/>
      <c r="J4" s="602"/>
      <c r="K4" s="602"/>
      <c r="L4" s="602"/>
      <c r="M4" s="602"/>
      <c r="N4" s="602"/>
      <c r="O4" s="602"/>
      <c r="P4" s="603"/>
      <c r="Q4" s="603"/>
      <c r="R4" s="604"/>
      <c r="S4" s="604"/>
      <c r="T4" s="315" t="s">
        <v>5</v>
      </c>
      <c r="U4" s="602"/>
    </row>
    <row r="5" spans="1:21" s="189" customFormat="1" ht="22.5" customHeight="1">
      <c r="A5" s="1720" t="s">
        <v>316</v>
      </c>
      <c r="B5" s="1720" t="s">
        <v>32</v>
      </c>
      <c r="C5" s="1720" t="s">
        <v>136</v>
      </c>
      <c r="D5" s="1720" t="s">
        <v>155</v>
      </c>
      <c r="E5" s="1720" t="s">
        <v>90</v>
      </c>
      <c r="F5" s="1720" t="s">
        <v>91</v>
      </c>
      <c r="G5" s="1720" t="s">
        <v>110</v>
      </c>
      <c r="H5" s="1720" t="s">
        <v>111</v>
      </c>
      <c r="I5" s="1720" t="s">
        <v>112</v>
      </c>
      <c r="J5" s="1720" t="s">
        <v>113</v>
      </c>
      <c r="K5" s="1720" t="s">
        <v>114</v>
      </c>
      <c r="L5" s="1720" t="s">
        <v>115</v>
      </c>
      <c r="M5" s="1720" t="s">
        <v>116</v>
      </c>
      <c r="N5" s="1720" t="s">
        <v>117</v>
      </c>
      <c r="O5" s="1720" t="s">
        <v>33</v>
      </c>
      <c r="P5" s="1720"/>
      <c r="Q5" s="1720" t="s">
        <v>118</v>
      </c>
      <c r="R5" s="1720" t="s">
        <v>119</v>
      </c>
      <c r="S5" s="1720" t="s">
        <v>120</v>
      </c>
      <c r="T5" s="1720" t="s">
        <v>75</v>
      </c>
      <c r="U5" s="605"/>
    </row>
    <row r="6" spans="1:21" s="189" customFormat="1" ht="121.9" customHeight="1">
      <c r="A6" s="1720"/>
      <c r="B6" s="1720"/>
      <c r="C6" s="1720"/>
      <c r="D6" s="1720"/>
      <c r="E6" s="1720"/>
      <c r="F6" s="1720"/>
      <c r="G6" s="1720"/>
      <c r="H6" s="1720"/>
      <c r="I6" s="1720"/>
      <c r="J6" s="1720"/>
      <c r="K6" s="1720"/>
      <c r="L6" s="1720"/>
      <c r="M6" s="1720"/>
      <c r="N6" s="1720"/>
      <c r="O6" s="1083" t="s">
        <v>125</v>
      </c>
      <c r="P6" s="1083" t="s">
        <v>1298</v>
      </c>
      <c r="Q6" s="1720"/>
      <c r="R6" s="1720"/>
      <c r="S6" s="1720"/>
      <c r="T6" s="1720"/>
      <c r="U6" s="605"/>
    </row>
    <row r="7" spans="1:21" s="189" customFormat="1" ht="26.25" customHeight="1">
      <c r="A7" s="1083" t="s">
        <v>2</v>
      </c>
      <c r="B7" s="1083" t="s">
        <v>3</v>
      </c>
      <c r="C7" s="1083">
        <v>1</v>
      </c>
      <c r="D7" s="1083">
        <v>2</v>
      </c>
      <c r="E7" s="1083">
        <v>3</v>
      </c>
      <c r="F7" s="1083">
        <v>4</v>
      </c>
      <c r="G7" s="1083">
        <v>5</v>
      </c>
      <c r="H7" s="1083">
        <v>6</v>
      </c>
      <c r="I7" s="1083">
        <v>7</v>
      </c>
      <c r="J7" s="1083">
        <v>8</v>
      </c>
      <c r="K7" s="1083">
        <v>9</v>
      </c>
      <c r="L7" s="1083">
        <v>10</v>
      </c>
      <c r="M7" s="1083">
        <v>11</v>
      </c>
      <c r="N7" s="1083">
        <v>12</v>
      </c>
      <c r="O7" s="1083">
        <v>13</v>
      </c>
      <c r="P7" s="1083">
        <v>14</v>
      </c>
      <c r="Q7" s="1083">
        <v>15</v>
      </c>
      <c r="R7" s="1083">
        <v>16</v>
      </c>
      <c r="S7" s="1083">
        <v>17</v>
      </c>
      <c r="T7" s="1083" t="s">
        <v>175</v>
      </c>
      <c r="U7" s="605"/>
    </row>
    <row r="8" spans="1:21" s="190" customFormat="1" ht="18" customHeight="1">
      <c r="A8" s="1083" t="s">
        <v>11</v>
      </c>
      <c r="B8" s="1084" t="s">
        <v>73</v>
      </c>
      <c r="C8" s="1085">
        <f>SUM(C9:C42)</f>
        <v>453355</v>
      </c>
      <c r="D8" s="1085">
        <f>SUM(E8,F8,G8,I8,J8,K8,M8,N8,Q8,S8)</f>
        <v>573417.89877899992</v>
      </c>
      <c r="E8" s="1085">
        <f t="shared" ref="E8:S8" si="0">SUM(E9:E41)</f>
        <v>79524.473704999997</v>
      </c>
      <c r="F8" s="1085">
        <f t="shared" si="0"/>
        <v>18119</v>
      </c>
      <c r="G8" s="1085">
        <f t="shared" si="0"/>
        <v>40133</v>
      </c>
      <c r="H8" s="1085">
        <f t="shared" si="0"/>
        <v>0</v>
      </c>
      <c r="I8" s="1085">
        <f t="shared" si="0"/>
        <v>45722</v>
      </c>
      <c r="J8" s="1085">
        <f t="shared" si="0"/>
        <v>1394</v>
      </c>
      <c r="K8" s="1085">
        <f t="shared" si="0"/>
        <v>1075</v>
      </c>
      <c r="L8" s="1085">
        <f t="shared" si="0"/>
        <v>0</v>
      </c>
      <c r="M8" s="1085">
        <f t="shared" si="0"/>
        <v>2400</v>
      </c>
      <c r="N8" s="1085">
        <f t="shared" si="0"/>
        <v>291483.12507399998</v>
      </c>
      <c r="O8" s="1085">
        <f t="shared" si="0"/>
        <v>170628</v>
      </c>
      <c r="P8" s="1085">
        <f t="shared" si="0"/>
        <v>120855.12507400001</v>
      </c>
      <c r="Q8" s="1085">
        <f t="shared" si="0"/>
        <v>25920.3</v>
      </c>
      <c r="R8" s="1085">
        <f t="shared" si="0"/>
        <v>0</v>
      </c>
      <c r="S8" s="1085">
        <f t="shared" si="0"/>
        <v>67647</v>
      </c>
      <c r="T8" s="1086">
        <f>D8/C8%</f>
        <v>126.48319722491202</v>
      </c>
      <c r="U8" s="606"/>
    </row>
    <row r="9" spans="1:21" s="189" customFormat="1" ht="18.75" customHeight="1">
      <c r="A9" s="1087">
        <v>1</v>
      </c>
      <c r="B9" s="1088" t="s">
        <v>1299</v>
      </c>
      <c r="C9" s="1089">
        <f>90168+3098</f>
        <v>93266</v>
      </c>
      <c r="D9" s="1089">
        <f>SUM(E9:N9)+Q9+R9+S9</f>
        <v>90725</v>
      </c>
      <c r="E9" s="1089">
        <v>14799</v>
      </c>
      <c r="F9" s="1089">
        <v>878</v>
      </c>
      <c r="G9" s="1089"/>
      <c r="H9" s="1089"/>
      <c r="I9" s="1089"/>
      <c r="J9" s="1089"/>
      <c r="K9" s="1089"/>
      <c r="L9" s="1089"/>
      <c r="M9" s="1089">
        <v>2400</v>
      </c>
      <c r="N9" s="1089">
        <f>1024+632</f>
        <v>1656</v>
      </c>
      <c r="O9" s="1089">
        <v>1004</v>
      </c>
      <c r="P9" s="1089">
        <f>20+632</f>
        <v>652</v>
      </c>
      <c r="Q9" s="1089">
        <v>6345</v>
      </c>
      <c r="R9" s="1089"/>
      <c r="S9" s="1089">
        <v>64647</v>
      </c>
      <c r="T9" s="1090">
        <f t="shared" ref="T9:T41" si="1">D9/C9%</f>
        <v>97.275534492741201</v>
      </c>
      <c r="U9" s="605"/>
    </row>
    <row r="10" spans="1:21" s="189" customFormat="1" ht="24" customHeight="1">
      <c r="A10" s="1091">
        <v>2</v>
      </c>
      <c r="B10" s="1092" t="s">
        <v>1300</v>
      </c>
      <c r="C10" s="1093">
        <v>22551</v>
      </c>
      <c r="D10" s="1093">
        <f>SUM(E10:N10)+Q10+R10+S10</f>
        <v>69666</v>
      </c>
      <c r="E10" s="1093">
        <v>24928</v>
      </c>
      <c r="F10" s="1093"/>
      <c r="G10" s="1093"/>
      <c r="H10" s="1093"/>
      <c r="I10" s="1093">
        <v>28030</v>
      </c>
      <c r="J10" s="1093">
        <v>519</v>
      </c>
      <c r="K10" s="1093"/>
      <c r="L10" s="1093"/>
      <c r="M10" s="1093"/>
      <c r="N10" s="1093">
        <v>15189</v>
      </c>
      <c r="O10" s="1093">
        <v>3809</v>
      </c>
      <c r="P10" s="1093">
        <f>N10-O10</f>
        <v>11380</v>
      </c>
      <c r="Q10" s="1093">
        <v>1000</v>
      </c>
      <c r="R10" s="1093"/>
      <c r="S10" s="1093"/>
      <c r="T10" s="1094">
        <f t="shared" si="1"/>
        <v>308.92643341758679</v>
      </c>
      <c r="U10" s="605"/>
    </row>
    <row r="11" spans="1:21" s="189" customFormat="1" ht="36" customHeight="1">
      <c r="A11" s="1091">
        <v>3</v>
      </c>
      <c r="B11" s="1092" t="s">
        <v>1301</v>
      </c>
      <c r="C11" s="1093">
        <v>14000</v>
      </c>
      <c r="D11" s="1093">
        <f>SUM(E11:N11)+Q11+R11+S11</f>
        <v>14718</v>
      </c>
      <c r="E11" s="1093"/>
      <c r="F11" s="1093"/>
      <c r="G11" s="1093"/>
      <c r="H11" s="1093"/>
      <c r="I11" s="1093">
        <v>14718</v>
      </c>
      <c r="J11" s="1093"/>
      <c r="K11" s="1093"/>
      <c r="L11" s="1093"/>
      <c r="M11" s="1093"/>
      <c r="N11" s="1093"/>
      <c r="O11" s="1093"/>
      <c r="P11" s="1093"/>
      <c r="Q11" s="1093"/>
      <c r="R11" s="1093"/>
      <c r="S11" s="1093"/>
      <c r="T11" s="1094">
        <f t="shared" si="1"/>
        <v>105.12857142857143</v>
      </c>
      <c r="U11" s="605"/>
    </row>
    <row r="12" spans="1:21" s="189" customFormat="1" ht="16.5" customHeight="1">
      <c r="A12" s="1091">
        <v>4</v>
      </c>
      <c r="B12" s="1092" t="s">
        <v>244</v>
      </c>
      <c r="C12" s="1093">
        <v>500</v>
      </c>
      <c r="D12" s="1093">
        <f t="shared" ref="D12:D40" si="2">SUM(E12:N12)+Q12+R12+S12</f>
        <v>900</v>
      </c>
      <c r="E12" s="1093">
        <v>900</v>
      </c>
      <c r="F12" s="1093"/>
      <c r="G12" s="1093"/>
      <c r="H12" s="1093"/>
      <c r="I12" s="1093"/>
      <c r="J12" s="1093"/>
      <c r="K12" s="1093"/>
      <c r="L12" s="1093"/>
      <c r="M12" s="1093"/>
      <c r="N12" s="1093"/>
      <c r="O12" s="1093"/>
      <c r="P12" s="1093"/>
      <c r="Q12" s="1093"/>
      <c r="R12" s="1093"/>
      <c r="S12" s="1093"/>
      <c r="T12" s="1094">
        <f t="shared" si="1"/>
        <v>180</v>
      </c>
      <c r="U12" s="605"/>
    </row>
    <row r="13" spans="1:21" s="189" customFormat="1" ht="16.5" customHeight="1">
      <c r="A13" s="1091">
        <v>5</v>
      </c>
      <c r="B13" s="1092" t="s">
        <v>788</v>
      </c>
      <c r="C13" s="1093">
        <v>3399</v>
      </c>
      <c r="D13" s="1093">
        <f t="shared" si="2"/>
        <v>811</v>
      </c>
      <c r="E13" s="1093"/>
      <c r="F13" s="1093"/>
      <c r="G13" s="1093"/>
      <c r="H13" s="1093"/>
      <c r="I13" s="1093"/>
      <c r="J13" s="1093"/>
      <c r="K13" s="1093"/>
      <c r="L13" s="1093"/>
      <c r="M13" s="1093"/>
      <c r="N13" s="1093">
        <v>811</v>
      </c>
      <c r="O13" s="1093"/>
      <c r="P13" s="1093">
        <f>N13</f>
        <v>811</v>
      </c>
      <c r="Q13" s="1093"/>
      <c r="R13" s="1093"/>
      <c r="S13" s="1093"/>
      <c r="T13" s="1094">
        <f t="shared" si="1"/>
        <v>23.859958811415122</v>
      </c>
      <c r="U13" s="605"/>
    </row>
    <row r="14" spans="1:21" s="189" customFormat="1" ht="24.75" customHeight="1">
      <c r="A14" s="1091">
        <v>6</v>
      </c>
      <c r="B14" s="1092" t="s">
        <v>1302</v>
      </c>
      <c r="C14" s="1093">
        <v>399</v>
      </c>
      <c r="D14" s="1093">
        <f t="shared" si="2"/>
        <v>395.52699999999999</v>
      </c>
      <c r="E14" s="1093"/>
      <c r="F14" s="1093"/>
      <c r="G14" s="1093"/>
      <c r="H14" s="1093"/>
      <c r="I14" s="1093"/>
      <c r="J14" s="1093"/>
      <c r="K14" s="1093"/>
      <c r="L14" s="1093"/>
      <c r="M14" s="1093"/>
      <c r="N14" s="1093">
        <f>'[4]03'!X200/1000000</f>
        <v>395.52699999999999</v>
      </c>
      <c r="O14" s="1093"/>
      <c r="P14" s="1093">
        <f>N14</f>
        <v>395.52699999999999</v>
      </c>
      <c r="Q14" s="1093"/>
      <c r="R14" s="1093"/>
      <c r="S14" s="1093"/>
      <c r="T14" s="1094">
        <f t="shared" si="1"/>
        <v>99.129573934837083</v>
      </c>
      <c r="U14" s="605"/>
    </row>
    <row r="15" spans="1:21" s="189" customFormat="1" ht="18" customHeight="1">
      <c r="A15" s="1091">
        <v>7</v>
      </c>
      <c r="B15" s="1092" t="s">
        <v>453</v>
      </c>
      <c r="C15" s="1093">
        <v>64519</v>
      </c>
      <c r="D15" s="1093">
        <f t="shared" si="2"/>
        <v>35167.598074000001</v>
      </c>
      <c r="E15" s="1093"/>
      <c r="F15" s="1093"/>
      <c r="G15" s="1093"/>
      <c r="H15" s="1093"/>
      <c r="I15" s="1093"/>
      <c r="J15" s="1093"/>
      <c r="K15" s="1093"/>
      <c r="L15" s="1093"/>
      <c r="M15" s="1093"/>
      <c r="N15" s="1093">
        <f>P15</f>
        <v>35167.598074000001</v>
      </c>
      <c r="O15" s="1093"/>
      <c r="P15" s="1093">
        <v>35167.598074000001</v>
      </c>
      <c r="Q15" s="1093"/>
      <c r="R15" s="1093"/>
      <c r="S15" s="1093"/>
      <c r="T15" s="1094">
        <f t="shared" si="1"/>
        <v>54.507351437561027</v>
      </c>
      <c r="U15" s="605"/>
    </row>
    <row r="16" spans="1:21" s="189" customFormat="1" ht="18.75" customHeight="1">
      <c r="A16" s="1091">
        <v>8</v>
      </c>
      <c r="B16" s="1092" t="s">
        <v>1303</v>
      </c>
      <c r="C16" s="1093">
        <v>15803</v>
      </c>
      <c r="D16" s="1093">
        <f t="shared" si="2"/>
        <v>20609</v>
      </c>
      <c r="E16" s="1093"/>
      <c r="F16" s="1093"/>
      <c r="G16" s="1093">
        <v>20609</v>
      </c>
      <c r="H16" s="1093"/>
      <c r="I16" s="1093"/>
      <c r="J16" s="1093"/>
      <c r="K16" s="1093"/>
      <c r="L16" s="1093"/>
      <c r="M16" s="1093"/>
      <c r="N16" s="1093"/>
      <c r="O16" s="1093"/>
      <c r="P16" s="1093"/>
      <c r="Q16" s="1093"/>
      <c r="R16" s="1093"/>
      <c r="S16" s="1093"/>
      <c r="T16" s="1094">
        <f t="shared" si="1"/>
        <v>130.41194709865215</v>
      </c>
      <c r="U16" s="605"/>
    </row>
    <row r="17" spans="1:21" s="189" customFormat="1" ht="29.25" customHeight="1">
      <c r="A17" s="1091">
        <v>9</v>
      </c>
      <c r="B17" s="1092" t="s">
        <v>1304</v>
      </c>
      <c r="C17" s="1093">
        <v>81718</v>
      </c>
      <c r="D17" s="1093">
        <f t="shared" si="2"/>
        <v>128289</v>
      </c>
      <c r="E17" s="1093"/>
      <c r="F17" s="1093"/>
      <c r="G17" s="1093"/>
      <c r="H17" s="1093"/>
      <c r="I17" s="1093"/>
      <c r="J17" s="1093"/>
      <c r="K17" s="1093"/>
      <c r="L17" s="1093"/>
      <c r="M17" s="1093"/>
      <c r="N17" s="1093">
        <v>128289</v>
      </c>
      <c r="O17" s="1093">
        <f>N17</f>
        <v>128289</v>
      </c>
      <c r="P17" s="1093"/>
      <c r="Q17" s="1093"/>
      <c r="R17" s="1093"/>
      <c r="S17" s="1093"/>
      <c r="T17" s="1094">
        <f t="shared" si="1"/>
        <v>156.98989206784307</v>
      </c>
      <c r="U17" s="605"/>
    </row>
    <row r="18" spans="1:21" s="189" customFormat="1" ht="18.75" customHeight="1">
      <c r="A18" s="1091">
        <v>10</v>
      </c>
      <c r="B18" s="1092" t="s">
        <v>1305</v>
      </c>
      <c r="C18" s="1093">
        <v>11653</v>
      </c>
      <c r="D18" s="1093">
        <f t="shared" si="2"/>
        <v>1811</v>
      </c>
      <c r="E18" s="1093"/>
      <c r="F18" s="1093"/>
      <c r="G18" s="1093"/>
      <c r="H18" s="1093"/>
      <c r="I18" s="1093"/>
      <c r="J18" s="1093"/>
      <c r="K18" s="1093"/>
      <c r="L18" s="1093"/>
      <c r="M18" s="1093"/>
      <c r="N18" s="1093">
        <v>1811</v>
      </c>
      <c r="O18" s="1093">
        <f>N18</f>
        <v>1811</v>
      </c>
      <c r="P18" s="1093"/>
      <c r="Q18" s="1093"/>
      <c r="R18" s="1093"/>
      <c r="S18" s="1093"/>
      <c r="T18" s="1094">
        <f t="shared" si="1"/>
        <v>15.54106238736806</v>
      </c>
      <c r="U18" s="605"/>
    </row>
    <row r="19" spans="1:21" s="189" customFormat="1" ht="18.75" customHeight="1">
      <c r="A19" s="1091">
        <v>11</v>
      </c>
      <c r="B19" s="1092" t="s">
        <v>505</v>
      </c>
      <c r="C19" s="1093">
        <v>1121</v>
      </c>
      <c r="D19" s="1093">
        <f t="shared" si="2"/>
        <v>678.8</v>
      </c>
      <c r="E19" s="1093"/>
      <c r="F19" s="1093"/>
      <c r="G19" s="1093"/>
      <c r="H19" s="1093"/>
      <c r="I19" s="1093"/>
      <c r="J19" s="1093"/>
      <c r="K19" s="1093"/>
      <c r="L19" s="1093"/>
      <c r="M19" s="1093"/>
      <c r="N19" s="1093">
        <f>352+325</f>
        <v>677</v>
      </c>
      <c r="O19" s="1093"/>
      <c r="P19" s="1093">
        <f>352+325</f>
        <v>677</v>
      </c>
      <c r="Q19" s="1093">
        <v>1.8</v>
      </c>
      <c r="R19" s="1093"/>
      <c r="S19" s="1093"/>
      <c r="T19" s="1094">
        <f t="shared" si="1"/>
        <v>60.553077609277423</v>
      </c>
      <c r="U19" s="605"/>
    </row>
    <row r="20" spans="1:21" s="189" customFormat="1" ht="26.25" customHeight="1">
      <c r="A20" s="1091">
        <v>12</v>
      </c>
      <c r="B20" s="1092" t="s">
        <v>1306</v>
      </c>
      <c r="C20" s="1093">
        <v>2529</v>
      </c>
      <c r="D20" s="1093">
        <f t="shared" si="2"/>
        <v>2491</v>
      </c>
      <c r="E20" s="1093"/>
      <c r="F20" s="1093"/>
      <c r="G20" s="1093"/>
      <c r="H20" s="1093"/>
      <c r="I20" s="1093"/>
      <c r="J20" s="1093"/>
      <c r="K20" s="1093"/>
      <c r="L20" s="1093"/>
      <c r="M20" s="1093"/>
      <c r="N20" s="1093">
        <v>2491</v>
      </c>
      <c r="O20" s="1093"/>
      <c r="P20" s="1093">
        <v>2491</v>
      </c>
      <c r="Q20" s="1093"/>
      <c r="R20" s="1093"/>
      <c r="S20" s="1093"/>
      <c r="T20" s="1094">
        <f t="shared" si="1"/>
        <v>98.497429814155794</v>
      </c>
      <c r="U20" s="605"/>
    </row>
    <row r="21" spans="1:21" s="189" customFormat="1" ht="27.75" customHeight="1">
      <c r="A21" s="1091">
        <v>13</v>
      </c>
      <c r="B21" s="1092" t="s">
        <v>457</v>
      </c>
      <c r="C21" s="1093">
        <v>930</v>
      </c>
      <c r="D21" s="1093">
        <f t="shared" si="2"/>
        <v>930</v>
      </c>
      <c r="E21" s="1093"/>
      <c r="F21" s="1093"/>
      <c r="G21" s="1093"/>
      <c r="H21" s="1093"/>
      <c r="I21" s="1093"/>
      <c r="J21" s="1093"/>
      <c r="K21" s="1093"/>
      <c r="L21" s="1093"/>
      <c r="M21" s="1093"/>
      <c r="N21" s="1093">
        <v>930</v>
      </c>
      <c r="O21" s="1093"/>
      <c r="P21" s="1093">
        <v>930</v>
      </c>
      <c r="Q21" s="1093"/>
      <c r="R21" s="1093"/>
      <c r="S21" s="1093"/>
      <c r="T21" s="1094">
        <f t="shared" si="1"/>
        <v>99.999999999999986</v>
      </c>
      <c r="U21" s="605"/>
    </row>
    <row r="22" spans="1:21" s="189" customFormat="1" ht="18.75" customHeight="1">
      <c r="A22" s="1091">
        <v>14</v>
      </c>
      <c r="B22" s="1092" t="s">
        <v>1307</v>
      </c>
      <c r="C22" s="1093">
        <v>1300</v>
      </c>
      <c r="D22" s="1093">
        <f t="shared" si="2"/>
        <v>1044</v>
      </c>
      <c r="E22" s="1093"/>
      <c r="F22" s="1093"/>
      <c r="G22" s="1093"/>
      <c r="H22" s="1093"/>
      <c r="I22" s="1093"/>
      <c r="J22" s="1093"/>
      <c r="K22" s="1093"/>
      <c r="L22" s="1093"/>
      <c r="M22" s="1093"/>
      <c r="N22" s="1093">
        <v>744</v>
      </c>
      <c r="O22" s="1093"/>
      <c r="P22" s="1093">
        <v>744</v>
      </c>
      <c r="Q22" s="1093">
        <v>300</v>
      </c>
      <c r="R22" s="1093"/>
      <c r="S22" s="1093"/>
      <c r="T22" s="1094">
        <f t="shared" si="1"/>
        <v>80.307692307692307</v>
      </c>
      <c r="U22" s="605"/>
    </row>
    <row r="23" spans="1:21" s="189" customFormat="1" ht="19.5" customHeight="1">
      <c r="A23" s="1091">
        <v>15</v>
      </c>
      <c r="B23" s="1092" t="s">
        <v>1308</v>
      </c>
      <c r="C23" s="1093">
        <v>3000</v>
      </c>
      <c r="D23" s="1093">
        <f t="shared" si="2"/>
        <v>3000</v>
      </c>
      <c r="E23" s="1093"/>
      <c r="F23" s="1093"/>
      <c r="G23" s="1093"/>
      <c r="H23" s="1093"/>
      <c r="I23" s="1093"/>
      <c r="J23" s="1093"/>
      <c r="K23" s="1093"/>
      <c r="L23" s="1093"/>
      <c r="M23" s="1093"/>
      <c r="N23" s="1093"/>
      <c r="O23" s="1093"/>
      <c r="P23" s="1093"/>
      <c r="Q23" s="1093"/>
      <c r="R23" s="1093"/>
      <c r="S23" s="1093">
        <v>3000</v>
      </c>
      <c r="T23" s="1094">
        <f t="shared" si="1"/>
        <v>100</v>
      </c>
      <c r="U23" s="605"/>
    </row>
    <row r="24" spans="1:21" s="189" customFormat="1" ht="18.75" customHeight="1">
      <c r="A24" s="1091">
        <v>16</v>
      </c>
      <c r="B24" s="1092" t="s">
        <v>1069</v>
      </c>
      <c r="C24" s="1093">
        <v>7712</v>
      </c>
      <c r="D24" s="1093">
        <f t="shared" si="2"/>
        <v>6723</v>
      </c>
      <c r="E24" s="1093"/>
      <c r="F24" s="1093">
        <v>108</v>
      </c>
      <c r="G24" s="1093"/>
      <c r="H24" s="1093"/>
      <c r="I24" s="1093"/>
      <c r="J24" s="1093"/>
      <c r="K24" s="1093"/>
      <c r="L24" s="1093"/>
      <c r="M24" s="1093"/>
      <c r="N24" s="1093"/>
      <c r="O24" s="1093"/>
      <c r="P24" s="1093"/>
      <c r="Q24" s="1093">
        <v>6615</v>
      </c>
      <c r="R24" s="1093"/>
      <c r="S24" s="1093"/>
      <c r="T24" s="1094">
        <f t="shared" si="1"/>
        <v>87.175829875518673</v>
      </c>
      <c r="U24" s="605"/>
    </row>
    <row r="25" spans="1:21" s="189" customFormat="1" ht="18.75" customHeight="1">
      <c r="A25" s="1091">
        <v>17</v>
      </c>
      <c r="B25" s="1092" t="s">
        <v>1039</v>
      </c>
      <c r="C25" s="1093">
        <v>575</v>
      </c>
      <c r="D25" s="1093">
        <f t="shared" si="2"/>
        <v>575</v>
      </c>
      <c r="E25" s="1093"/>
      <c r="F25" s="1093"/>
      <c r="G25" s="1093"/>
      <c r="H25" s="1093"/>
      <c r="I25" s="1093"/>
      <c r="J25" s="1093">
        <v>275</v>
      </c>
      <c r="K25" s="1093"/>
      <c r="L25" s="1093"/>
      <c r="M25" s="1093"/>
      <c r="N25" s="1093"/>
      <c r="O25" s="1093"/>
      <c r="P25" s="1093"/>
      <c r="Q25" s="1093">
        <v>300</v>
      </c>
      <c r="R25" s="1093"/>
      <c r="S25" s="1093"/>
      <c r="T25" s="1094">
        <f t="shared" si="1"/>
        <v>100</v>
      </c>
      <c r="U25" s="605"/>
    </row>
    <row r="26" spans="1:21" s="189" customFormat="1" ht="27.75" customHeight="1">
      <c r="A26" s="1091">
        <v>18</v>
      </c>
      <c r="B26" s="1092" t="s">
        <v>1309</v>
      </c>
      <c r="C26" s="1093">
        <v>10808</v>
      </c>
      <c r="D26" s="1093">
        <f t="shared" si="2"/>
        <v>11124</v>
      </c>
      <c r="E26" s="1093"/>
      <c r="F26" s="1093">
        <v>11124</v>
      </c>
      <c r="G26" s="1093"/>
      <c r="H26" s="1093"/>
      <c r="I26" s="1093"/>
      <c r="J26" s="1093"/>
      <c r="K26" s="1093"/>
      <c r="L26" s="1093"/>
      <c r="M26" s="1093"/>
      <c r="N26" s="1093"/>
      <c r="O26" s="1093"/>
      <c r="P26" s="1093"/>
      <c r="Q26" s="1093"/>
      <c r="R26" s="1093"/>
      <c r="S26" s="1093"/>
      <c r="T26" s="1094">
        <f t="shared" si="1"/>
        <v>102.92376017764619</v>
      </c>
      <c r="U26" s="605"/>
    </row>
    <row r="27" spans="1:21" s="189" customFormat="1" ht="19.5" customHeight="1">
      <c r="A27" s="1091">
        <v>19</v>
      </c>
      <c r="B27" s="1092" t="s">
        <v>1310</v>
      </c>
      <c r="C27" s="1093">
        <v>1076</v>
      </c>
      <c r="D27" s="1093">
        <f t="shared" si="2"/>
        <v>1075</v>
      </c>
      <c r="E27" s="1093"/>
      <c r="F27" s="1093"/>
      <c r="G27" s="1093"/>
      <c r="H27" s="1093"/>
      <c r="I27" s="1093"/>
      <c r="J27" s="1093"/>
      <c r="K27" s="1093">
        <v>1075</v>
      </c>
      <c r="L27" s="1093"/>
      <c r="M27" s="1093"/>
      <c r="N27" s="1093"/>
      <c r="O27" s="1093"/>
      <c r="P27" s="1093"/>
      <c r="Q27" s="1093"/>
      <c r="R27" s="1093"/>
      <c r="S27" s="1093"/>
      <c r="T27" s="1094">
        <f t="shared" si="1"/>
        <v>99.907063197026019</v>
      </c>
      <c r="U27" s="605"/>
    </row>
    <row r="28" spans="1:21" s="189" customFormat="1" ht="21.75" customHeight="1">
      <c r="A28" s="1091">
        <v>20</v>
      </c>
      <c r="B28" s="1092" t="s">
        <v>1311</v>
      </c>
      <c r="C28" s="1093">
        <v>1465</v>
      </c>
      <c r="D28" s="1093">
        <f>SUM(E28:N28)+Q28+R28+S28</f>
        <v>1460</v>
      </c>
      <c r="E28" s="1093"/>
      <c r="F28" s="1093"/>
      <c r="G28" s="1093"/>
      <c r="H28" s="1093"/>
      <c r="I28" s="1093">
        <v>1314</v>
      </c>
      <c r="J28" s="1093"/>
      <c r="K28" s="1093"/>
      <c r="L28" s="1093"/>
      <c r="M28" s="1093"/>
      <c r="N28" s="1095">
        <v>146</v>
      </c>
      <c r="O28" s="1093"/>
      <c r="P28" s="1093">
        <v>146</v>
      </c>
      <c r="Q28" s="1093"/>
      <c r="R28" s="1093"/>
      <c r="S28" s="1093"/>
      <c r="T28" s="1094">
        <f t="shared" si="1"/>
        <v>99.658703071672349</v>
      </c>
      <c r="U28" s="605"/>
    </row>
    <row r="29" spans="1:21" s="189" customFormat="1" ht="29.25" customHeight="1">
      <c r="A29" s="1091">
        <v>21</v>
      </c>
      <c r="B29" s="1092" t="s">
        <v>1312</v>
      </c>
      <c r="C29" s="1093">
        <v>0</v>
      </c>
      <c r="D29" s="1093">
        <f t="shared" si="2"/>
        <v>0</v>
      </c>
      <c r="E29" s="1093"/>
      <c r="F29" s="1093"/>
      <c r="G29" s="1093"/>
      <c r="H29" s="1093"/>
      <c r="I29" s="1093"/>
      <c r="J29" s="1093"/>
      <c r="K29" s="1093"/>
      <c r="L29" s="1093"/>
      <c r="M29" s="1093"/>
      <c r="N29" s="1093"/>
      <c r="O29" s="1093"/>
      <c r="P29" s="1093"/>
      <c r="Q29" s="1093"/>
      <c r="R29" s="1093"/>
      <c r="S29" s="1093"/>
      <c r="T29" s="1096">
        <v>0</v>
      </c>
      <c r="U29" s="605"/>
    </row>
    <row r="30" spans="1:21" s="189" customFormat="1" ht="29.25" customHeight="1">
      <c r="A30" s="1091">
        <v>22</v>
      </c>
      <c r="B30" s="1092" t="s">
        <v>1313</v>
      </c>
      <c r="C30" s="1093">
        <v>11</v>
      </c>
      <c r="D30" s="1093">
        <f t="shared" si="2"/>
        <v>11</v>
      </c>
      <c r="E30" s="1093">
        <f>'[4]03'!X412/1000000</f>
        <v>11</v>
      </c>
      <c r="F30" s="1093"/>
      <c r="G30" s="1093"/>
      <c r="H30" s="1093"/>
      <c r="I30" s="1093"/>
      <c r="J30" s="1093"/>
      <c r="K30" s="1093"/>
      <c r="L30" s="1093"/>
      <c r="M30" s="1093"/>
      <c r="N30" s="1093"/>
      <c r="O30" s="1093"/>
      <c r="P30" s="1093"/>
      <c r="Q30" s="1093"/>
      <c r="R30" s="1093"/>
      <c r="S30" s="1093"/>
      <c r="T30" s="1094">
        <f t="shared" si="1"/>
        <v>100</v>
      </c>
      <c r="U30" s="605"/>
    </row>
    <row r="31" spans="1:21" s="189" customFormat="1" ht="29.25" customHeight="1">
      <c r="A31" s="1091">
        <v>23</v>
      </c>
      <c r="B31" s="1092" t="s">
        <v>1314</v>
      </c>
      <c r="C31" s="1093">
        <v>300</v>
      </c>
      <c r="D31" s="1093">
        <f t="shared" si="2"/>
        <v>137.473705</v>
      </c>
      <c r="E31" s="1093">
        <f>'[4]03'!X418/1000000</f>
        <v>137.473705</v>
      </c>
      <c r="F31" s="1093"/>
      <c r="G31" s="1093"/>
      <c r="H31" s="1093"/>
      <c r="I31" s="1093"/>
      <c r="J31" s="1093"/>
      <c r="K31" s="1093"/>
      <c r="L31" s="1093"/>
      <c r="M31" s="1093"/>
      <c r="N31" s="1093"/>
      <c r="O31" s="1093"/>
      <c r="P31" s="1093"/>
      <c r="Q31" s="1093"/>
      <c r="R31" s="1093"/>
      <c r="S31" s="1093"/>
      <c r="T31" s="1094">
        <f t="shared" si="1"/>
        <v>45.824568333333332</v>
      </c>
      <c r="U31" s="605"/>
    </row>
    <row r="32" spans="1:21" s="189" customFormat="1" ht="20.25" customHeight="1">
      <c r="A32" s="1091">
        <v>24</v>
      </c>
      <c r="B32" s="1092" t="s">
        <v>1315</v>
      </c>
      <c r="C32" s="1093">
        <v>6100</v>
      </c>
      <c r="D32" s="1093">
        <f t="shared" si="2"/>
        <v>6009</v>
      </c>
      <c r="E32" s="1093"/>
      <c r="F32" s="1093">
        <v>6009</v>
      </c>
      <c r="G32" s="1093"/>
      <c r="H32" s="1093"/>
      <c r="I32" s="1093"/>
      <c r="J32" s="1093"/>
      <c r="K32" s="1093"/>
      <c r="L32" s="1093"/>
      <c r="M32" s="1093"/>
      <c r="N32" s="1093"/>
      <c r="O32" s="1093"/>
      <c r="P32" s="1093"/>
      <c r="Q32" s="1093"/>
      <c r="R32" s="1093"/>
      <c r="S32" s="1093"/>
      <c r="T32" s="1094">
        <f t="shared" si="1"/>
        <v>98.508196721311478</v>
      </c>
      <c r="U32" s="605"/>
    </row>
    <row r="33" spans="1:21" s="189" customFormat="1" ht="28.5" customHeight="1">
      <c r="A33" s="1091">
        <v>25</v>
      </c>
      <c r="B33" s="1092" t="s">
        <v>1316</v>
      </c>
      <c r="C33" s="1093">
        <v>8523</v>
      </c>
      <c r="D33" s="1093">
        <f>N33</f>
        <v>8523</v>
      </c>
      <c r="E33" s="1093"/>
      <c r="F33" s="1093"/>
      <c r="G33" s="1093"/>
      <c r="H33" s="1093"/>
      <c r="I33" s="1093"/>
      <c r="J33" s="1093"/>
      <c r="K33" s="1093"/>
      <c r="L33" s="1093"/>
      <c r="M33" s="1093"/>
      <c r="N33" s="1093">
        <v>8523</v>
      </c>
      <c r="O33" s="1093"/>
      <c r="P33" s="1093">
        <v>8523</v>
      </c>
      <c r="Q33" s="1093"/>
      <c r="R33" s="1093"/>
      <c r="S33" s="1093" t="s">
        <v>1317</v>
      </c>
      <c r="T33" s="1094">
        <f t="shared" si="1"/>
        <v>100</v>
      </c>
      <c r="U33" s="605"/>
    </row>
    <row r="34" spans="1:21" s="189" customFormat="1" ht="27" customHeight="1">
      <c r="A34" s="1091">
        <v>26</v>
      </c>
      <c r="B34" s="1092" t="s">
        <v>1318</v>
      </c>
      <c r="C34" s="1093">
        <f>1446+1875</f>
        <v>3321</v>
      </c>
      <c r="D34" s="1093">
        <f t="shared" si="2"/>
        <v>6810</v>
      </c>
      <c r="E34" s="1093"/>
      <c r="F34" s="1093"/>
      <c r="G34" s="1093"/>
      <c r="H34" s="1093"/>
      <c r="I34" s="1093"/>
      <c r="J34" s="1093"/>
      <c r="K34" s="1093"/>
      <c r="L34" s="1093"/>
      <c r="M34" s="1093"/>
      <c r="N34" s="1093">
        <v>6810</v>
      </c>
      <c r="O34" s="1093"/>
      <c r="P34" s="1093">
        <v>6810</v>
      </c>
      <c r="Q34" s="1093"/>
      <c r="R34" s="1093"/>
      <c r="S34" s="1093"/>
      <c r="T34" s="1094">
        <f t="shared" si="1"/>
        <v>205.05871725383921</v>
      </c>
      <c r="U34" s="605"/>
    </row>
    <row r="35" spans="1:21" s="189" customFormat="1" ht="20.25" customHeight="1">
      <c r="A35" s="1091">
        <v>27</v>
      </c>
      <c r="B35" s="1092" t="s">
        <v>1319</v>
      </c>
      <c r="C35" s="1093">
        <v>15720</v>
      </c>
      <c r="D35" s="1093">
        <f t="shared" si="2"/>
        <v>42618</v>
      </c>
      <c r="E35" s="1093">
        <v>12794</v>
      </c>
      <c r="F35" s="1093"/>
      <c r="G35" s="1093"/>
      <c r="H35" s="1093"/>
      <c r="I35" s="1093"/>
      <c r="J35" s="1093"/>
      <c r="K35" s="1093"/>
      <c r="L35" s="1093"/>
      <c r="M35" s="1093"/>
      <c r="N35" s="1093">
        <f>19899+5254</f>
        <v>25153</v>
      </c>
      <c r="O35" s="1093">
        <v>8551</v>
      </c>
      <c r="P35" s="1093">
        <f>11348+5254</f>
        <v>16602</v>
      </c>
      <c r="Q35" s="1093">
        <v>4671</v>
      </c>
      <c r="R35" s="1093"/>
      <c r="S35" s="1093"/>
      <c r="T35" s="1094">
        <f t="shared" si="1"/>
        <v>271.10687022900765</v>
      </c>
      <c r="U35" s="605"/>
    </row>
    <row r="36" spans="1:21" s="189" customFormat="1" ht="22.5" customHeight="1">
      <c r="A36" s="1091">
        <v>28</v>
      </c>
      <c r="B36" s="1092" t="s">
        <v>1320</v>
      </c>
      <c r="C36" s="1093">
        <v>11278</v>
      </c>
      <c r="D36" s="1093">
        <f t="shared" si="2"/>
        <v>12337.5</v>
      </c>
      <c r="E36" s="1093">
        <v>4310</v>
      </c>
      <c r="F36" s="1093"/>
      <c r="G36" s="1093"/>
      <c r="H36" s="1093"/>
      <c r="I36" s="1093">
        <v>1660</v>
      </c>
      <c r="J36" s="1093"/>
      <c r="K36" s="1093"/>
      <c r="L36" s="1093"/>
      <c r="M36" s="1093"/>
      <c r="N36" s="1093">
        <f>3142+1910</f>
        <v>5052</v>
      </c>
      <c r="O36" s="1093">
        <v>1075</v>
      </c>
      <c r="P36" s="1093">
        <f>N36-O36</f>
        <v>3977</v>
      </c>
      <c r="Q36" s="1093">
        <v>1315.5</v>
      </c>
      <c r="R36" s="1093"/>
      <c r="S36" s="1093"/>
      <c r="T36" s="1094">
        <f t="shared" si="1"/>
        <v>109.39439616953361</v>
      </c>
      <c r="U36" s="605"/>
    </row>
    <row r="37" spans="1:21" s="189" customFormat="1" ht="24" customHeight="1">
      <c r="A37" s="1091">
        <v>29</v>
      </c>
      <c r="B37" s="1092" t="s">
        <v>1321</v>
      </c>
      <c r="C37" s="1093">
        <v>14646</v>
      </c>
      <c r="D37" s="1093">
        <f t="shared" si="2"/>
        <v>21138</v>
      </c>
      <c r="E37" s="1093">
        <v>3399</v>
      </c>
      <c r="F37" s="1093"/>
      <c r="G37" s="1093"/>
      <c r="H37" s="1093"/>
      <c r="I37" s="1093"/>
      <c r="J37" s="1093"/>
      <c r="K37" s="1093"/>
      <c r="L37" s="1093"/>
      <c r="M37" s="1093"/>
      <c r="N37" s="1093">
        <f>7297+4548+1016</f>
        <v>12861</v>
      </c>
      <c r="O37" s="1093">
        <f>6512</f>
        <v>6512</v>
      </c>
      <c r="P37" s="1093">
        <f>785+4548+1016</f>
        <v>6349</v>
      </c>
      <c r="Q37" s="1093">
        <v>4878</v>
      </c>
      <c r="R37" s="1093"/>
      <c r="S37" s="1093"/>
      <c r="T37" s="1094">
        <f t="shared" si="1"/>
        <v>144.32609586235148</v>
      </c>
      <c r="U37" s="605"/>
    </row>
    <row r="38" spans="1:21" s="189" customFormat="1" ht="23.45" customHeight="1">
      <c r="A38" s="1091">
        <v>30</v>
      </c>
      <c r="B38" s="1092" t="s">
        <v>1322</v>
      </c>
      <c r="C38" s="1093">
        <v>16018</v>
      </c>
      <c r="D38" s="1093">
        <f t="shared" si="2"/>
        <v>29807</v>
      </c>
      <c r="E38" s="1093">
        <v>2085</v>
      </c>
      <c r="F38" s="1093"/>
      <c r="G38" s="1093">
        <v>19524</v>
      </c>
      <c r="H38" s="1093"/>
      <c r="I38" s="1093"/>
      <c r="J38" s="1093"/>
      <c r="K38" s="1093"/>
      <c r="L38" s="1093"/>
      <c r="M38" s="1093"/>
      <c r="N38" s="1093">
        <f>4378+3604</f>
        <v>7982</v>
      </c>
      <c r="O38" s="1093">
        <v>3848</v>
      </c>
      <c r="P38" s="1093">
        <f>530+3604</f>
        <v>4134</v>
      </c>
      <c r="Q38" s="1093">
        <v>216</v>
      </c>
      <c r="R38" s="1093"/>
      <c r="S38" s="1093"/>
      <c r="T38" s="1094">
        <f t="shared" si="1"/>
        <v>186.08440504432514</v>
      </c>
      <c r="U38" s="605"/>
    </row>
    <row r="39" spans="1:21" s="189" customFormat="1" ht="23.25" customHeight="1">
      <c r="A39" s="1091">
        <v>31</v>
      </c>
      <c r="B39" s="1092" t="s">
        <v>1323</v>
      </c>
      <c r="C39" s="1093">
        <v>6366</v>
      </c>
      <c r="D39" s="1093">
        <f t="shared" si="2"/>
        <v>14072</v>
      </c>
      <c r="E39" s="1093">
        <v>8647</v>
      </c>
      <c r="F39" s="1093"/>
      <c r="G39" s="1093"/>
      <c r="H39" s="1093"/>
      <c r="I39" s="1093"/>
      <c r="J39" s="1093"/>
      <c r="K39" s="1093"/>
      <c r="L39" s="1093"/>
      <c r="M39" s="1093"/>
      <c r="N39" s="1093">
        <f>2276+2871</f>
        <v>5147</v>
      </c>
      <c r="O39" s="1093">
        <v>2871</v>
      </c>
      <c r="P39" s="1093">
        <v>2276</v>
      </c>
      <c r="Q39" s="1093">
        <v>278</v>
      </c>
      <c r="R39" s="1093"/>
      <c r="S39" s="1093"/>
      <c r="T39" s="1094">
        <f t="shared" si="1"/>
        <v>221.04932453660069</v>
      </c>
      <c r="U39" s="605"/>
    </row>
    <row r="40" spans="1:21" s="189" customFormat="1" ht="22.5" customHeight="1">
      <c r="A40" s="1091">
        <v>32</v>
      </c>
      <c r="B40" s="1092" t="s">
        <v>1324</v>
      </c>
      <c r="C40" s="1093">
        <v>12252</v>
      </c>
      <c r="D40" s="1093">
        <f t="shared" si="2"/>
        <v>19024</v>
      </c>
      <c r="E40" s="1093">
        <v>3084</v>
      </c>
      <c r="F40" s="1093"/>
      <c r="G40" s="1093"/>
      <c r="H40" s="1093"/>
      <c r="I40" s="1093"/>
      <c r="J40" s="1093"/>
      <c r="K40" s="1093"/>
      <c r="L40" s="1093"/>
      <c r="M40" s="1093"/>
      <c r="N40" s="1093">
        <f>5453+10487</f>
        <v>15940</v>
      </c>
      <c r="O40" s="1093">
        <v>3513</v>
      </c>
      <c r="P40" s="1093">
        <f>1940+10487</f>
        <v>12427</v>
      </c>
      <c r="Q40" s="1093"/>
      <c r="R40" s="1093"/>
      <c r="S40" s="1093"/>
      <c r="T40" s="1094">
        <f t="shared" si="1"/>
        <v>155.27260855370551</v>
      </c>
      <c r="U40" s="605"/>
    </row>
    <row r="41" spans="1:21" s="189" customFormat="1" ht="22.5" customHeight="1">
      <c r="A41" s="1097">
        <v>33</v>
      </c>
      <c r="B41" s="1098" t="s">
        <v>1325</v>
      </c>
      <c r="C41" s="1099">
        <v>15589</v>
      </c>
      <c r="D41" s="1099">
        <f>SUM(E41:N41)+Q41+R41+S41</f>
        <v>20738</v>
      </c>
      <c r="E41" s="1099">
        <v>4430</v>
      </c>
      <c r="F41" s="1099"/>
      <c r="G41" s="1099"/>
      <c r="H41" s="1099"/>
      <c r="I41" s="1099"/>
      <c r="J41" s="1099">
        <v>600</v>
      </c>
      <c r="K41" s="1099"/>
      <c r="L41" s="1099"/>
      <c r="M41" s="1099"/>
      <c r="N41" s="1099">
        <f>11725+3983</f>
        <v>15708</v>
      </c>
      <c r="O41" s="1099">
        <v>9345</v>
      </c>
      <c r="P41" s="1099">
        <f>2380+3983</f>
        <v>6363</v>
      </c>
      <c r="Q41" s="1099"/>
      <c r="R41" s="1099"/>
      <c r="S41" s="1099"/>
      <c r="T41" s="1100">
        <f t="shared" si="1"/>
        <v>133.02970042979024</v>
      </c>
      <c r="U41" s="605"/>
    </row>
    <row r="42" spans="1:21" s="189" customFormat="1" ht="21.75" customHeight="1">
      <c r="A42" s="1115">
        <v>34</v>
      </c>
      <c r="B42" s="1144" t="s">
        <v>2090</v>
      </c>
      <c r="C42" s="1145">
        <v>4907</v>
      </c>
      <c r="D42" s="1101">
        <v>0</v>
      </c>
      <c r="E42" s="1102"/>
      <c r="F42" s="1102"/>
      <c r="G42" s="1102"/>
      <c r="H42" s="1102"/>
      <c r="I42" s="1102"/>
      <c r="J42" s="1102"/>
      <c r="K42" s="1102"/>
      <c r="L42" s="1102"/>
      <c r="M42" s="1102"/>
      <c r="N42" s="1102"/>
      <c r="O42" s="1102"/>
      <c r="P42" s="1102"/>
      <c r="Q42" s="1102"/>
      <c r="R42" s="1102"/>
      <c r="S42" s="1102"/>
      <c r="T42" s="1102"/>
    </row>
    <row r="43" spans="1:21" s="189" customFormat="1" ht="76.5" customHeight="1">
      <c r="A43" s="1103" t="s">
        <v>7</v>
      </c>
      <c r="B43" s="1084" t="s">
        <v>94</v>
      </c>
      <c r="C43" s="1104">
        <v>5500</v>
      </c>
      <c r="D43" s="1104">
        <v>11500</v>
      </c>
      <c r="E43" s="1105"/>
      <c r="F43" s="1105"/>
      <c r="G43" s="1105"/>
      <c r="H43" s="1105"/>
      <c r="I43" s="1105"/>
      <c r="J43" s="1105"/>
      <c r="K43" s="1105"/>
      <c r="L43" s="1105"/>
      <c r="M43" s="1105"/>
      <c r="N43" s="1104">
        <v>11500</v>
      </c>
      <c r="O43" s="1105"/>
      <c r="P43" s="1106">
        <v>11500</v>
      </c>
      <c r="Q43" s="1105"/>
      <c r="R43" s="1105"/>
      <c r="S43" s="1105"/>
      <c r="T43" s="1107">
        <f>D43/C43%</f>
        <v>209.09090909090909</v>
      </c>
    </row>
    <row r="44" spans="1:21" s="1077" customFormat="1" ht="21" customHeight="1">
      <c r="A44" s="1715" t="s">
        <v>2091</v>
      </c>
      <c r="B44" s="1716"/>
      <c r="C44" s="1104">
        <f>C8+C43</f>
        <v>458855</v>
      </c>
      <c r="D44" s="1104">
        <f>D8+D43</f>
        <v>584917.89877899992</v>
      </c>
      <c r="E44" s="1104">
        <f>E8+E43</f>
        <v>79524.473704999997</v>
      </c>
      <c r="F44" s="1104">
        <f t="shared" ref="F44:S44" si="3">F8+F43</f>
        <v>18119</v>
      </c>
      <c r="G44" s="1104">
        <f t="shared" si="3"/>
        <v>40133</v>
      </c>
      <c r="H44" s="1104">
        <f t="shared" si="3"/>
        <v>0</v>
      </c>
      <c r="I44" s="1104">
        <f t="shared" si="3"/>
        <v>45722</v>
      </c>
      <c r="J44" s="1104">
        <f t="shared" si="3"/>
        <v>1394</v>
      </c>
      <c r="K44" s="1104">
        <f t="shared" si="3"/>
        <v>1075</v>
      </c>
      <c r="L44" s="1104">
        <f t="shared" si="3"/>
        <v>0</v>
      </c>
      <c r="M44" s="1104">
        <f t="shared" si="3"/>
        <v>2400</v>
      </c>
      <c r="N44" s="1104">
        <f>N8+N43</f>
        <v>302983.12507399998</v>
      </c>
      <c r="O44" s="1104">
        <f t="shared" si="3"/>
        <v>170628</v>
      </c>
      <c r="P44" s="1104">
        <f t="shared" si="3"/>
        <v>132355.12507400001</v>
      </c>
      <c r="Q44" s="1104">
        <f t="shared" si="3"/>
        <v>25920.3</v>
      </c>
      <c r="R44" s="1104">
        <f t="shared" si="3"/>
        <v>0</v>
      </c>
      <c r="S44" s="1104">
        <f t="shared" si="3"/>
        <v>67647</v>
      </c>
      <c r="T44" s="1104"/>
    </row>
    <row r="45" spans="1:21" s="189" customFormat="1" ht="12" customHeight="1">
      <c r="A45" s="1076"/>
      <c r="B45" s="1076"/>
      <c r="C45" s="1073"/>
      <c r="D45" s="1073"/>
      <c r="E45" s="1074"/>
      <c r="F45" s="1074"/>
      <c r="G45" s="1074"/>
      <c r="H45" s="1074"/>
      <c r="I45" s="1074"/>
      <c r="J45" s="1074"/>
      <c r="K45" s="1074"/>
      <c r="L45" s="1074"/>
      <c r="M45" s="1074"/>
      <c r="N45" s="1073"/>
      <c r="O45" s="1074"/>
      <c r="P45" s="1074"/>
      <c r="Q45" s="1074"/>
      <c r="R45" s="1074"/>
      <c r="S45" s="1074"/>
      <c r="T45" s="1075"/>
    </row>
    <row r="46" spans="1:21" s="189" customFormat="1" ht="17.25" customHeight="1">
      <c r="O46" s="1718" t="s">
        <v>2050</v>
      </c>
      <c r="P46" s="1718"/>
      <c r="Q46" s="1718"/>
      <c r="R46" s="1718"/>
      <c r="S46" s="1718"/>
      <c r="T46" s="1718"/>
    </row>
    <row r="47" spans="1:21" s="189" customFormat="1" ht="15" customHeight="1">
      <c r="O47" s="1719" t="s">
        <v>222</v>
      </c>
      <c r="P47" s="1719"/>
      <c r="Q47" s="1719"/>
      <c r="R47" s="1719"/>
      <c r="S47" s="1719"/>
      <c r="T47" s="1719"/>
    </row>
    <row r="48" spans="1:21" s="189" customFormat="1" ht="15" customHeight="1">
      <c r="O48" s="1719" t="s">
        <v>223</v>
      </c>
      <c r="P48" s="1719"/>
      <c r="Q48" s="1719"/>
      <c r="R48" s="1719"/>
      <c r="S48" s="1719"/>
      <c r="T48" s="1719"/>
    </row>
    <row r="49" spans="1:20" ht="15.75" customHeight="1">
      <c r="A49" s="189"/>
      <c r="B49" s="189"/>
      <c r="O49" s="1721" t="s">
        <v>224</v>
      </c>
      <c r="P49" s="1721"/>
      <c r="Q49" s="1721"/>
      <c r="R49" s="1721"/>
      <c r="S49" s="1721"/>
      <c r="T49" s="1721"/>
    </row>
  </sheetData>
  <autoFilter ref="B1:B49"/>
  <mergeCells count="28">
    <mergeCell ref="O49:T49"/>
    <mergeCell ref="Q5:Q6"/>
    <mergeCell ref="R5:R6"/>
    <mergeCell ref="S5:S6"/>
    <mergeCell ref="T5:T6"/>
    <mergeCell ref="O5:P5"/>
    <mergeCell ref="O48:T48"/>
    <mergeCell ref="J5:J6"/>
    <mergeCell ref="K5:K6"/>
    <mergeCell ref="L5:L6"/>
    <mergeCell ref="M5:M6"/>
    <mergeCell ref="N5:N6"/>
    <mergeCell ref="A44:B44"/>
    <mergeCell ref="P1:T1"/>
    <mergeCell ref="A1:C1"/>
    <mergeCell ref="O46:T46"/>
    <mergeCell ref="O47:T47"/>
    <mergeCell ref="A2:T2"/>
    <mergeCell ref="A5:A6"/>
    <mergeCell ref="B5:B6"/>
    <mergeCell ref="C5:C6"/>
    <mergeCell ref="D5:D6"/>
    <mergeCell ref="E5:E6"/>
    <mergeCell ref="A3:T3"/>
    <mergeCell ref="F5:F6"/>
    <mergeCell ref="G5:G6"/>
    <mergeCell ref="H5:H6"/>
    <mergeCell ref="I5:I6"/>
  </mergeCells>
  <pageMargins left="0.15748031496063" right="0.15748031496063" top="0.35" bottom="0.36" header="0.23622047244094499" footer="0.2"/>
  <pageSetup paperSize="9" firstPageNumber="25" orientation="landscape" useFirstPageNumber="1" r:id="rId1"/>
  <headerFooter>
    <oddFooter>&amp;C&amp;P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U94"/>
  <sheetViews>
    <sheetView zoomScale="90" zoomScaleNormal="90" workbookViewId="0">
      <pane xSplit="2" ySplit="8" topLeftCell="C54" activePane="bottomRight" state="frozen"/>
      <selection pane="topRight" activeCell="C1" sqref="C1"/>
      <selection pane="bottomLeft" activeCell="A8" sqref="A8"/>
      <selection pane="bottomRight" activeCell="W7" sqref="W7"/>
    </sheetView>
  </sheetViews>
  <sheetFormatPr defaultColWidth="8.140625" defaultRowHeight="15"/>
  <cols>
    <col min="1" max="1" width="5.42578125" style="201" customWidth="1"/>
    <col min="2" max="2" width="35.5703125" style="191" customWidth="1"/>
    <col min="3" max="3" width="9.42578125" style="199" customWidth="1"/>
    <col min="4" max="4" width="9.85546875" style="192" customWidth="1"/>
    <col min="5" max="5" width="9.42578125" style="192" customWidth="1"/>
    <col min="6" max="6" width="8.7109375" style="192" customWidth="1"/>
    <col min="7" max="7" width="8.28515625" style="192" customWidth="1"/>
    <col min="8" max="8" width="8.140625" style="192" customWidth="1"/>
    <col min="9" max="9" width="8.85546875" style="192" customWidth="1"/>
    <col min="10" max="10" width="8" style="192" customWidth="1"/>
    <col min="11" max="12" width="8.140625" style="192" customWidth="1"/>
    <col min="13" max="13" width="8.42578125" style="192" customWidth="1"/>
    <col min="14" max="14" width="8.5703125" style="192" customWidth="1"/>
    <col min="15" max="15" width="8.140625" style="192" customWidth="1"/>
    <col min="16" max="16" width="8.85546875" style="192" customWidth="1"/>
    <col min="17" max="17" width="10.140625" style="192" customWidth="1"/>
    <col min="18" max="18" width="8.140625" style="192" customWidth="1"/>
    <col min="19" max="19" width="8.140625" style="200" customWidth="1"/>
    <col min="20" max="20" width="8.7109375" style="202" customWidth="1"/>
    <col min="21" max="21" width="15.5703125" style="191" hidden="1" customWidth="1"/>
    <col min="22" max="24" width="8.140625" style="191"/>
    <col min="25" max="25" width="8.140625" style="191" customWidth="1"/>
    <col min="26" max="256" width="8.140625" style="191"/>
    <col min="257" max="257" width="5.42578125" style="191" customWidth="1"/>
    <col min="258" max="258" width="32" style="191" customWidth="1"/>
    <col min="259" max="259" width="10.140625" style="191" customWidth="1"/>
    <col min="260" max="260" width="15.7109375" style="191" customWidth="1"/>
    <col min="261" max="261" width="12.42578125" style="191" customWidth="1"/>
    <col min="262" max="262" width="7.140625" style="191" customWidth="1"/>
    <col min="263" max="263" width="7.28515625" style="191" customWidth="1"/>
    <col min="264" max="264" width="8.85546875" style="191" customWidth="1"/>
    <col min="265" max="265" width="11.7109375" style="191" customWidth="1"/>
    <col min="266" max="266" width="11" style="191" customWidth="1"/>
    <col min="267" max="267" width="12.5703125" style="191" customWidth="1"/>
    <col min="268" max="268" width="10.140625" style="191" customWidth="1"/>
    <col min="269" max="269" width="12.42578125" style="191" customWidth="1"/>
    <col min="270" max="270" width="12.85546875" style="191" customWidth="1"/>
    <col min="271" max="271" width="13.140625" style="191" customWidth="1"/>
    <col min="272" max="272" width="10.140625" style="191" customWidth="1"/>
    <col min="273" max="273" width="13.140625" style="191" customWidth="1"/>
    <col min="274" max="274" width="8.28515625" style="191" customWidth="1"/>
    <col min="275" max="275" width="8.7109375" style="191" customWidth="1"/>
    <col min="276" max="276" width="5.7109375" style="191" customWidth="1"/>
    <col min="277" max="277" width="0" style="191" hidden="1" customWidth="1"/>
    <col min="278" max="280" width="8.140625" style="191"/>
    <col min="281" max="281" width="8.140625" style="191" customWidth="1"/>
    <col min="282" max="512" width="8.140625" style="191"/>
    <col min="513" max="513" width="5.42578125" style="191" customWidth="1"/>
    <col min="514" max="514" width="32" style="191" customWidth="1"/>
    <col min="515" max="515" width="10.140625" style="191" customWidth="1"/>
    <col min="516" max="516" width="15.7109375" style="191" customWidth="1"/>
    <col min="517" max="517" width="12.42578125" style="191" customWidth="1"/>
    <col min="518" max="518" width="7.140625" style="191" customWidth="1"/>
    <col min="519" max="519" width="7.28515625" style="191" customWidth="1"/>
    <col min="520" max="520" width="8.85546875" style="191" customWidth="1"/>
    <col min="521" max="521" width="11.7109375" style="191" customWidth="1"/>
    <col min="522" max="522" width="11" style="191" customWidth="1"/>
    <col min="523" max="523" width="12.5703125" style="191" customWidth="1"/>
    <col min="524" max="524" width="10.140625" style="191" customWidth="1"/>
    <col min="525" max="525" width="12.42578125" style="191" customWidth="1"/>
    <col min="526" max="526" width="12.85546875" style="191" customWidth="1"/>
    <col min="527" max="527" width="13.140625" style="191" customWidth="1"/>
    <col min="528" max="528" width="10.140625" style="191" customWidth="1"/>
    <col min="529" max="529" width="13.140625" style="191" customWidth="1"/>
    <col min="530" max="530" width="8.28515625" style="191" customWidth="1"/>
    <col min="531" max="531" width="8.7109375" style="191" customWidth="1"/>
    <col min="532" max="532" width="5.7109375" style="191" customWidth="1"/>
    <col min="533" max="533" width="0" style="191" hidden="1" customWidth="1"/>
    <col min="534" max="536" width="8.140625" style="191"/>
    <col min="537" max="537" width="8.140625" style="191" customWidth="1"/>
    <col min="538" max="768" width="8.140625" style="191"/>
    <col min="769" max="769" width="5.42578125" style="191" customWidth="1"/>
    <col min="770" max="770" width="32" style="191" customWidth="1"/>
    <col min="771" max="771" width="10.140625" style="191" customWidth="1"/>
    <col min="772" max="772" width="15.7109375" style="191" customWidth="1"/>
    <col min="773" max="773" width="12.42578125" style="191" customWidth="1"/>
    <col min="774" max="774" width="7.140625" style="191" customWidth="1"/>
    <col min="775" max="775" width="7.28515625" style="191" customWidth="1"/>
    <col min="776" max="776" width="8.85546875" style="191" customWidth="1"/>
    <col min="777" max="777" width="11.7109375" style="191" customWidth="1"/>
    <col min="778" max="778" width="11" style="191" customWidth="1"/>
    <col min="779" max="779" width="12.5703125" style="191" customWidth="1"/>
    <col min="780" max="780" width="10.140625" style="191" customWidth="1"/>
    <col min="781" max="781" width="12.42578125" style="191" customWidth="1"/>
    <col min="782" max="782" width="12.85546875" style="191" customWidth="1"/>
    <col min="783" max="783" width="13.140625" style="191" customWidth="1"/>
    <col min="784" max="784" width="10.140625" style="191" customWidth="1"/>
    <col min="785" max="785" width="13.140625" style="191" customWidth="1"/>
    <col min="786" max="786" width="8.28515625" style="191" customWidth="1"/>
    <col min="787" max="787" width="8.7109375" style="191" customWidth="1"/>
    <col min="788" max="788" width="5.7109375" style="191" customWidth="1"/>
    <col min="789" max="789" width="0" style="191" hidden="1" customWidth="1"/>
    <col min="790" max="792" width="8.140625" style="191"/>
    <col min="793" max="793" width="8.140625" style="191" customWidth="1"/>
    <col min="794" max="1024" width="8.140625" style="191"/>
    <col min="1025" max="1025" width="5.42578125" style="191" customWidth="1"/>
    <col min="1026" max="1026" width="32" style="191" customWidth="1"/>
    <col min="1027" max="1027" width="10.140625" style="191" customWidth="1"/>
    <col min="1028" max="1028" width="15.7109375" style="191" customWidth="1"/>
    <col min="1029" max="1029" width="12.42578125" style="191" customWidth="1"/>
    <col min="1030" max="1030" width="7.140625" style="191" customWidth="1"/>
    <col min="1031" max="1031" width="7.28515625" style="191" customWidth="1"/>
    <col min="1032" max="1032" width="8.85546875" style="191" customWidth="1"/>
    <col min="1033" max="1033" width="11.7109375" style="191" customWidth="1"/>
    <col min="1034" max="1034" width="11" style="191" customWidth="1"/>
    <col min="1035" max="1035" width="12.5703125" style="191" customWidth="1"/>
    <col min="1036" max="1036" width="10.140625" style="191" customWidth="1"/>
    <col min="1037" max="1037" width="12.42578125" style="191" customWidth="1"/>
    <col min="1038" max="1038" width="12.85546875" style="191" customWidth="1"/>
    <col min="1039" max="1039" width="13.140625" style="191" customWidth="1"/>
    <col min="1040" max="1040" width="10.140625" style="191" customWidth="1"/>
    <col min="1041" max="1041" width="13.140625" style="191" customWidth="1"/>
    <col min="1042" max="1042" width="8.28515625" style="191" customWidth="1"/>
    <col min="1043" max="1043" width="8.7109375" style="191" customWidth="1"/>
    <col min="1044" max="1044" width="5.7109375" style="191" customWidth="1"/>
    <col min="1045" max="1045" width="0" style="191" hidden="1" customWidth="1"/>
    <col min="1046" max="1048" width="8.140625" style="191"/>
    <col min="1049" max="1049" width="8.140625" style="191" customWidth="1"/>
    <col min="1050" max="1280" width="8.140625" style="191"/>
    <col min="1281" max="1281" width="5.42578125" style="191" customWidth="1"/>
    <col min="1282" max="1282" width="32" style="191" customWidth="1"/>
    <col min="1283" max="1283" width="10.140625" style="191" customWidth="1"/>
    <col min="1284" max="1284" width="15.7109375" style="191" customWidth="1"/>
    <col min="1285" max="1285" width="12.42578125" style="191" customWidth="1"/>
    <col min="1286" max="1286" width="7.140625" style="191" customWidth="1"/>
    <col min="1287" max="1287" width="7.28515625" style="191" customWidth="1"/>
    <col min="1288" max="1288" width="8.85546875" style="191" customWidth="1"/>
    <col min="1289" max="1289" width="11.7109375" style="191" customWidth="1"/>
    <col min="1290" max="1290" width="11" style="191" customWidth="1"/>
    <col min="1291" max="1291" width="12.5703125" style="191" customWidth="1"/>
    <col min="1292" max="1292" width="10.140625" style="191" customWidth="1"/>
    <col min="1293" max="1293" width="12.42578125" style="191" customWidth="1"/>
    <col min="1294" max="1294" width="12.85546875" style="191" customWidth="1"/>
    <col min="1295" max="1295" width="13.140625" style="191" customWidth="1"/>
    <col min="1296" max="1296" width="10.140625" style="191" customWidth="1"/>
    <col min="1297" max="1297" width="13.140625" style="191" customWidth="1"/>
    <col min="1298" max="1298" width="8.28515625" style="191" customWidth="1"/>
    <col min="1299" max="1299" width="8.7109375" style="191" customWidth="1"/>
    <col min="1300" max="1300" width="5.7109375" style="191" customWidth="1"/>
    <col min="1301" max="1301" width="0" style="191" hidden="1" customWidth="1"/>
    <col min="1302" max="1304" width="8.140625" style="191"/>
    <col min="1305" max="1305" width="8.140625" style="191" customWidth="1"/>
    <col min="1306" max="1536" width="8.140625" style="191"/>
    <col min="1537" max="1537" width="5.42578125" style="191" customWidth="1"/>
    <col min="1538" max="1538" width="32" style="191" customWidth="1"/>
    <col min="1539" max="1539" width="10.140625" style="191" customWidth="1"/>
    <col min="1540" max="1540" width="15.7109375" style="191" customWidth="1"/>
    <col min="1541" max="1541" width="12.42578125" style="191" customWidth="1"/>
    <col min="1542" max="1542" width="7.140625" style="191" customWidth="1"/>
    <col min="1543" max="1543" width="7.28515625" style="191" customWidth="1"/>
    <col min="1544" max="1544" width="8.85546875" style="191" customWidth="1"/>
    <col min="1545" max="1545" width="11.7109375" style="191" customWidth="1"/>
    <col min="1546" max="1546" width="11" style="191" customWidth="1"/>
    <col min="1547" max="1547" width="12.5703125" style="191" customWidth="1"/>
    <col min="1548" max="1548" width="10.140625" style="191" customWidth="1"/>
    <col min="1549" max="1549" width="12.42578125" style="191" customWidth="1"/>
    <col min="1550" max="1550" width="12.85546875" style="191" customWidth="1"/>
    <col min="1551" max="1551" width="13.140625" style="191" customWidth="1"/>
    <col min="1552" max="1552" width="10.140625" style="191" customWidth="1"/>
    <col min="1553" max="1553" width="13.140625" style="191" customWidth="1"/>
    <col min="1554" max="1554" width="8.28515625" style="191" customWidth="1"/>
    <col min="1555" max="1555" width="8.7109375" style="191" customWidth="1"/>
    <col min="1556" max="1556" width="5.7109375" style="191" customWidth="1"/>
    <col min="1557" max="1557" width="0" style="191" hidden="1" customWidth="1"/>
    <col min="1558" max="1560" width="8.140625" style="191"/>
    <col min="1561" max="1561" width="8.140625" style="191" customWidth="1"/>
    <col min="1562" max="1792" width="8.140625" style="191"/>
    <col min="1793" max="1793" width="5.42578125" style="191" customWidth="1"/>
    <col min="1794" max="1794" width="32" style="191" customWidth="1"/>
    <col min="1795" max="1795" width="10.140625" style="191" customWidth="1"/>
    <col min="1796" max="1796" width="15.7109375" style="191" customWidth="1"/>
    <col min="1797" max="1797" width="12.42578125" style="191" customWidth="1"/>
    <col min="1798" max="1798" width="7.140625" style="191" customWidth="1"/>
    <col min="1799" max="1799" width="7.28515625" style="191" customWidth="1"/>
    <col min="1800" max="1800" width="8.85546875" style="191" customWidth="1"/>
    <col min="1801" max="1801" width="11.7109375" style="191" customWidth="1"/>
    <col min="1802" max="1802" width="11" style="191" customWidth="1"/>
    <col min="1803" max="1803" width="12.5703125" style="191" customWidth="1"/>
    <col min="1804" max="1804" width="10.140625" style="191" customWidth="1"/>
    <col min="1805" max="1805" width="12.42578125" style="191" customWidth="1"/>
    <col min="1806" max="1806" width="12.85546875" style="191" customWidth="1"/>
    <col min="1807" max="1807" width="13.140625" style="191" customWidth="1"/>
    <col min="1808" max="1808" width="10.140625" style="191" customWidth="1"/>
    <col min="1809" max="1809" width="13.140625" style="191" customWidth="1"/>
    <col min="1810" max="1810" width="8.28515625" style="191" customWidth="1"/>
    <col min="1811" max="1811" width="8.7109375" style="191" customWidth="1"/>
    <col min="1812" max="1812" width="5.7109375" style="191" customWidth="1"/>
    <col min="1813" max="1813" width="0" style="191" hidden="1" customWidth="1"/>
    <col min="1814" max="1816" width="8.140625" style="191"/>
    <col min="1817" max="1817" width="8.140625" style="191" customWidth="1"/>
    <col min="1818" max="2048" width="8.140625" style="191"/>
    <col min="2049" max="2049" width="5.42578125" style="191" customWidth="1"/>
    <col min="2050" max="2050" width="32" style="191" customWidth="1"/>
    <col min="2051" max="2051" width="10.140625" style="191" customWidth="1"/>
    <col min="2052" max="2052" width="15.7109375" style="191" customWidth="1"/>
    <col min="2053" max="2053" width="12.42578125" style="191" customWidth="1"/>
    <col min="2054" max="2054" width="7.140625" style="191" customWidth="1"/>
    <col min="2055" max="2055" width="7.28515625" style="191" customWidth="1"/>
    <col min="2056" max="2056" width="8.85546875" style="191" customWidth="1"/>
    <col min="2057" max="2057" width="11.7109375" style="191" customWidth="1"/>
    <col min="2058" max="2058" width="11" style="191" customWidth="1"/>
    <col min="2059" max="2059" width="12.5703125" style="191" customWidth="1"/>
    <col min="2060" max="2060" width="10.140625" style="191" customWidth="1"/>
    <col min="2061" max="2061" width="12.42578125" style="191" customWidth="1"/>
    <col min="2062" max="2062" width="12.85546875" style="191" customWidth="1"/>
    <col min="2063" max="2063" width="13.140625" style="191" customWidth="1"/>
    <col min="2064" max="2064" width="10.140625" style="191" customWidth="1"/>
    <col min="2065" max="2065" width="13.140625" style="191" customWidth="1"/>
    <col min="2066" max="2066" width="8.28515625" style="191" customWidth="1"/>
    <col min="2067" max="2067" width="8.7109375" style="191" customWidth="1"/>
    <col min="2068" max="2068" width="5.7109375" style="191" customWidth="1"/>
    <col min="2069" max="2069" width="0" style="191" hidden="1" customWidth="1"/>
    <col min="2070" max="2072" width="8.140625" style="191"/>
    <col min="2073" max="2073" width="8.140625" style="191" customWidth="1"/>
    <col min="2074" max="2304" width="8.140625" style="191"/>
    <col min="2305" max="2305" width="5.42578125" style="191" customWidth="1"/>
    <col min="2306" max="2306" width="32" style="191" customWidth="1"/>
    <col min="2307" max="2307" width="10.140625" style="191" customWidth="1"/>
    <col min="2308" max="2308" width="15.7109375" style="191" customWidth="1"/>
    <col min="2309" max="2309" width="12.42578125" style="191" customWidth="1"/>
    <col min="2310" max="2310" width="7.140625" style="191" customWidth="1"/>
    <col min="2311" max="2311" width="7.28515625" style="191" customWidth="1"/>
    <col min="2312" max="2312" width="8.85546875" style="191" customWidth="1"/>
    <col min="2313" max="2313" width="11.7109375" style="191" customWidth="1"/>
    <col min="2314" max="2314" width="11" style="191" customWidth="1"/>
    <col min="2315" max="2315" width="12.5703125" style="191" customWidth="1"/>
    <col min="2316" max="2316" width="10.140625" style="191" customWidth="1"/>
    <col min="2317" max="2317" width="12.42578125" style="191" customWidth="1"/>
    <col min="2318" max="2318" width="12.85546875" style="191" customWidth="1"/>
    <col min="2319" max="2319" width="13.140625" style="191" customWidth="1"/>
    <col min="2320" max="2320" width="10.140625" style="191" customWidth="1"/>
    <col min="2321" max="2321" width="13.140625" style="191" customWidth="1"/>
    <col min="2322" max="2322" width="8.28515625" style="191" customWidth="1"/>
    <col min="2323" max="2323" width="8.7109375" style="191" customWidth="1"/>
    <col min="2324" max="2324" width="5.7109375" style="191" customWidth="1"/>
    <col min="2325" max="2325" width="0" style="191" hidden="1" customWidth="1"/>
    <col min="2326" max="2328" width="8.140625" style="191"/>
    <col min="2329" max="2329" width="8.140625" style="191" customWidth="1"/>
    <col min="2330" max="2560" width="8.140625" style="191"/>
    <col min="2561" max="2561" width="5.42578125" style="191" customWidth="1"/>
    <col min="2562" max="2562" width="32" style="191" customWidth="1"/>
    <col min="2563" max="2563" width="10.140625" style="191" customWidth="1"/>
    <col min="2564" max="2564" width="15.7109375" style="191" customWidth="1"/>
    <col min="2565" max="2565" width="12.42578125" style="191" customWidth="1"/>
    <col min="2566" max="2566" width="7.140625" style="191" customWidth="1"/>
    <col min="2567" max="2567" width="7.28515625" style="191" customWidth="1"/>
    <col min="2568" max="2568" width="8.85546875" style="191" customWidth="1"/>
    <col min="2569" max="2569" width="11.7109375" style="191" customWidth="1"/>
    <col min="2570" max="2570" width="11" style="191" customWidth="1"/>
    <col min="2571" max="2571" width="12.5703125" style="191" customWidth="1"/>
    <col min="2572" max="2572" width="10.140625" style="191" customWidth="1"/>
    <col min="2573" max="2573" width="12.42578125" style="191" customWidth="1"/>
    <col min="2574" max="2574" width="12.85546875" style="191" customWidth="1"/>
    <col min="2575" max="2575" width="13.140625" style="191" customWidth="1"/>
    <col min="2576" max="2576" width="10.140625" style="191" customWidth="1"/>
    <col min="2577" max="2577" width="13.140625" style="191" customWidth="1"/>
    <col min="2578" max="2578" width="8.28515625" style="191" customWidth="1"/>
    <col min="2579" max="2579" width="8.7109375" style="191" customWidth="1"/>
    <col min="2580" max="2580" width="5.7109375" style="191" customWidth="1"/>
    <col min="2581" max="2581" width="0" style="191" hidden="1" customWidth="1"/>
    <col min="2582" max="2584" width="8.140625" style="191"/>
    <col min="2585" max="2585" width="8.140625" style="191" customWidth="1"/>
    <col min="2586" max="2816" width="8.140625" style="191"/>
    <col min="2817" max="2817" width="5.42578125" style="191" customWidth="1"/>
    <col min="2818" max="2818" width="32" style="191" customWidth="1"/>
    <col min="2819" max="2819" width="10.140625" style="191" customWidth="1"/>
    <col min="2820" max="2820" width="15.7109375" style="191" customWidth="1"/>
    <col min="2821" max="2821" width="12.42578125" style="191" customWidth="1"/>
    <col min="2822" max="2822" width="7.140625" style="191" customWidth="1"/>
    <col min="2823" max="2823" width="7.28515625" style="191" customWidth="1"/>
    <col min="2824" max="2824" width="8.85546875" style="191" customWidth="1"/>
    <col min="2825" max="2825" width="11.7109375" style="191" customWidth="1"/>
    <col min="2826" max="2826" width="11" style="191" customWidth="1"/>
    <col min="2827" max="2827" width="12.5703125" style="191" customWidth="1"/>
    <col min="2828" max="2828" width="10.140625" style="191" customWidth="1"/>
    <col min="2829" max="2829" width="12.42578125" style="191" customWidth="1"/>
    <col min="2830" max="2830" width="12.85546875" style="191" customWidth="1"/>
    <col min="2831" max="2831" width="13.140625" style="191" customWidth="1"/>
    <col min="2832" max="2832" width="10.140625" style="191" customWidth="1"/>
    <col min="2833" max="2833" width="13.140625" style="191" customWidth="1"/>
    <col min="2834" max="2834" width="8.28515625" style="191" customWidth="1"/>
    <col min="2835" max="2835" width="8.7109375" style="191" customWidth="1"/>
    <col min="2836" max="2836" width="5.7109375" style="191" customWidth="1"/>
    <col min="2837" max="2837" width="0" style="191" hidden="1" customWidth="1"/>
    <col min="2838" max="2840" width="8.140625" style="191"/>
    <col min="2841" max="2841" width="8.140625" style="191" customWidth="1"/>
    <col min="2842" max="3072" width="8.140625" style="191"/>
    <col min="3073" max="3073" width="5.42578125" style="191" customWidth="1"/>
    <col min="3074" max="3074" width="32" style="191" customWidth="1"/>
    <col min="3075" max="3075" width="10.140625" style="191" customWidth="1"/>
    <col min="3076" max="3076" width="15.7109375" style="191" customWidth="1"/>
    <col min="3077" max="3077" width="12.42578125" style="191" customWidth="1"/>
    <col min="3078" max="3078" width="7.140625" style="191" customWidth="1"/>
    <col min="3079" max="3079" width="7.28515625" style="191" customWidth="1"/>
    <col min="3080" max="3080" width="8.85546875" style="191" customWidth="1"/>
    <col min="3081" max="3081" width="11.7109375" style="191" customWidth="1"/>
    <col min="3082" max="3082" width="11" style="191" customWidth="1"/>
    <col min="3083" max="3083" width="12.5703125" style="191" customWidth="1"/>
    <col min="3084" max="3084" width="10.140625" style="191" customWidth="1"/>
    <col min="3085" max="3085" width="12.42578125" style="191" customWidth="1"/>
    <col min="3086" max="3086" width="12.85546875" style="191" customWidth="1"/>
    <col min="3087" max="3087" width="13.140625" style="191" customWidth="1"/>
    <col min="3088" max="3088" width="10.140625" style="191" customWidth="1"/>
    <col min="3089" max="3089" width="13.140625" style="191" customWidth="1"/>
    <col min="3090" max="3090" width="8.28515625" style="191" customWidth="1"/>
    <col min="3091" max="3091" width="8.7109375" style="191" customWidth="1"/>
    <col min="3092" max="3092" width="5.7109375" style="191" customWidth="1"/>
    <col min="3093" max="3093" width="0" style="191" hidden="1" customWidth="1"/>
    <col min="3094" max="3096" width="8.140625" style="191"/>
    <col min="3097" max="3097" width="8.140625" style="191" customWidth="1"/>
    <col min="3098" max="3328" width="8.140625" style="191"/>
    <col min="3329" max="3329" width="5.42578125" style="191" customWidth="1"/>
    <col min="3330" max="3330" width="32" style="191" customWidth="1"/>
    <col min="3331" max="3331" width="10.140625" style="191" customWidth="1"/>
    <col min="3332" max="3332" width="15.7109375" style="191" customWidth="1"/>
    <col min="3333" max="3333" width="12.42578125" style="191" customWidth="1"/>
    <col min="3334" max="3334" width="7.140625" style="191" customWidth="1"/>
    <col min="3335" max="3335" width="7.28515625" style="191" customWidth="1"/>
    <col min="3336" max="3336" width="8.85546875" style="191" customWidth="1"/>
    <col min="3337" max="3337" width="11.7109375" style="191" customWidth="1"/>
    <col min="3338" max="3338" width="11" style="191" customWidth="1"/>
    <col min="3339" max="3339" width="12.5703125" style="191" customWidth="1"/>
    <col min="3340" max="3340" width="10.140625" style="191" customWidth="1"/>
    <col min="3341" max="3341" width="12.42578125" style="191" customWidth="1"/>
    <col min="3342" max="3342" width="12.85546875" style="191" customWidth="1"/>
    <col min="3343" max="3343" width="13.140625" style="191" customWidth="1"/>
    <col min="3344" max="3344" width="10.140625" style="191" customWidth="1"/>
    <col min="3345" max="3345" width="13.140625" style="191" customWidth="1"/>
    <col min="3346" max="3346" width="8.28515625" style="191" customWidth="1"/>
    <col min="3347" max="3347" width="8.7109375" style="191" customWidth="1"/>
    <col min="3348" max="3348" width="5.7109375" style="191" customWidth="1"/>
    <col min="3349" max="3349" width="0" style="191" hidden="1" customWidth="1"/>
    <col min="3350" max="3352" width="8.140625" style="191"/>
    <col min="3353" max="3353" width="8.140625" style="191" customWidth="1"/>
    <col min="3354" max="3584" width="8.140625" style="191"/>
    <col min="3585" max="3585" width="5.42578125" style="191" customWidth="1"/>
    <col min="3586" max="3586" width="32" style="191" customWidth="1"/>
    <col min="3587" max="3587" width="10.140625" style="191" customWidth="1"/>
    <col min="3588" max="3588" width="15.7109375" style="191" customWidth="1"/>
    <col min="3589" max="3589" width="12.42578125" style="191" customWidth="1"/>
    <col min="3590" max="3590" width="7.140625" style="191" customWidth="1"/>
    <col min="3591" max="3591" width="7.28515625" style="191" customWidth="1"/>
    <col min="3592" max="3592" width="8.85546875" style="191" customWidth="1"/>
    <col min="3593" max="3593" width="11.7109375" style="191" customWidth="1"/>
    <col min="3594" max="3594" width="11" style="191" customWidth="1"/>
    <col min="3595" max="3595" width="12.5703125" style="191" customWidth="1"/>
    <col min="3596" max="3596" width="10.140625" style="191" customWidth="1"/>
    <col min="3597" max="3597" width="12.42578125" style="191" customWidth="1"/>
    <col min="3598" max="3598" width="12.85546875" style="191" customWidth="1"/>
    <col min="3599" max="3599" width="13.140625" style="191" customWidth="1"/>
    <col min="3600" max="3600" width="10.140625" style="191" customWidth="1"/>
    <col min="3601" max="3601" width="13.140625" style="191" customWidth="1"/>
    <col min="3602" max="3602" width="8.28515625" style="191" customWidth="1"/>
    <col min="3603" max="3603" width="8.7109375" style="191" customWidth="1"/>
    <col min="3604" max="3604" width="5.7109375" style="191" customWidth="1"/>
    <col min="3605" max="3605" width="0" style="191" hidden="1" customWidth="1"/>
    <col min="3606" max="3608" width="8.140625" style="191"/>
    <col min="3609" max="3609" width="8.140625" style="191" customWidth="1"/>
    <col min="3610" max="3840" width="8.140625" style="191"/>
    <col min="3841" max="3841" width="5.42578125" style="191" customWidth="1"/>
    <col min="3842" max="3842" width="32" style="191" customWidth="1"/>
    <col min="3843" max="3843" width="10.140625" style="191" customWidth="1"/>
    <col min="3844" max="3844" width="15.7109375" style="191" customWidth="1"/>
    <col min="3845" max="3845" width="12.42578125" style="191" customWidth="1"/>
    <col min="3846" max="3846" width="7.140625" style="191" customWidth="1"/>
    <col min="3847" max="3847" width="7.28515625" style="191" customWidth="1"/>
    <col min="3848" max="3848" width="8.85546875" style="191" customWidth="1"/>
    <col min="3849" max="3849" width="11.7109375" style="191" customWidth="1"/>
    <col min="3850" max="3850" width="11" style="191" customWidth="1"/>
    <col min="3851" max="3851" width="12.5703125" style="191" customWidth="1"/>
    <col min="3852" max="3852" width="10.140625" style="191" customWidth="1"/>
    <col min="3853" max="3853" width="12.42578125" style="191" customWidth="1"/>
    <col min="3854" max="3854" width="12.85546875" style="191" customWidth="1"/>
    <col min="3855" max="3855" width="13.140625" style="191" customWidth="1"/>
    <col min="3856" max="3856" width="10.140625" style="191" customWidth="1"/>
    <col min="3857" max="3857" width="13.140625" style="191" customWidth="1"/>
    <col min="3858" max="3858" width="8.28515625" style="191" customWidth="1"/>
    <col min="3859" max="3859" width="8.7109375" style="191" customWidth="1"/>
    <col min="3860" max="3860" width="5.7109375" style="191" customWidth="1"/>
    <col min="3861" max="3861" width="0" style="191" hidden="1" customWidth="1"/>
    <col min="3862" max="3864" width="8.140625" style="191"/>
    <col min="3865" max="3865" width="8.140625" style="191" customWidth="1"/>
    <col min="3866" max="4096" width="8.140625" style="191"/>
    <col min="4097" max="4097" width="5.42578125" style="191" customWidth="1"/>
    <col min="4098" max="4098" width="32" style="191" customWidth="1"/>
    <col min="4099" max="4099" width="10.140625" style="191" customWidth="1"/>
    <col min="4100" max="4100" width="15.7109375" style="191" customWidth="1"/>
    <col min="4101" max="4101" width="12.42578125" style="191" customWidth="1"/>
    <col min="4102" max="4102" width="7.140625" style="191" customWidth="1"/>
    <col min="4103" max="4103" width="7.28515625" style="191" customWidth="1"/>
    <col min="4104" max="4104" width="8.85546875" style="191" customWidth="1"/>
    <col min="4105" max="4105" width="11.7109375" style="191" customWidth="1"/>
    <col min="4106" max="4106" width="11" style="191" customWidth="1"/>
    <col min="4107" max="4107" width="12.5703125" style="191" customWidth="1"/>
    <col min="4108" max="4108" width="10.140625" style="191" customWidth="1"/>
    <col min="4109" max="4109" width="12.42578125" style="191" customWidth="1"/>
    <col min="4110" max="4110" width="12.85546875" style="191" customWidth="1"/>
    <col min="4111" max="4111" width="13.140625" style="191" customWidth="1"/>
    <col min="4112" max="4112" width="10.140625" style="191" customWidth="1"/>
    <col min="4113" max="4113" width="13.140625" style="191" customWidth="1"/>
    <col min="4114" max="4114" width="8.28515625" style="191" customWidth="1"/>
    <col min="4115" max="4115" width="8.7109375" style="191" customWidth="1"/>
    <col min="4116" max="4116" width="5.7109375" style="191" customWidth="1"/>
    <col min="4117" max="4117" width="0" style="191" hidden="1" customWidth="1"/>
    <col min="4118" max="4120" width="8.140625" style="191"/>
    <col min="4121" max="4121" width="8.140625" style="191" customWidth="1"/>
    <col min="4122" max="4352" width="8.140625" style="191"/>
    <col min="4353" max="4353" width="5.42578125" style="191" customWidth="1"/>
    <col min="4354" max="4354" width="32" style="191" customWidth="1"/>
    <col min="4355" max="4355" width="10.140625" style="191" customWidth="1"/>
    <col min="4356" max="4356" width="15.7109375" style="191" customWidth="1"/>
    <col min="4357" max="4357" width="12.42578125" style="191" customWidth="1"/>
    <col min="4358" max="4358" width="7.140625" style="191" customWidth="1"/>
    <col min="4359" max="4359" width="7.28515625" style="191" customWidth="1"/>
    <col min="4360" max="4360" width="8.85546875" style="191" customWidth="1"/>
    <col min="4361" max="4361" width="11.7109375" style="191" customWidth="1"/>
    <col min="4362" max="4362" width="11" style="191" customWidth="1"/>
    <col min="4363" max="4363" width="12.5703125" style="191" customWidth="1"/>
    <col min="4364" max="4364" width="10.140625" style="191" customWidth="1"/>
    <col min="4365" max="4365" width="12.42578125" style="191" customWidth="1"/>
    <col min="4366" max="4366" width="12.85546875" style="191" customWidth="1"/>
    <col min="4367" max="4367" width="13.140625" style="191" customWidth="1"/>
    <col min="4368" max="4368" width="10.140625" style="191" customWidth="1"/>
    <col min="4369" max="4369" width="13.140625" style="191" customWidth="1"/>
    <col min="4370" max="4370" width="8.28515625" style="191" customWidth="1"/>
    <col min="4371" max="4371" width="8.7109375" style="191" customWidth="1"/>
    <col min="4372" max="4372" width="5.7109375" style="191" customWidth="1"/>
    <col min="4373" max="4373" width="0" style="191" hidden="1" customWidth="1"/>
    <col min="4374" max="4376" width="8.140625" style="191"/>
    <col min="4377" max="4377" width="8.140625" style="191" customWidth="1"/>
    <col min="4378" max="4608" width="8.140625" style="191"/>
    <col min="4609" max="4609" width="5.42578125" style="191" customWidth="1"/>
    <col min="4610" max="4610" width="32" style="191" customWidth="1"/>
    <col min="4611" max="4611" width="10.140625" style="191" customWidth="1"/>
    <col min="4612" max="4612" width="15.7109375" style="191" customWidth="1"/>
    <col min="4613" max="4613" width="12.42578125" style="191" customWidth="1"/>
    <col min="4614" max="4614" width="7.140625" style="191" customWidth="1"/>
    <col min="4615" max="4615" width="7.28515625" style="191" customWidth="1"/>
    <col min="4616" max="4616" width="8.85546875" style="191" customWidth="1"/>
    <col min="4617" max="4617" width="11.7109375" style="191" customWidth="1"/>
    <col min="4618" max="4618" width="11" style="191" customWidth="1"/>
    <col min="4619" max="4619" width="12.5703125" style="191" customWidth="1"/>
    <col min="4620" max="4620" width="10.140625" style="191" customWidth="1"/>
    <col min="4621" max="4621" width="12.42578125" style="191" customWidth="1"/>
    <col min="4622" max="4622" width="12.85546875" style="191" customWidth="1"/>
    <col min="4623" max="4623" width="13.140625" style="191" customWidth="1"/>
    <col min="4624" max="4624" width="10.140625" style="191" customWidth="1"/>
    <col min="4625" max="4625" width="13.140625" style="191" customWidth="1"/>
    <col min="4626" max="4626" width="8.28515625" style="191" customWidth="1"/>
    <col min="4627" max="4627" width="8.7109375" style="191" customWidth="1"/>
    <col min="4628" max="4628" width="5.7109375" style="191" customWidth="1"/>
    <col min="4629" max="4629" width="0" style="191" hidden="1" customWidth="1"/>
    <col min="4630" max="4632" width="8.140625" style="191"/>
    <col min="4633" max="4633" width="8.140625" style="191" customWidth="1"/>
    <col min="4634" max="4864" width="8.140625" style="191"/>
    <col min="4865" max="4865" width="5.42578125" style="191" customWidth="1"/>
    <col min="4866" max="4866" width="32" style="191" customWidth="1"/>
    <col min="4867" max="4867" width="10.140625" style="191" customWidth="1"/>
    <col min="4868" max="4868" width="15.7109375" style="191" customWidth="1"/>
    <col min="4869" max="4869" width="12.42578125" style="191" customWidth="1"/>
    <col min="4870" max="4870" width="7.140625" style="191" customWidth="1"/>
    <col min="4871" max="4871" width="7.28515625" style="191" customWidth="1"/>
    <col min="4872" max="4872" width="8.85546875" style="191" customWidth="1"/>
    <col min="4873" max="4873" width="11.7109375" style="191" customWidth="1"/>
    <col min="4874" max="4874" width="11" style="191" customWidth="1"/>
    <col min="4875" max="4875" width="12.5703125" style="191" customWidth="1"/>
    <col min="4876" max="4876" width="10.140625" style="191" customWidth="1"/>
    <col min="4877" max="4877" width="12.42578125" style="191" customWidth="1"/>
    <col min="4878" max="4878" width="12.85546875" style="191" customWidth="1"/>
    <col min="4879" max="4879" width="13.140625" style="191" customWidth="1"/>
    <col min="4880" max="4880" width="10.140625" style="191" customWidth="1"/>
    <col min="4881" max="4881" width="13.140625" style="191" customWidth="1"/>
    <col min="4882" max="4882" width="8.28515625" style="191" customWidth="1"/>
    <col min="4883" max="4883" width="8.7109375" style="191" customWidth="1"/>
    <col min="4884" max="4884" width="5.7109375" style="191" customWidth="1"/>
    <col min="4885" max="4885" width="0" style="191" hidden="1" customWidth="1"/>
    <col min="4886" max="4888" width="8.140625" style="191"/>
    <col min="4889" max="4889" width="8.140625" style="191" customWidth="1"/>
    <col min="4890" max="5120" width="8.140625" style="191"/>
    <col min="5121" max="5121" width="5.42578125" style="191" customWidth="1"/>
    <col min="5122" max="5122" width="32" style="191" customWidth="1"/>
    <col min="5123" max="5123" width="10.140625" style="191" customWidth="1"/>
    <col min="5124" max="5124" width="15.7109375" style="191" customWidth="1"/>
    <col min="5125" max="5125" width="12.42578125" style="191" customWidth="1"/>
    <col min="5126" max="5126" width="7.140625" style="191" customWidth="1"/>
    <col min="5127" max="5127" width="7.28515625" style="191" customWidth="1"/>
    <col min="5128" max="5128" width="8.85546875" style="191" customWidth="1"/>
    <col min="5129" max="5129" width="11.7109375" style="191" customWidth="1"/>
    <col min="5130" max="5130" width="11" style="191" customWidth="1"/>
    <col min="5131" max="5131" width="12.5703125" style="191" customWidth="1"/>
    <col min="5132" max="5132" width="10.140625" style="191" customWidth="1"/>
    <col min="5133" max="5133" width="12.42578125" style="191" customWidth="1"/>
    <col min="5134" max="5134" width="12.85546875" style="191" customWidth="1"/>
    <col min="5135" max="5135" width="13.140625" style="191" customWidth="1"/>
    <col min="5136" max="5136" width="10.140625" style="191" customWidth="1"/>
    <col min="5137" max="5137" width="13.140625" style="191" customWidth="1"/>
    <col min="5138" max="5138" width="8.28515625" style="191" customWidth="1"/>
    <col min="5139" max="5139" width="8.7109375" style="191" customWidth="1"/>
    <col min="5140" max="5140" width="5.7109375" style="191" customWidth="1"/>
    <col min="5141" max="5141" width="0" style="191" hidden="1" customWidth="1"/>
    <col min="5142" max="5144" width="8.140625" style="191"/>
    <col min="5145" max="5145" width="8.140625" style="191" customWidth="1"/>
    <col min="5146" max="5376" width="8.140625" style="191"/>
    <col min="5377" max="5377" width="5.42578125" style="191" customWidth="1"/>
    <col min="5378" max="5378" width="32" style="191" customWidth="1"/>
    <col min="5379" max="5379" width="10.140625" style="191" customWidth="1"/>
    <col min="5380" max="5380" width="15.7109375" style="191" customWidth="1"/>
    <col min="5381" max="5381" width="12.42578125" style="191" customWidth="1"/>
    <col min="5382" max="5382" width="7.140625" style="191" customWidth="1"/>
    <col min="5383" max="5383" width="7.28515625" style="191" customWidth="1"/>
    <col min="5384" max="5384" width="8.85546875" style="191" customWidth="1"/>
    <col min="5385" max="5385" width="11.7109375" style="191" customWidth="1"/>
    <col min="5386" max="5386" width="11" style="191" customWidth="1"/>
    <col min="5387" max="5387" width="12.5703125" style="191" customWidth="1"/>
    <col min="5388" max="5388" width="10.140625" style="191" customWidth="1"/>
    <col min="5389" max="5389" width="12.42578125" style="191" customWidth="1"/>
    <col min="5390" max="5390" width="12.85546875" style="191" customWidth="1"/>
    <col min="5391" max="5391" width="13.140625" style="191" customWidth="1"/>
    <col min="5392" max="5392" width="10.140625" style="191" customWidth="1"/>
    <col min="5393" max="5393" width="13.140625" style="191" customWidth="1"/>
    <col min="5394" max="5394" width="8.28515625" style="191" customWidth="1"/>
    <col min="5395" max="5395" width="8.7109375" style="191" customWidth="1"/>
    <col min="5396" max="5396" width="5.7109375" style="191" customWidth="1"/>
    <col min="5397" max="5397" width="0" style="191" hidden="1" customWidth="1"/>
    <col min="5398" max="5400" width="8.140625" style="191"/>
    <col min="5401" max="5401" width="8.140625" style="191" customWidth="1"/>
    <col min="5402" max="5632" width="8.140625" style="191"/>
    <col min="5633" max="5633" width="5.42578125" style="191" customWidth="1"/>
    <col min="5634" max="5634" width="32" style="191" customWidth="1"/>
    <col min="5635" max="5635" width="10.140625" style="191" customWidth="1"/>
    <col min="5636" max="5636" width="15.7109375" style="191" customWidth="1"/>
    <col min="5637" max="5637" width="12.42578125" style="191" customWidth="1"/>
    <col min="5638" max="5638" width="7.140625" style="191" customWidth="1"/>
    <col min="5639" max="5639" width="7.28515625" style="191" customWidth="1"/>
    <col min="5640" max="5640" width="8.85546875" style="191" customWidth="1"/>
    <col min="5641" max="5641" width="11.7109375" style="191" customWidth="1"/>
    <col min="5642" max="5642" width="11" style="191" customWidth="1"/>
    <col min="5643" max="5643" width="12.5703125" style="191" customWidth="1"/>
    <col min="5644" max="5644" width="10.140625" style="191" customWidth="1"/>
    <col min="5645" max="5645" width="12.42578125" style="191" customWidth="1"/>
    <col min="5646" max="5646" width="12.85546875" style="191" customWidth="1"/>
    <col min="5647" max="5647" width="13.140625" style="191" customWidth="1"/>
    <col min="5648" max="5648" width="10.140625" style="191" customWidth="1"/>
    <col min="5649" max="5649" width="13.140625" style="191" customWidth="1"/>
    <col min="5650" max="5650" width="8.28515625" style="191" customWidth="1"/>
    <col min="5651" max="5651" width="8.7109375" style="191" customWidth="1"/>
    <col min="5652" max="5652" width="5.7109375" style="191" customWidth="1"/>
    <col min="5653" max="5653" width="0" style="191" hidden="1" customWidth="1"/>
    <col min="5654" max="5656" width="8.140625" style="191"/>
    <col min="5657" max="5657" width="8.140625" style="191" customWidth="1"/>
    <col min="5658" max="5888" width="8.140625" style="191"/>
    <col min="5889" max="5889" width="5.42578125" style="191" customWidth="1"/>
    <col min="5890" max="5890" width="32" style="191" customWidth="1"/>
    <col min="5891" max="5891" width="10.140625" style="191" customWidth="1"/>
    <col min="5892" max="5892" width="15.7109375" style="191" customWidth="1"/>
    <col min="5893" max="5893" width="12.42578125" style="191" customWidth="1"/>
    <col min="5894" max="5894" width="7.140625" style="191" customWidth="1"/>
    <col min="5895" max="5895" width="7.28515625" style="191" customWidth="1"/>
    <col min="5896" max="5896" width="8.85546875" style="191" customWidth="1"/>
    <col min="5897" max="5897" width="11.7109375" style="191" customWidth="1"/>
    <col min="5898" max="5898" width="11" style="191" customWidth="1"/>
    <col min="5899" max="5899" width="12.5703125" style="191" customWidth="1"/>
    <col min="5900" max="5900" width="10.140625" style="191" customWidth="1"/>
    <col min="5901" max="5901" width="12.42578125" style="191" customWidth="1"/>
    <col min="5902" max="5902" width="12.85546875" style="191" customWidth="1"/>
    <col min="5903" max="5903" width="13.140625" style="191" customWidth="1"/>
    <col min="5904" max="5904" width="10.140625" style="191" customWidth="1"/>
    <col min="5905" max="5905" width="13.140625" style="191" customWidth="1"/>
    <col min="5906" max="5906" width="8.28515625" style="191" customWidth="1"/>
    <col min="5907" max="5907" width="8.7109375" style="191" customWidth="1"/>
    <col min="5908" max="5908" width="5.7109375" style="191" customWidth="1"/>
    <col min="5909" max="5909" width="0" style="191" hidden="1" customWidth="1"/>
    <col min="5910" max="5912" width="8.140625" style="191"/>
    <col min="5913" max="5913" width="8.140625" style="191" customWidth="1"/>
    <col min="5914" max="6144" width="8.140625" style="191"/>
    <col min="6145" max="6145" width="5.42578125" style="191" customWidth="1"/>
    <col min="6146" max="6146" width="32" style="191" customWidth="1"/>
    <col min="6147" max="6147" width="10.140625" style="191" customWidth="1"/>
    <col min="6148" max="6148" width="15.7109375" style="191" customWidth="1"/>
    <col min="6149" max="6149" width="12.42578125" style="191" customWidth="1"/>
    <col min="6150" max="6150" width="7.140625" style="191" customWidth="1"/>
    <col min="6151" max="6151" width="7.28515625" style="191" customWidth="1"/>
    <col min="6152" max="6152" width="8.85546875" style="191" customWidth="1"/>
    <col min="6153" max="6153" width="11.7109375" style="191" customWidth="1"/>
    <col min="6154" max="6154" width="11" style="191" customWidth="1"/>
    <col min="6155" max="6155" width="12.5703125" style="191" customWidth="1"/>
    <col min="6156" max="6156" width="10.140625" style="191" customWidth="1"/>
    <col min="6157" max="6157" width="12.42578125" style="191" customWidth="1"/>
    <col min="6158" max="6158" width="12.85546875" style="191" customWidth="1"/>
    <col min="6159" max="6159" width="13.140625" style="191" customWidth="1"/>
    <col min="6160" max="6160" width="10.140625" style="191" customWidth="1"/>
    <col min="6161" max="6161" width="13.140625" style="191" customWidth="1"/>
    <col min="6162" max="6162" width="8.28515625" style="191" customWidth="1"/>
    <col min="6163" max="6163" width="8.7109375" style="191" customWidth="1"/>
    <col min="6164" max="6164" width="5.7109375" style="191" customWidth="1"/>
    <col min="6165" max="6165" width="0" style="191" hidden="1" customWidth="1"/>
    <col min="6166" max="6168" width="8.140625" style="191"/>
    <col min="6169" max="6169" width="8.140625" style="191" customWidth="1"/>
    <col min="6170" max="6400" width="8.140625" style="191"/>
    <col min="6401" max="6401" width="5.42578125" style="191" customWidth="1"/>
    <col min="6402" max="6402" width="32" style="191" customWidth="1"/>
    <col min="6403" max="6403" width="10.140625" style="191" customWidth="1"/>
    <col min="6404" max="6404" width="15.7109375" style="191" customWidth="1"/>
    <col min="6405" max="6405" width="12.42578125" style="191" customWidth="1"/>
    <col min="6406" max="6406" width="7.140625" style="191" customWidth="1"/>
    <col min="6407" max="6407" width="7.28515625" style="191" customWidth="1"/>
    <col min="6408" max="6408" width="8.85546875" style="191" customWidth="1"/>
    <col min="6409" max="6409" width="11.7109375" style="191" customWidth="1"/>
    <col min="6410" max="6410" width="11" style="191" customWidth="1"/>
    <col min="6411" max="6411" width="12.5703125" style="191" customWidth="1"/>
    <col min="6412" max="6412" width="10.140625" style="191" customWidth="1"/>
    <col min="6413" max="6413" width="12.42578125" style="191" customWidth="1"/>
    <col min="6414" max="6414" width="12.85546875" style="191" customWidth="1"/>
    <col min="6415" max="6415" width="13.140625" style="191" customWidth="1"/>
    <col min="6416" max="6416" width="10.140625" style="191" customWidth="1"/>
    <col min="6417" max="6417" width="13.140625" style="191" customWidth="1"/>
    <col min="6418" max="6418" width="8.28515625" style="191" customWidth="1"/>
    <col min="6419" max="6419" width="8.7109375" style="191" customWidth="1"/>
    <col min="6420" max="6420" width="5.7109375" style="191" customWidth="1"/>
    <col min="6421" max="6421" width="0" style="191" hidden="1" customWidth="1"/>
    <col min="6422" max="6424" width="8.140625" style="191"/>
    <col min="6425" max="6425" width="8.140625" style="191" customWidth="1"/>
    <col min="6426" max="6656" width="8.140625" style="191"/>
    <col min="6657" max="6657" width="5.42578125" style="191" customWidth="1"/>
    <col min="6658" max="6658" width="32" style="191" customWidth="1"/>
    <col min="6659" max="6659" width="10.140625" style="191" customWidth="1"/>
    <col min="6660" max="6660" width="15.7109375" style="191" customWidth="1"/>
    <col min="6661" max="6661" width="12.42578125" style="191" customWidth="1"/>
    <col min="6662" max="6662" width="7.140625" style="191" customWidth="1"/>
    <col min="6663" max="6663" width="7.28515625" style="191" customWidth="1"/>
    <col min="6664" max="6664" width="8.85546875" style="191" customWidth="1"/>
    <col min="6665" max="6665" width="11.7109375" style="191" customWidth="1"/>
    <col min="6666" max="6666" width="11" style="191" customWidth="1"/>
    <col min="6667" max="6667" width="12.5703125" style="191" customWidth="1"/>
    <col min="6668" max="6668" width="10.140625" style="191" customWidth="1"/>
    <col min="6669" max="6669" width="12.42578125" style="191" customWidth="1"/>
    <col min="6670" max="6670" width="12.85546875" style="191" customWidth="1"/>
    <col min="6671" max="6671" width="13.140625" style="191" customWidth="1"/>
    <col min="6672" max="6672" width="10.140625" style="191" customWidth="1"/>
    <col min="6673" max="6673" width="13.140625" style="191" customWidth="1"/>
    <col min="6674" max="6674" width="8.28515625" style="191" customWidth="1"/>
    <col min="6675" max="6675" width="8.7109375" style="191" customWidth="1"/>
    <col min="6676" max="6676" width="5.7109375" style="191" customWidth="1"/>
    <col min="6677" max="6677" width="0" style="191" hidden="1" customWidth="1"/>
    <col min="6678" max="6680" width="8.140625" style="191"/>
    <col min="6681" max="6681" width="8.140625" style="191" customWidth="1"/>
    <col min="6682" max="6912" width="8.140625" style="191"/>
    <col min="6913" max="6913" width="5.42578125" style="191" customWidth="1"/>
    <col min="6914" max="6914" width="32" style="191" customWidth="1"/>
    <col min="6915" max="6915" width="10.140625" style="191" customWidth="1"/>
    <col min="6916" max="6916" width="15.7109375" style="191" customWidth="1"/>
    <col min="6917" max="6917" width="12.42578125" style="191" customWidth="1"/>
    <col min="6918" max="6918" width="7.140625" style="191" customWidth="1"/>
    <col min="6919" max="6919" width="7.28515625" style="191" customWidth="1"/>
    <col min="6920" max="6920" width="8.85546875" style="191" customWidth="1"/>
    <col min="6921" max="6921" width="11.7109375" style="191" customWidth="1"/>
    <col min="6922" max="6922" width="11" style="191" customWidth="1"/>
    <col min="6923" max="6923" width="12.5703125" style="191" customWidth="1"/>
    <col min="6924" max="6924" width="10.140625" style="191" customWidth="1"/>
    <col min="6925" max="6925" width="12.42578125" style="191" customWidth="1"/>
    <col min="6926" max="6926" width="12.85546875" style="191" customWidth="1"/>
    <col min="6927" max="6927" width="13.140625" style="191" customWidth="1"/>
    <col min="6928" max="6928" width="10.140625" style="191" customWidth="1"/>
    <col min="6929" max="6929" width="13.140625" style="191" customWidth="1"/>
    <col min="6930" max="6930" width="8.28515625" style="191" customWidth="1"/>
    <col min="6931" max="6931" width="8.7109375" style="191" customWidth="1"/>
    <col min="6932" max="6932" width="5.7109375" style="191" customWidth="1"/>
    <col min="6933" max="6933" width="0" style="191" hidden="1" customWidth="1"/>
    <col min="6934" max="6936" width="8.140625" style="191"/>
    <col min="6937" max="6937" width="8.140625" style="191" customWidth="1"/>
    <col min="6938" max="7168" width="8.140625" style="191"/>
    <col min="7169" max="7169" width="5.42578125" style="191" customWidth="1"/>
    <col min="7170" max="7170" width="32" style="191" customWidth="1"/>
    <col min="7171" max="7171" width="10.140625" style="191" customWidth="1"/>
    <col min="7172" max="7172" width="15.7109375" style="191" customWidth="1"/>
    <col min="7173" max="7173" width="12.42578125" style="191" customWidth="1"/>
    <col min="7174" max="7174" width="7.140625" style="191" customWidth="1"/>
    <col min="7175" max="7175" width="7.28515625" style="191" customWidth="1"/>
    <col min="7176" max="7176" width="8.85546875" style="191" customWidth="1"/>
    <col min="7177" max="7177" width="11.7109375" style="191" customWidth="1"/>
    <col min="7178" max="7178" width="11" style="191" customWidth="1"/>
    <col min="7179" max="7179" width="12.5703125" style="191" customWidth="1"/>
    <col min="7180" max="7180" width="10.140625" style="191" customWidth="1"/>
    <col min="7181" max="7181" width="12.42578125" style="191" customWidth="1"/>
    <col min="7182" max="7182" width="12.85546875" style="191" customWidth="1"/>
    <col min="7183" max="7183" width="13.140625" style="191" customWidth="1"/>
    <col min="7184" max="7184" width="10.140625" style="191" customWidth="1"/>
    <col min="7185" max="7185" width="13.140625" style="191" customWidth="1"/>
    <col min="7186" max="7186" width="8.28515625" style="191" customWidth="1"/>
    <col min="7187" max="7187" width="8.7109375" style="191" customWidth="1"/>
    <col min="7188" max="7188" width="5.7109375" style="191" customWidth="1"/>
    <col min="7189" max="7189" width="0" style="191" hidden="1" customWidth="1"/>
    <col min="7190" max="7192" width="8.140625" style="191"/>
    <col min="7193" max="7193" width="8.140625" style="191" customWidth="1"/>
    <col min="7194" max="7424" width="8.140625" style="191"/>
    <col min="7425" max="7425" width="5.42578125" style="191" customWidth="1"/>
    <col min="7426" max="7426" width="32" style="191" customWidth="1"/>
    <col min="7427" max="7427" width="10.140625" style="191" customWidth="1"/>
    <col min="7428" max="7428" width="15.7109375" style="191" customWidth="1"/>
    <col min="7429" max="7429" width="12.42578125" style="191" customWidth="1"/>
    <col min="7430" max="7430" width="7.140625" style="191" customWidth="1"/>
    <col min="7431" max="7431" width="7.28515625" style="191" customWidth="1"/>
    <col min="7432" max="7432" width="8.85546875" style="191" customWidth="1"/>
    <col min="7433" max="7433" width="11.7109375" style="191" customWidth="1"/>
    <col min="7434" max="7434" width="11" style="191" customWidth="1"/>
    <col min="7435" max="7435" width="12.5703125" style="191" customWidth="1"/>
    <col min="7436" max="7436" width="10.140625" style="191" customWidth="1"/>
    <col min="7437" max="7437" width="12.42578125" style="191" customWidth="1"/>
    <col min="7438" max="7438" width="12.85546875" style="191" customWidth="1"/>
    <col min="7439" max="7439" width="13.140625" style="191" customWidth="1"/>
    <col min="7440" max="7440" width="10.140625" style="191" customWidth="1"/>
    <col min="7441" max="7441" width="13.140625" style="191" customWidth="1"/>
    <col min="7442" max="7442" width="8.28515625" style="191" customWidth="1"/>
    <col min="7443" max="7443" width="8.7109375" style="191" customWidth="1"/>
    <col min="7444" max="7444" width="5.7109375" style="191" customWidth="1"/>
    <col min="7445" max="7445" width="0" style="191" hidden="1" customWidth="1"/>
    <col min="7446" max="7448" width="8.140625" style="191"/>
    <col min="7449" max="7449" width="8.140625" style="191" customWidth="1"/>
    <col min="7450" max="7680" width="8.140625" style="191"/>
    <col min="7681" max="7681" width="5.42578125" style="191" customWidth="1"/>
    <col min="7682" max="7682" width="32" style="191" customWidth="1"/>
    <col min="7683" max="7683" width="10.140625" style="191" customWidth="1"/>
    <col min="7684" max="7684" width="15.7109375" style="191" customWidth="1"/>
    <col min="7685" max="7685" width="12.42578125" style="191" customWidth="1"/>
    <col min="7686" max="7686" width="7.140625" style="191" customWidth="1"/>
    <col min="7687" max="7687" width="7.28515625" style="191" customWidth="1"/>
    <col min="7688" max="7688" width="8.85546875" style="191" customWidth="1"/>
    <col min="7689" max="7689" width="11.7109375" style="191" customWidth="1"/>
    <col min="7690" max="7690" width="11" style="191" customWidth="1"/>
    <col min="7691" max="7691" width="12.5703125" style="191" customWidth="1"/>
    <col min="7692" max="7692" width="10.140625" style="191" customWidth="1"/>
    <col min="7693" max="7693" width="12.42578125" style="191" customWidth="1"/>
    <col min="7694" max="7694" width="12.85546875" style="191" customWidth="1"/>
    <col min="7695" max="7695" width="13.140625" style="191" customWidth="1"/>
    <col min="7696" max="7696" width="10.140625" style="191" customWidth="1"/>
    <col min="7697" max="7697" width="13.140625" style="191" customWidth="1"/>
    <col min="7698" max="7698" width="8.28515625" style="191" customWidth="1"/>
    <col min="7699" max="7699" width="8.7109375" style="191" customWidth="1"/>
    <col min="7700" max="7700" width="5.7109375" style="191" customWidth="1"/>
    <col min="7701" max="7701" width="0" style="191" hidden="1" customWidth="1"/>
    <col min="7702" max="7704" width="8.140625" style="191"/>
    <col min="7705" max="7705" width="8.140625" style="191" customWidth="1"/>
    <col min="7706" max="7936" width="8.140625" style="191"/>
    <col min="7937" max="7937" width="5.42578125" style="191" customWidth="1"/>
    <col min="7938" max="7938" width="32" style="191" customWidth="1"/>
    <col min="7939" max="7939" width="10.140625" style="191" customWidth="1"/>
    <col min="7940" max="7940" width="15.7109375" style="191" customWidth="1"/>
    <col min="7941" max="7941" width="12.42578125" style="191" customWidth="1"/>
    <col min="7942" max="7942" width="7.140625" style="191" customWidth="1"/>
    <col min="7943" max="7943" width="7.28515625" style="191" customWidth="1"/>
    <col min="7944" max="7944" width="8.85546875" style="191" customWidth="1"/>
    <col min="7945" max="7945" width="11.7109375" style="191" customWidth="1"/>
    <col min="7946" max="7946" width="11" style="191" customWidth="1"/>
    <col min="7947" max="7947" width="12.5703125" style="191" customWidth="1"/>
    <col min="7948" max="7948" width="10.140625" style="191" customWidth="1"/>
    <col min="7949" max="7949" width="12.42578125" style="191" customWidth="1"/>
    <col min="7950" max="7950" width="12.85546875" style="191" customWidth="1"/>
    <col min="7951" max="7951" width="13.140625" style="191" customWidth="1"/>
    <col min="7952" max="7952" width="10.140625" style="191" customWidth="1"/>
    <col min="7953" max="7953" width="13.140625" style="191" customWidth="1"/>
    <col min="7954" max="7954" width="8.28515625" style="191" customWidth="1"/>
    <col min="7955" max="7955" width="8.7109375" style="191" customWidth="1"/>
    <col min="7956" max="7956" width="5.7109375" style="191" customWidth="1"/>
    <col min="7957" max="7957" width="0" style="191" hidden="1" customWidth="1"/>
    <col min="7958" max="7960" width="8.140625" style="191"/>
    <col min="7961" max="7961" width="8.140625" style="191" customWidth="1"/>
    <col min="7962" max="8192" width="8.140625" style="191"/>
    <col min="8193" max="8193" width="5.42578125" style="191" customWidth="1"/>
    <col min="8194" max="8194" width="32" style="191" customWidth="1"/>
    <col min="8195" max="8195" width="10.140625" style="191" customWidth="1"/>
    <col min="8196" max="8196" width="15.7109375" style="191" customWidth="1"/>
    <col min="8197" max="8197" width="12.42578125" style="191" customWidth="1"/>
    <col min="8198" max="8198" width="7.140625" style="191" customWidth="1"/>
    <col min="8199" max="8199" width="7.28515625" style="191" customWidth="1"/>
    <col min="8200" max="8200" width="8.85546875" style="191" customWidth="1"/>
    <col min="8201" max="8201" width="11.7109375" style="191" customWidth="1"/>
    <col min="8202" max="8202" width="11" style="191" customWidth="1"/>
    <col min="8203" max="8203" width="12.5703125" style="191" customWidth="1"/>
    <col min="8204" max="8204" width="10.140625" style="191" customWidth="1"/>
    <col min="8205" max="8205" width="12.42578125" style="191" customWidth="1"/>
    <col min="8206" max="8206" width="12.85546875" style="191" customWidth="1"/>
    <col min="8207" max="8207" width="13.140625" style="191" customWidth="1"/>
    <col min="8208" max="8208" width="10.140625" style="191" customWidth="1"/>
    <col min="8209" max="8209" width="13.140625" style="191" customWidth="1"/>
    <col min="8210" max="8210" width="8.28515625" style="191" customWidth="1"/>
    <col min="8211" max="8211" width="8.7109375" style="191" customWidth="1"/>
    <col min="8212" max="8212" width="5.7109375" style="191" customWidth="1"/>
    <col min="8213" max="8213" width="0" style="191" hidden="1" customWidth="1"/>
    <col min="8214" max="8216" width="8.140625" style="191"/>
    <col min="8217" max="8217" width="8.140625" style="191" customWidth="1"/>
    <col min="8218" max="8448" width="8.140625" style="191"/>
    <col min="8449" max="8449" width="5.42578125" style="191" customWidth="1"/>
    <col min="8450" max="8450" width="32" style="191" customWidth="1"/>
    <col min="8451" max="8451" width="10.140625" style="191" customWidth="1"/>
    <col min="8452" max="8452" width="15.7109375" style="191" customWidth="1"/>
    <col min="8453" max="8453" width="12.42578125" style="191" customWidth="1"/>
    <col min="8454" max="8454" width="7.140625" style="191" customWidth="1"/>
    <col min="8455" max="8455" width="7.28515625" style="191" customWidth="1"/>
    <col min="8456" max="8456" width="8.85546875" style="191" customWidth="1"/>
    <col min="8457" max="8457" width="11.7109375" style="191" customWidth="1"/>
    <col min="8458" max="8458" width="11" style="191" customWidth="1"/>
    <col min="8459" max="8459" width="12.5703125" style="191" customWidth="1"/>
    <col min="8460" max="8460" width="10.140625" style="191" customWidth="1"/>
    <col min="8461" max="8461" width="12.42578125" style="191" customWidth="1"/>
    <col min="8462" max="8462" width="12.85546875" style="191" customWidth="1"/>
    <col min="8463" max="8463" width="13.140625" style="191" customWidth="1"/>
    <col min="8464" max="8464" width="10.140625" style="191" customWidth="1"/>
    <col min="8465" max="8465" width="13.140625" style="191" customWidth="1"/>
    <col min="8466" max="8466" width="8.28515625" style="191" customWidth="1"/>
    <col min="8467" max="8467" width="8.7109375" style="191" customWidth="1"/>
    <col min="8468" max="8468" width="5.7109375" style="191" customWidth="1"/>
    <col min="8469" max="8469" width="0" style="191" hidden="1" customWidth="1"/>
    <col min="8470" max="8472" width="8.140625" style="191"/>
    <col min="8473" max="8473" width="8.140625" style="191" customWidth="1"/>
    <col min="8474" max="8704" width="8.140625" style="191"/>
    <col min="8705" max="8705" width="5.42578125" style="191" customWidth="1"/>
    <col min="8706" max="8706" width="32" style="191" customWidth="1"/>
    <col min="8707" max="8707" width="10.140625" style="191" customWidth="1"/>
    <col min="8708" max="8708" width="15.7109375" style="191" customWidth="1"/>
    <col min="8709" max="8709" width="12.42578125" style="191" customWidth="1"/>
    <col min="8710" max="8710" width="7.140625" style="191" customWidth="1"/>
    <col min="8711" max="8711" width="7.28515625" style="191" customWidth="1"/>
    <col min="8712" max="8712" width="8.85546875" style="191" customWidth="1"/>
    <col min="8713" max="8713" width="11.7109375" style="191" customWidth="1"/>
    <col min="8714" max="8714" width="11" style="191" customWidth="1"/>
    <col min="8715" max="8715" width="12.5703125" style="191" customWidth="1"/>
    <col min="8716" max="8716" width="10.140625" style="191" customWidth="1"/>
    <col min="8717" max="8717" width="12.42578125" style="191" customWidth="1"/>
    <col min="8718" max="8718" width="12.85546875" style="191" customWidth="1"/>
    <col min="8719" max="8719" width="13.140625" style="191" customWidth="1"/>
    <col min="8720" max="8720" width="10.140625" style="191" customWidth="1"/>
    <col min="8721" max="8721" width="13.140625" style="191" customWidth="1"/>
    <col min="8722" max="8722" width="8.28515625" style="191" customWidth="1"/>
    <col min="8723" max="8723" width="8.7109375" style="191" customWidth="1"/>
    <col min="8724" max="8724" width="5.7109375" style="191" customWidth="1"/>
    <col min="8725" max="8725" width="0" style="191" hidden="1" customWidth="1"/>
    <col min="8726" max="8728" width="8.140625" style="191"/>
    <col min="8729" max="8729" width="8.140625" style="191" customWidth="1"/>
    <col min="8730" max="8960" width="8.140625" style="191"/>
    <col min="8961" max="8961" width="5.42578125" style="191" customWidth="1"/>
    <col min="8962" max="8962" width="32" style="191" customWidth="1"/>
    <col min="8963" max="8963" width="10.140625" style="191" customWidth="1"/>
    <col min="8964" max="8964" width="15.7109375" style="191" customWidth="1"/>
    <col min="8965" max="8965" width="12.42578125" style="191" customWidth="1"/>
    <col min="8966" max="8966" width="7.140625" style="191" customWidth="1"/>
    <col min="8967" max="8967" width="7.28515625" style="191" customWidth="1"/>
    <col min="8968" max="8968" width="8.85546875" style="191" customWidth="1"/>
    <col min="8969" max="8969" width="11.7109375" style="191" customWidth="1"/>
    <col min="8970" max="8970" width="11" style="191" customWidth="1"/>
    <col min="8971" max="8971" width="12.5703125" style="191" customWidth="1"/>
    <col min="8972" max="8972" width="10.140625" style="191" customWidth="1"/>
    <col min="8973" max="8973" width="12.42578125" style="191" customWidth="1"/>
    <col min="8974" max="8974" width="12.85546875" style="191" customWidth="1"/>
    <col min="8975" max="8975" width="13.140625" style="191" customWidth="1"/>
    <col min="8976" max="8976" width="10.140625" style="191" customWidth="1"/>
    <col min="8977" max="8977" width="13.140625" style="191" customWidth="1"/>
    <col min="8978" max="8978" width="8.28515625" style="191" customWidth="1"/>
    <col min="8979" max="8979" width="8.7109375" style="191" customWidth="1"/>
    <col min="8980" max="8980" width="5.7109375" style="191" customWidth="1"/>
    <col min="8981" max="8981" width="0" style="191" hidden="1" customWidth="1"/>
    <col min="8982" max="8984" width="8.140625" style="191"/>
    <col min="8985" max="8985" width="8.140625" style="191" customWidth="1"/>
    <col min="8986" max="9216" width="8.140625" style="191"/>
    <col min="9217" max="9217" width="5.42578125" style="191" customWidth="1"/>
    <col min="9218" max="9218" width="32" style="191" customWidth="1"/>
    <col min="9219" max="9219" width="10.140625" style="191" customWidth="1"/>
    <col min="9220" max="9220" width="15.7109375" style="191" customWidth="1"/>
    <col min="9221" max="9221" width="12.42578125" style="191" customWidth="1"/>
    <col min="9222" max="9222" width="7.140625" style="191" customWidth="1"/>
    <col min="9223" max="9223" width="7.28515625" style="191" customWidth="1"/>
    <col min="9224" max="9224" width="8.85546875" style="191" customWidth="1"/>
    <col min="9225" max="9225" width="11.7109375" style="191" customWidth="1"/>
    <col min="9226" max="9226" width="11" style="191" customWidth="1"/>
    <col min="9227" max="9227" width="12.5703125" style="191" customWidth="1"/>
    <col min="9228" max="9228" width="10.140625" style="191" customWidth="1"/>
    <col min="9229" max="9229" width="12.42578125" style="191" customWidth="1"/>
    <col min="9230" max="9230" width="12.85546875" style="191" customWidth="1"/>
    <col min="9231" max="9231" width="13.140625" style="191" customWidth="1"/>
    <col min="9232" max="9232" width="10.140625" style="191" customWidth="1"/>
    <col min="9233" max="9233" width="13.140625" style="191" customWidth="1"/>
    <col min="9234" max="9234" width="8.28515625" style="191" customWidth="1"/>
    <col min="9235" max="9235" width="8.7109375" style="191" customWidth="1"/>
    <col min="9236" max="9236" width="5.7109375" style="191" customWidth="1"/>
    <col min="9237" max="9237" width="0" style="191" hidden="1" customWidth="1"/>
    <col min="9238" max="9240" width="8.140625" style="191"/>
    <col min="9241" max="9241" width="8.140625" style="191" customWidth="1"/>
    <col min="9242" max="9472" width="8.140625" style="191"/>
    <col min="9473" max="9473" width="5.42578125" style="191" customWidth="1"/>
    <col min="9474" max="9474" width="32" style="191" customWidth="1"/>
    <col min="9475" max="9475" width="10.140625" style="191" customWidth="1"/>
    <col min="9476" max="9476" width="15.7109375" style="191" customWidth="1"/>
    <col min="9477" max="9477" width="12.42578125" style="191" customWidth="1"/>
    <col min="9478" max="9478" width="7.140625" style="191" customWidth="1"/>
    <col min="9479" max="9479" width="7.28515625" style="191" customWidth="1"/>
    <col min="9480" max="9480" width="8.85546875" style="191" customWidth="1"/>
    <col min="9481" max="9481" width="11.7109375" style="191" customWidth="1"/>
    <col min="9482" max="9482" width="11" style="191" customWidth="1"/>
    <col min="9483" max="9483" width="12.5703125" style="191" customWidth="1"/>
    <col min="9484" max="9484" width="10.140625" style="191" customWidth="1"/>
    <col min="9485" max="9485" width="12.42578125" style="191" customWidth="1"/>
    <col min="9486" max="9486" width="12.85546875" style="191" customWidth="1"/>
    <col min="9487" max="9487" width="13.140625" style="191" customWidth="1"/>
    <col min="9488" max="9488" width="10.140625" style="191" customWidth="1"/>
    <col min="9489" max="9489" width="13.140625" style="191" customWidth="1"/>
    <col min="9490" max="9490" width="8.28515625" style="191" customWidth="1"/>
    <col min="9491" max="9491" width="8.7109375" style="191" customWidth="1"/>
    <col min="9492" max="9492" width="5.7109375" style="191" customWidth="1"/>
    <col min="9493" max="9493" width="0" style="191" hidden="1" customWidth="1"/>
    <col min="9494" max="9496" width="8.140625" style="191"/>
    <col min="9497" max="9497" width="8.140625" style="191" customWidth="1"/>
    <col min="9498" max="9728" width="8.140625" style="191"/>
    <col min="9729" max="9729" width="5.42578125" style="191" customWidth="1"/>
    <col min="9730" max="9730" width="32" style="191" customWidth="1"/>
    <col min="9731" max="9731" width="10.140625" style="191" customWidth="1"/>
    <col min="9732" max="9732" width="15.7109375" style="191" customWidth="1"/>
    <col min="9733" max="9733" width="12.42578125" style="191" customWidth="1"/>
    <col min="9734" max="9734" width="7.140625" style="191" customWidth="1"/>
    <col min="9735" max="9735" width="7.28515625" style="191" customWidth="1"/>
    <col min="9736" max="9736" width="8.85546875" style="191" customWidth="1"/>
    <col min="9737" max="9737" width="11.7109375" style="191" customWidth="1"/>
    <col min="9738" max="9738" width="11" style="191" customWidth="1"/>
    <col min="9739" max="9739" width="12.5703125" style="191" customWidth="1"/>
    <col min="9740" max="9740" width="10.140625" style="191" customWidth="1"/>
    <col min="9741" max="9741" width="12.42578125" style="191" customWidth="1"/>
    <col min="9742" max="9742" width="12.85546875" style="191" customWidth="1"/>
    <col min="9743" max="9743" width="13.140625" style="191" customWidth="1"/>
    <col min="9744" max="9744" width="10.140625" style="191" customWidth="1"/>
    <col min="9745" max="9745" width="13.140625" style="191" customWidth="1"/>
    <col min="9746" max="9746" width="8.28515625" style="191" customWidth="1"/>
    <col min="9747" max="9747" width="8.7109375" style="191" customWidth="1"/>
    <col min="9748" max="9748" width="5.7109375" style="191" customWidth="1"/>
    <col min="9749" max="9749" width="0" style="191" hidden="1" customWidth="1"/>
    <col min="9750" max="9752" width="8.140625" style="191"/>
    <col min="9753" max="9753" width="8.140625" style="191" customWidth="1"/>
    <col min="9754" max="9984" width="8.140625" style="191"/>
    <col min="9985" max="9985" width="5.42578125" style="191" customWidth="1"/>
    <col min="9986" max="9986" width="32" style="191" customWidth="1"/>
    <col min="9987" max="9987" width="10.140625" style="191" customWidth="1"/>
    <col min="9988" max="9988" width="15.7109375" style="191" customWidth="1"/>
    <col min="9989" max="9989" width="12.42578125" style="191" customWidth="1"/>
    <col min="9990" max="9990" width="7.140625" style="191" customWidth="1"/>
    <col min="9991" max="9991" width="7.28515625" style="191" customWidth="1"/>
    <col min="9992" max="9992" width="8.85546875" style="191" customWidth="1"/>
    <col min="9993" max="9993" width="11.7109375" style="191" customWidth="1"/>
    <col min="9994" max="9994" width="11" style="191" customWidth="1"/>
    <col min="9995" max="9995" width="12.5703125" style="191" customWidth="1"/>
    <col min="9996" max="9996" width="10.140625" style="191" customWidth="1"/>
    <col min="9997" max="9997" width="12.42578125" style="191" customWidth="1"/>
    <col min="9998" max="9998" width="12.85546875" style="191" customWidth="1"/>
    <col min="9999" max="9999" width="13.140625" style="191" customWidth="1"/>
    <col min="10000" max="10000" width="10.140625" style="191" customWidth="1"/>
    <col min="10001" max="10001" width="13.140625" style="191" customWidth="1"/>
    <col min="10002" max="10002" width="8.28515625" style="191" customWidth="1"/>
    <col min="10003" max="10003" width="8.7109375" style="191" customWidth="1"/>
    <col min="10004" max="10004" width="5.7109375" style="191" customWidth="1"/>
    <col min="10005" max="10005" width="0" style="191" hidden="1" customWidth="1"/>
    <col min="10006" max="10008" width="8.140625" style="191"/>
    <col min="10009" max="10009" width="8.140625" style="191" customWidth="1"/>
    <col min="10010" max="10240" width="8.140625" style="191"/>
    <col min="10241" max="10241" width="5.42578125" style="191" customWidth="1"/>
    <col min="10242" max="10242" width="32" style="191" customWidth="1"/>
    <col min="10243" max="10243" width="10.140625" style="191" customWidth="1"/>
    <col min="10244" max="10244" width="15.7109375" style="191" customWidth="1"/>
    <col min="10245" max="10245" width="12.42578125" style="191" customWidth="1"/>
    <col min="10246" max="10246" width="7.140625" style="191" customWidth="1"/>
    <col min="10247" max="10247" width="7.28515625" style="191" customWidth="1"/>
    <col min="10248" max="10248" width="8.85546875" style="191" customWidth="1"/>
    <col min="10249" max="10249" width="11.7109375" style="191" customWidth="1"/>
    <col min="10250" max="10250" width="11" style="191" customWidth="1"/>
    <col min="10251" max="10251" width="12.5703125" style="191" customWidth="1"/>
    <col min="10252" max="10252" width="10.140625" style="191" customWidth="1"/>
    <col min="10253" max="10253" width="12.42578125" style="191" customWidth="1"/>
    <col min="10254" max="10254" width="12.85546875" style="191" customWidth="1"/>
    <col min="10255" max="10255" width="13.140625" style="191" customWidth="1"/>
    <col min="10256" max="10256" width="10.140625" style="191" customWidth="1"/>
    <col min="10257" max="10257" width="13.140625" style="191" customWidth="1"/>
    <col min="10258" max="10258" width="8.28515625" style="191" customWidth="1"/>
    <col min="10259" max="10259" width="8.7109375" style="191" customWidth="1"/>
    <col min="10260" max="10260" width="5.7109375" style="191" customWidth="1"/>
    <col min="10261" max="10261" width="0" style="191" hidden="1" customWidth="1"/>
    <col min="10262" max="10264" width="8.140625" style="191"/>
    <col min="10265" max="10265" width="8.140625" style="191" customWidth="1"/>
    <col min="10266" max="10496" width="8.140625" style="191"/>
    <col min="10497" max="10497" width="5.42578125" style="191" customWidth="1"/>
    <col min="10498" max="10498" width="32" style="191" customWidth="1"/>
    <col min="10499" max="10499" width="10.140625" style="191" customWidth="1"/>
    <col min="10500" max="10500" width="15.7109375" style="191" customWidth="1"/>
    <col min="10501" max="10501" width="12.42578125" style="191" customWidth="1"/>
    <col min="10502" max="10502" width="7.140625" style="191" customWidth="1"/>
    <col min="10503" max="10503" width="7.28515625" style="191" customWidth="1"/>
    <col min="10504" max="10504" width="8.85546875" style="191" customWidth="1"/>
    <col min="10505" max="10505" width="11.7109375" style="191" customWidth="1"/>
    <col min="10506" max="10506" width="11" style="191" customWidth="1"/>
    <col min="10507" max="10507" width="12.5703125" style="191" customWidth="1"/>
    <col min="10508" max="10508" width="10.140625" style="191" customWidth="1"/>
    <col min="10509" max="10509" width="12.42578125" style="191" customWidth="1"/>
    <col min="10510" max="10510" width="12.85546875" style="191" customWidth="1"/>
    <col min="10511" max="10511" width="13.140625" style="191" customWidth="1"/>
    <col min="10512" max="10512" width="10.140625" style="191" customWidth="1"/>
    <col min="10513" max="10513" width="13.140625" style="191" customWidth="1"/>
    <col min="10514" max="10514" width="8.28515625" style="191" customWidth="1"/>
    <col min="10515" max="10515" width="8.7109375" style="191" customWidth="1"/>
    <col min="10516" max="10516" width="5.7109375" style="191" customWidth="1"/>
    <col min="10517" max="10517" width="0" style="191" hidden="1" customWidth="1"/>
    <col min="10518" max="10520" width="8.140625" style="191"/>
    <col min="10521" max="10521" width="8.140625" style="191" customWidth="1"/>
    <col min="10522" max="10752" width="8.140625" style="191"/>
    <col min="10753" max="10753" width="5.42578125" style="191" customWidth="1"/>
    <col min="10754" max="10754" width="32" style="191" customWidth="1"/>
    <col min="10755" max="10755" width="10.140625" style="191" customWidth="1"/>
    <col min="10756" max="10756" width="15.7109375" style="191" customWidth="1"/>
    <col min="10757" max="10757" width="12.42578125" style="191" customWidth="1"/>
    <col min="10758" max="10758" width="7.140625" style="191" customWidth="1"/>
    <col min="10759" max="10759" width="7.28515625" style="191" customWidth="1"/>
    <col min="10760" max="10760" width="8.85546875" style="191" customWidth="1"/>
    <col min="10761" max="10761" width="11.7109375" style="191" customWidth="1"/>
    <col min="10762" max="10762" width="11" style="191" customWidth="1"/>
    <col min="10763" max="10763" width="12.5703125" style="191" customWidth="1"/>
    <col min="10764" max="10764" width="10.140625" style="191" customWidth="1"/>
    <col min="10765" max="10765" width="12.42578125" style="191" customWidth="1"/>
    <col min="10766" max="10766" width="12.85546875" style="191" customWidth="1"/>
    <col min="10767" max="10767" width="13.140625" style="191" customWidth="1"/>
    <col min="10768" max="10768" width="10.140625" style="191" customWidth="1"/>
    <col min="10769" max="10769" width="13.140625" style="191" customWidth="1"/>
    <col min="10770" max="10770" width="8.28515625" style="191" customWidth="1"/>
    <col min="10771" max="10771" width="8.7109375" style="191" customWidth="1"/>
    <col min="10772" max="10772" width="5.7109375" style="191" customWidth="1"/>
    <col min="10773" max="10773" width="0" style="191" hidden="1" customWidth="1"/>
    <col min="10774" max="10776" width="8.140625" style="191"/>
    <col min="10777" max="10777" width="8.140625" style="191" customWidth="1"/>
    <col min="10778" max="11008" width="8.140625" style="191"/>
    <col min="11009" max="11009" width="5.42578125" style="191" customWidth="1"/>
    <col min="11010" max="11010" width="32" style="191" customWidth="1"/>
    <col min="11011" max="11011" width="10.140625" style="191" customWidth="1"/>
    <col min="11012" max="11012" width="15.7109375" style="191" customWidth="1"/>
    <col min="11013" max="11013" width="12.42578125" style="191" customWidth="1"/>
    <col min="11014" max="11014" width="7.140625" style="191" customWidth="1"/>
    <col min="11015" max="11015" width="7.28515625" style="191" customWidth="1"/>
    <col min="11016" max="11016" width="8.85546875" style="191" customWidth="1"/>
    <col min="11017" max="11017" width="11.7109375" style="191" customWidth="1"/>
    <col min="11018" max="11018" width="11" style="191" customWidth="1"/>
    <col min="11019" max="11019" width="12.5703125" style="191" customWidth="1"/>
    <col min="11020" max="11020" width="10.140625" style="191" customWidth="1"/>
    <col min="11021" max="11021" width="12.42578125" style="191" customWidth="1"/>
    <col min="11022" max="11022" width="12.85546875" style="191" customWidth="1"/>
    <col min="11023" max="11023" width="13.140625" style="191" customWidth="1"/>
    <col min="11024" max="11024" width="10.140625" style="191" customWidth="1"/>
    <col min="11025" max="11025" width="13.140625" style="191" customWidth="1"/>
    <col min="11026" max="11026" width="8.28515625" style="191" customWidth="1"/>
    <col min="11027" max="11027" width="8.7109375" style="191" customWidth="1"/>
    <col min="11028" max="11028" width="5.7109375" style="191" customWidth="1"/>
    <col min="11029" max="11029" width="0" style="191" hidden="1" customWidth="1"/>
    <col min="11030" max="11032" width="8.140625" style="191"/>
    <col min="11033" max="11033" width="8.140625" style="191" customWidth="1"/>
    <col min="11034" max="11264" width="8.140625" style="191"/>
    <col min="11265" max="11265" width="5.42578125" style="191" customWidth="1"/>
    <col min="11266" max="11266" width="32" style="191" customWidth="1"/>
    <col min="11267" max="11267" width="10.140625" style="191" customWidth="1"/>
    <col min="11268" max="11268" width="15.7109375" style="191" customWidth="1"/>
    <col min="11269" max="11269" width="12.42578125" style="191" customWidth="1"/>
    <col min="11270" max="11270" width="7.140625" style="191" customWidth="1"/>
    <col min="11271" max="11271" width="7.28515625" style="191" customWidth="1"/>
    <col min="11272" max="11272" width="8.85546875" style="191" customWidth="1"/>
    <col min="11273" max="11273" width="11.7109375" style="191" customWidth="1"/>
    <col min="11274" max="11274" width="11" style="191" customWidth="1"/>
    <col min="11275" max="11275" width="12.5703125" style="191" customWidth="1"/>
    <col min="11276" max="11276" width="10.140625" style="191" customWidth="1"/>
    <col min="11277" max="11277" width="12.42578125" style="191" customWidth="1"/>
    <col min="11278" max="11278" width="12.85546875" style="191" customWidth="1"/>
    <col min="11279" max="11279" width="13.140625" style="191" customWidth="1"/>
    <col min="11280" max="11280" width="10.140625" style="191" customWidth="1"/>
    <col min="11281" max="11281" width="13.140625" style="191" customWidth="1"/>
    <col min="11282" max="11282" width="8.28515625" style="191" customWidth="1"/>
    <col min="11283" max="11283" width="8.7109375" style="191" customWidth="1"/>
    <col min="11284" max="11284" width="5.7109375" style="191" customWidth="1"/>
    <col min="11285" max="11285" width="0" style="191" hidden="1" customWidth="1"/>
    <col min="11286" max="11288" width="8.140625" style="191"/>
    <col min="11289" max="11289" width="8.140625" style="191" customWidth="1"/>
    <col min="11290" max="11520" width="8.140625" style="191"/>
    <col min="11521" max="11521" width="5.42578125" style="191" customWidth="1"/>
    <col min="11522" max="11522" width="32" style="191" customWidth="1"/>
    <col min="11523" max="11523" width="10.140625" style="191" customWidth="1"/>
    <col min="11524" max="11524" width="15.7109375" style="191" customWidth="1"/>
    <col min="11525" max="11525" width="12.42578125" style="191" customWidth="1"/>
    <col min="11526" max="11526" width="7.140625" style="191" customWidth="1"/>
    <col min="11527" max="11527" width="7.28515625" style="191" customWidth="1"/>
    <col min="11528" max="11528" width="8.85546875" style="191" customWidth="1"/>
    <col min="11529" max="11529" width="11.7109375" style="191" customWidth="1"/>
    <col min="11530" max="11530" width="11" style="191" customWidth="1"/>
    <col min="11531" max="11531" width="12.5703125" style="191" customWidth="1"/>
    <col min="11532" max="11532" width="10.140625" style="191" customWidth="1"/>
    <col min="11533" max="11533" width="12.42578125" style="191" customWidth="1"/>
    <col min="11534" max="11534" width="12.85546875" style="191" customWidth="1"/>
    <col min="11535" max="11535" width="13.140625" style="191" customWidth="1"/>
    <col min="11536" max="11536" width="10.140625" style="191" customWidth="1"/>
    <col min="11537" max="11537" width="13.140625" style="191" customWidth="1"/>
    <col min="11538" max="11538" width="8.28515625" style="191" customWidth="1"/>
    <col min="11539" max="11539" width="8.7109375" style="191" customWidth="1"/>
    <col min="11540" max="11540" width="5.7109375" style="191" customWidth="1"/>
    <col min="11541" max="11541" width="0" style="191" hidden="1" customWidth="1"/>
    <col min="11542" max="11544" width="8.140625" style="191"/>
    <col min="11545" max="11545" width="8.140625" style="191" customWidth="1"/>
    <col min="11546" max="11776" width="8.140625" style="191"/>
    <col min="11777" max="11777" width="5.42578125" style="191" customWidth="1"/>
    <col min="11778" max="11778" width="32" style="191" customWidth="1"/>
    <col min="11779" max="11779" width="10.140625" style="191" customWidth="1"/>
    <col min="11780" max="11780" width="15.7109375" style="191" customWidth="1"/>
    <col min="11781" max="11781" width="12.42578125" style="191" customWidth="1"/>
    <col min="11782" max="11782" width="7.140625" style="191" customWidth="1"/>
    <col min="11783" max="11783" width="7.28515625" style="191" customWidth="1"/>
    <col min="11784" max="11784" width="8.85546875" style="191" customWidth="1"/>
    <col min="11785" max="11785" width="11.7109375" style="191" customWidth="1"/>
    <col min="11786" max="11786" width="11" style="191" customWidth="1"/>
    <col min="11787" max="11787" width="12.5703125" style="191" customWidth="1"/>
    <col min="11788" max="11788" width="10.140625" style="191" customWidth="1"/>
    <col min="11789" max="11789" width="12.42578125" style="191" customWidth="1"/>
    <col min="11790" max="11790" width="12.85546875" style="191" customWidth="1"/>
    <col min="11791" max="11791" width="13.140625" style="191" customWidth="1"/>
    <col min="11792" max="11792" width="10.140625" style="191" customWidth="1"/>
    <col min="11793" max="11793" width="13.140625" style="191" customWidth="1"/>
    <col min="11794" max="11794" width="8.28515625" style="191" customWidth="1"/>
    <col min="11795" max="11795" width="8.7109375" style="191" customWidth="1"/>
    <col min="11796" max="11796" width="5.7109375" style="191" customWidth="1"/>
    <col min="11797" max="11797" width="0" style="191" hidden="1" customWidth="1"/>
    <col min="11798" max="11800" width="8.140625" style="191"/>
    <col min="11801" max="11801" width="8.140625" style="191" customWidth="1"/>
    <col min="11802" max="12032" width="8.140625" style="191"/>
    <col min="12033" max="12033" width="5.42578125" style="191" customWidth="1"/>
    <col min="12034" max="12034" width="32" style="191" customWidth="1"/>
    <col min="12035" max="12035" width="10.140625" style="191" customWidth="1"/>
    <col min="12036" max="12036" width="15.7109375" style="191" customWidth="1"/>
    <col min="12037" max="12037" width="12.42578125" style="191" customWidth="1"/>
    <col min="12038" max="12038" width="7.140625" style="191" customWidth="1"/>
    <col min="12039" max="12039" width="7.28515625" style="191" customWidth="1"/>
    <col min="12040" max="12040" width="8.85546875" style="191" customWidth="1"/>
    <col min="12041" max="12041" width="11.7109375" style="191" customWidth="1"/>
    <col min="12042" max="12042" width="11" style="191" customWidth="1"/>
    <col min="12043" max="12043" width="12.5703125" style="191" customWidth="1"/>
    <col min="12044" max="12044" width="10.140625" style="191" customWidth="1"/>
    <col min="12045" max="12045" width="12.42578125" style="191" customWidth="1"/>
    <col min="12046" max="12046" width="12.85546875" style="191" customWidth="1"/>
    <col min="12047" max="12047" width="13.140625" style="191" customWidth="1"/>
    <col min="12048" max="12048" width="10.140625" style="191" customWidth="1"/>
    <col min="12049" max="12049" width="13.140625" style="191" customWidth="1"/>
    <col min="12050" max="12050" width="8.28515625" style="191" customWidth="1"/>
    <col min="12051" max="12051" width="8.7109375" style="191" customWidth="1"/>
    <col min="12052" max="12052" width="5.7109375" style="191" customWidth="1"/>
    <col min="12053" max="12053" width="0" style="191" hidden="1" customWidth="1"/>
    <col min="12054" max="12056" width="8.140625" style="191"/>
    <col min="12057" max="12057" width="8.140625" style="191" customWidth="1"/>
    <col min="12058" max="12288" width="8.140625" style="191"/>
    <col min="12289" max="12289" width="5.42578125" style="191" customWidth="1"/>
    <col min="12290" max="12290" width="32" style="191" customWidth="1"/>
    <col min="12291" max="12291" width="10.140625" style="191" customWidth="1"/>
    <col min="12292" max="12292" width="15.7109375" style="191" customWidth="1"/>
    <col min="12293" max="12293" width="12.42578125" style="191" customWidth="1"/>
    <col min="12294" max="12294" width="7.140625" style="191" customWidth="1"/>
    <col min="12295" max="12295" width="7.28515625" style="191" customWidth="1"/>
    <col min="12296" max="12296" width="8.85546875" style="191" customWidth="1"/>
    <col min="12297" max="12297" width="11.7109375" style="191" customWidth="1"/>
    <col min="12298" max="12298" width="11" style="191" customWidth="1"/>
    <col min="12299" max="12299" width="12.5703125" style="191" customWidth="1"/>
    <col min="12300" max="12300" width="10.140625" style="191" customWidth="1"/>
    <col min="12301" max="12301" width="12.42578125" style="191" customWidth="1"/>
    <col min="12302" max="12302" width="12.85546875" style="191" customWidth="1"/>
    <col min="12303" max="12303" width="13.140625" style="191" customWidth="1"/>
    <col min="12304" max="12304" width="10.140625" style="191" customWidth="1"/>
    <col min="12305" max="12305" width="13.140625" style="191" customWidth="1"/>
    <col min="12306" max="12306" width="8.28515625" style="191" customWidth="1"/>
    <col min="12307" max="12307" width="8.7109375" style="191" customWidth="1"/>
    <col min="12308" max="12308" width="5.7109375" style="191" customWidth="1"/>
    <col min="12309" max="12309" width="0" style="191" hidden="1" customWidth="1"/>
    <col min="12310" max="12312" width="8.140625" style="191"/>
    <col min="12313" max="12313" width="8.140625" style="191" customWidth="1"/>
    <col min="12314" max="12544" width="8.140625" style="191"/>
    <col min="12545" max="12545" width="5.42578125" style="191" customWidth="1"/>
    <col min="12546" max="12546" width="32" style="191" customWidth="1"/>
    <col min="12547" max="12547" width="10.140625" style="191" customWidth="1"/>
    <col min="12548" max="12548" width="15.7109375" style="191" customWidth="1"/>
    <col min="12549" max="12549" width="12.42578125" style="191" customWidth="1"/>
    <col min="12550" max="12550" width="7.140625" style="191" customWidth="1"/>
    <col min="12551" max="12551" width="7.28515625" style="191" customWidth="1"/>
    <col min="12552" max="12552" width="8.85546875" style="191" customWidth="1"/>
    <col min="12553" max="12553" width="11.7109375" style="191" customWidth="1"/>
    <col min="12554" max="12554" width="11" style="191" customWidth="1"/>
    <col min="12555" max="12555" width="12.5703125" style="191" customWidth="1"/>
    <col min="12556" max="12556" width="10.140625" style="191" customWidth="1"/>
    <col min="12557" max="12557" width="12.42578125" style="191" customWidth="1"/>
    <col min="12558" max="12558" width="12.85546875" style="191" customWidth="1"/>
    <col min="12559" max="12559" width="13.140625" style="191" customWidth="1"/>
    <col min="12560" max="12560" width="10.140625" style="191" customWidth="1"/>
    <col min="12561" max="12561" width="13.140625" style="191" customWidth="1"/>
    <col min="12562" max="12562" width="8.28515625" style="191" customWidth="1"/>
    <col min="12563" max="12563" width="8.7109375" style="191" customWidth="1"/>
    <col min="12564" max="12564" width="5.7109375" style="191" customWidth="1"/>
    <col min="12565" max="12565" width="0" style="191" hidden="1" customWidth="1"/>
    <col min="12566" max="12568" width="8.140625" style="191"/>
    <col min="12569" max="12569" width="8.140625" style="191" customWidth="1"/>
    <col min="12570" max="12800" width="8.140625" style="191"/>
    <col min="12801" max="12801" width="5.42578125" style="191" customWidth="1"/>
    <col min="12802" max="12802" width="32" style="191" customWidth="1"/>
    <col min="12803" max="12803" width="10.140625" style="191" customWidth="1"/>
    <col min="12804" max="12804" width="15.7109375" style="191" customWidth="1"/>
    <col min="12805" max="12805" width="12.42578125" style="191" customWidth="1"/>
    <col min="12806" max="12806" width="7.140625" style="191" customWidth="1"/>
    <col min="12807" max="12807" width="7.28515625" style="191" customWidth="1"/>
    <col min="12808" max="12808" width="8.85546875" style="191" customWidth="1"/>
    <col min="12809" max="12809" width="11.7109375" style="191" customWidth="1"/>
    <col min="12810" max="12810" width="11" style="191" customWidth="1"/>
    <col min="12811" max="12811" width="12.5703125" style="191" customWidth="1"/>
    <col min="12812" max="12812" width="10.140625" style="191" customWidth="1"/>
    <col min="12813" max="12813" width="12.42578125" style="191" customWidth="1"/>
    <col min="12814" max="12814" width="12.85546875" style="191" customWidth="1"/>
    <col min="12815" max="12815" width="13.140625" style="191" customWidth="1"/>
    <col min="12816" max="12816" width="10.140625" style="191" customWidth="1"/>
    <col min="12817" max="12817" width="13.140625" style="191" customWidth="1"/>
    <col min="12818" max="12818" width="8.28515625" style="191" customWidth="1"/>
    <col min="12819" max="12819" width="8.7109375" style="191" customWidth="1"/>
    <col min="12820" max="12820" width="5.7109375" style="191" customWidth="1"/>
    <col min="12821" max="12821" width="0" style="191" hidden="1" customWidth="1"/>
    <col min="12822" max="12824" width="8.140625" style="191"/>
    <col min="12825" max="12825" width="8.140625" style="191" customWidth="1"/>
    <col min="12826" max="13056" width="8.140625" style="191"/>
    <col min="13057" max="13057" width="5.42578125" style="191" customWidth="1"/>
    <col min="13058" max="13058" width="32" style="191" customWidth="1"/>
    <col min="13059" max="13059" width="10.140625" style="191" customWidth="1"/>
    <col min="13060" max="13060" width="15.7109375" style="191" customWidth="1"/>
    <col min="13061" max="13061" width="12.42578125" style="191" customWidth="1"/>
    <col min="13062" max="13062" width="7.140625" style="191" customWidth="1"/>
    <col min="13063" max="13063" width="7.28515625" style="191" customWidth="1"/>
    <col min="13064" max="13064" width="8.85546875" style="191" customWidth="1"/>
    <col min="13065" max="13065" width="11.7109375" style="191" customWidth="1"/>
    <col min="13066" max="13066" width="11" style="191" customWidth="1"/>
    <col min="13067" max="13067" width="12.5703125" style="191" customWidth="1"/>
    <col min="13068" max="13068" width="10.140625" style="191" customWidth="1"/>
    <col min="13069" max="13069" width="12.42578125" style="191" customWidth="1"/>
    <col min="13070" max="13070" width="12.85546875" style="191" customWidth="1"/>
    <col min="13071" max="13071" width="13.140625" style="191" customWidth="1"/>
    <col min="13072" max="13072" width="10.140625" style="191" customWidth="1"/>
    <col min="13073" max="13073" width="13.140625" style="191" customWidth="1"/>
    <col min="13074" max="13074" width="8.28515625" style="191" customWidth="1"/>
    <col min="13075" max="13075" width="8.7109375" style="191" customWidth="1"/>
    <col min="13076" max="13076" width="5.7109375" style="191" customWidth="1"/>
    <col min="13077" max="13077" width="0" style="191" hidden="1" customWidth="1"/>
    <col min="13078" max="13080" width="8.140625" style="191"/>
    <col min="13081" max="13081" width="8.140625" style="191" customWidth="1"/>
    <col min="13082" max="13312" width="8.140625" style="191"/>
    <col min="13313" max="13313" width="5.42578125" style="191" customWidth="1"/>
    <col min="13314" max="13314" width="32" style="191" customWidth="1"/>
    <col min="13315" max="13315" width="10.140625" style="191" customWidth="1"/>
    <col min="13316" max="13316" width="15.7109375" style="191" customWidth="1"/>
    <col min="13317" max="13317" width="12.42578125" style="191" customWidth="1"/>
    <col min="13318" max="13318" width="7.140625" style="191" customWidth="1"/>
    <col min="13319" max="13319" width="7.28515625" style="191" customWidth="1"/>
    <col min="13320" max="13320" width="8.85546875" style="191" customWidth="1"/>
    <col min="13321" max="13321" width="11.7109375" style="191" customWidth="1"/>
    <col min="13322" max="13322" width="11" style="191" customWidth="1"/>
    <col min="13323" max="13323" width="12.5703125" style="191" customWidth="1"/>
    <col min="13324" max="13324" width="10.140625" style="191" customWidth="1"/>
    <col min="13325" max="13325" width="12.42578125" style="191" customWidth="1"/>
    <col min="13326" max="13326" width="12.85546875" style="191" customWidth="1"/>
    <col min="13327" max="13327" width="13.140625" style="191" customWidth="1"/>
    <col min="13328" max="13328" width="10.140625" style="191" customWidth="1"/>
    <col min="13329" max="13329" width="13.140625" style="191" customWidth="1"/>
    <col min="13330" max="13330" width="8.28515625" style="191" customWidth="1"/>
    <col min="13331" max="13331" width="8.7109375" style="191" customWidth="1"/>
    <col min="13332" max="13332" width="5.7109375" style="191" customWidth="1"/>
    <col min="13333" max="13333" width="0" style="191" hidden="1" customWidth="1"/>
    <col min="13334" max="13336" width="8.140625" style="191"/>
    <col min="13337" max="13337" width="8.140625" style="191" customWidth="1"/>
    <col min="13338" max="13568" width="8.140625" style="191"/>
    <col min="13569" max="13569" width="5.42578125" style="191" customWidth="1"/>
    <col min="13570" max="13570" width="32" style="191" customWidth="1"/>
    <col min="13571" max="13571" width="10.140625" style="191" customWidth="1"/>
    <col min="13572" max="13572" width="15.7109375" style="191" customWidth="1"/>
    <col min="13573" max="13573" width="12.42578125" style="191" customWidth="1"/>
    <col min="13574" max="13574" width="7.140625" style="191" customWidth="1"/>
    <col min="13575" max="13575" width="7.28515625" style="191" customWidth="1"/>
    <col min="13576" max="13576" width="8.85546875" style="191" customWidth="1"/>
    <col min="13577" max="13577" width="11.7109375" style="191" customWidth="1"/>
    <col min="13578" max="13578" width="11" style="191" customWidth="1"/>
    <col min="13579" max="13579" width="12.5703125" style="191" customWidth="1"/>
    <col min="13580" max="13580" width="10.140625" style="191" customWidth="1"/>
    <col min="13581" max="13581" width="12.42578125" style="191" customWidth="1"/>
    <col min="13582" max="13582" width="12.85546875" style="191" customWidth="1"/>
    <col min="13583" max="13583" width="13.140625" style="191" customWidth="1"/>
    <col min="13584" max="13584" width="10.140625" style="191" customWidth="1"/>
    <col min="13585" max="13585" width="13.140625" style="191" customWidth="1"/>
    <col min="13586" max="13586" width="8.28515625" style="191" customWidth="1"/>
    <col min="13587" max="13587" width="8.7109375" style="191" customWidth="1"/>
    <col min="13588" max="13588" width="5.7109375" style="191" customWidth="1"/>
    <col min="13589" max="13589" width="0" style="191" hidden="1" customWidth="1"/>
    <col min="13590" max="13592" width="8.140625" style="191"/>
    <col min="13593" max="13593" width="8.140625" style="191" customWidth="1"/>
    <col min="13594" max="13824" width="8.140625" style="191"/>
    <col min="13825" max="13825" width="5.42578125" style="191" customWidth="1"/>
    <col min="13826" max="13826" width="32" style="191" customWidth="1"/>
    <col min="13827" max="13827" width="10.140625" style="191" customWidth="1"/>
    <col min="13828" max="13828" width="15.7109375" style="191" customWidth="1"/>
    <col min="13829" max="13829" width="12.42578125" style="191" customWidth="1"/>
    <col min="13830" max="13830" width="7.140625" style="191" customWidth="1"/>
    <col min="13831" max="13831" width="7.28515625" style="191" customWidth="1"/>
    <col min="13832" max="13832" width="8.85546875" style="191" customWidth="1"/>
    <col min="13833" max="13833" width="11.7109375" style="191" customWidth="1"/>
    <col min="13834" max="13834" width="11" style="191" customWidth="1"/>
    <col min="13835" max="13835" width="12.5703125" style="191" customWidth="1"/>
    <col min="13836" max="13836" width="10.140625" style="191" customWidth="1"/>
    <col min="13837" max="13837" width="12.42578125" style="191" customWidth="1"/>
    <col min="13838" max="13838" width="12.85546875" style="191" customWidth="1"/>
    <col min="13839" max="13839" width="13.140625" style="191" customWidth="1"/>
    <col min="13840" max="13840" width="10.140625" style="191" customWidth="1"/>
    <col min="13841" max="13841" width="13.140625" style="191" customWidth="1"/>
    <col min="13842" max="13842" width="8.28515625" style="191" customWidth="1"/>
    <col min="13843" max="13843" width="8.7109375" style="191" customWidth="1"/>
    <col min="13844" max="13844" width="5.7109375" style="191" customWidth="1"/>
    <col min="13845" max="13845" width="0" style="191" hidden="1" customWidth="1"/>
    <col min="13846" max="13848" width="8.140625" style="191"/>
    <col min="13849" max="13849" width="8.140625" style="191" customWidth="1"/>
    <col min="13850" max="14080" width="8.140625" style="191"/>
    <col min="14081" max="14081" width="5.42578125" style="191" customWidth="1"/>
    <col min="14082" max="14082" width="32" style="191" customWidth="1"/>
    <col min="14083" max="14083" width="10.140625" style="191" customWidth="1"/>
    <col min="14084" max="14084" width="15.7109375" style="191" customWidth="1"/>
    <col min="14085" max="14085" width="12.42578125" style="191" customWidth="1"/>
    <col min="14086" max="14086" width="7.140625" style="191" customWidth="1"/>
    <col min="14087" max="14087" width="7.28515625" style="191" customWidth="1"/>
    <col min="14088" max="14088" width="8.85546875" style="191" customWidth="1"/>
    <col min="14089" max="14089" width="11.7109375" style="191" customWidth="1"/>
    <col min="14090" max="14090" width="11" style="191" customWidth="1"/>
    <col min="14091" max="14091" width="12.5703125" style="191" customWidth="1"/>
    <col min="14092" max="14092" width="10.140625" style="191" customWidth="1"/>
    <col min="14093" max="14093" width="12.42578125" style="191" customWidth="1"/>
    <col min="14094" max="14094" width="12.85546875" style="191" customWidth="1"/>
    <col min="14095" max="14095" width="13.140625" style="191" customWidth="1"/>
    <col min="14096" max="14096" width="10.140625" style="191" customWidth="1"/>
    <col min="14097" max="14097" width="13.140625" style="191" customWidth="1"/>
    <col min="14098" max="14098" width="8.28515625" style="191" customWidth="1"/>
    <col min="14099" max="14099" width="8.7109375" style="191" customWidth="1"/>
    <col min="14100" max="14100" width="5.7109375" style="191" customWidth="1"/>
    <col min="14101" max="14101" width="0" style="191" hidden="1" customWidth="1"/>
    <col min="14102" max="14104" width="8.140625" style="191"/>
    <col min="14105" max="14105" width="8.140625" style="191" customWidth="1"/>
    <col min="14106" max="14336" width="8.140625" style="191"/>
    <col min="14337" max="14337" width="5.42578125" style="191" customWidth="1"/>
    <col min="14338" max="14338" width="32" style="191" customWidth="1"/>
    <col min="14339" max="14339" width="10.140625" style="191" customWidth="1"/>
    <col min="14340" max="14340" width="15.7109375" style="191" customWidth="1"/>
    <col min="14341" max="14341" width="12.42578125" style="191" customWidth="1"/>
    <col min="14342" max="14342" width="7.140625" style="191" customWidth="1"/>
    <col min="14343" max="14343" width="7.28515625" style="191" customWidth="1"/>
    <col min="14344" max="14344" width="8.85546875" style="191" customWidth="1"/>
    <col min="14345" max="14345" width="11.7109375" style="191" customWidth="1"/>
    <col min="14346" max="14346" width="11" style="191" customWidth="1"/>
    <col min="14347" max="14347" width="12.5703125" style="191" customWidth="1"/>
    <col min="14348" max="14348" width="10.140625" style="191" customWidth="1"/>
    <col min="14349" max="14349" width="12.42578125" style="191" customWidth="1"/>
    <col min="14350" max="14350" width="12.85546875" style="191" customWidth="1"/>
    <col min="14351" max="14351" width="13.140625" style="191" customWidth="1"/>
    <col min="14352" max="14352" width="10.140625" style="191" customWidth="1"/>
    <col min="14353" max="14353" width="13.140625" style="191" customWidth="1"/>
    <col min="14354" max="14354" width="8.28515625" style="191" customWidth="1"/>
    <col min="14355" max="14355" width="8.7109375" style="191" customWidth="1"/>
    <col min="14356" max="14356" width="5.7109375" style="191" customWidth="1"/>
    <col min="14357" max="14357" width="0" style="191" hidden="1" customWidth="1"/>
    <col min="14358" max="14360" width="8.140625" style="191"/>
    <col min="14361" max="14361" width="8.140625" style="191" customWidth="1"/>
    <col min="14362" max="14592" width="8.140625" style="191"/>
    <col min="14593" max="14593" width="5.42578125" style="191" customWidth="1"/>
    <col min="14594" max="14594" width="32" style="191" customWidth="1"/>
    <col min="14595" max="14595" width="10.140625" style="191" customWidth="1"/>
    <col min="14596" max="14596" width="15.7109375" style="191" customWidth="1"/>
    <col min="14597" max="14597" width="12.42578125" style="191" customWidth="1"/>
    <col min="14598" max="14598" width="7.140625" style="191" customWidth="1"/>
    <col min="14599" max="14599" width="7.28515625" style="191" customWidth="1"/>
    <col min="14600" max="14600" width="8.85546875" style="191" customWidth="1"/>
    <col min="14601" max="14601" width="11.7109375" style="191" customWidth="1"/>
    <col min="14602" max="14602" width="11" style="191" customWidth="1"/>
    <col min="14603" max="14603" width="12.5703125" style="191" customWidth="1"/>
    <col min="14604" max="14604" width="10.140625" style="191" customWidth="1"/>
    <col min="14605" max="14605" width="12.42578125" style="191" customWidth="1"/>
    <col min="14606" max="14606" width="12.85546875" style="191" customWidth="1"/>
    <col min="14607" max="14607" width="13.140625" style="191" customWidth="1"/>
    <col min="14608" max="14608" width="10.140625" style="191" customWidth="1"/>
    <col min="14609" max="14609" width="13.140625" style="191" customWidth="1"/>
    <col min="14610" max="14610" width="8.28515625" style="191" customWidth="1"/>
    <col min="14611" max="14611" width="8.7109375" style="191" customWidth="1"/>
    <col min="14612" max="14612" width="5.7109375" style="191" customWidth="1"/>
    <col min="14613" max="14613" width="0" style="191" hidden="1" customWidth="1"/>
    <col min="14614" max="14616" width="8.140625" style="191"/>
    <col min="14617" max="14617" width="8.140625" style="191" customWidth="1"/>
    <col min="14618" max="14848" width="8.140625" style="191"/>
    <col min="14849" max="14849" width="5.42578125" style="191" customWidth="1"/>
    <col min="14850" max="14850" width="32" style="191" customWidth="1"/>
    <col min="14851" max="14851" width="10.140625" style="191" customWidth="1"/>
    <col min="14852" max="14852" width="15.7109375" style="191" customWidth="1"/>
    <col min="14853" max="14853" width="12.42578125" style="191" customWidth="1"/>
    <col min="14854" max="14854" width="7.140625" style="191" customWidth="1"/>
    <col min="14855" max="14855" width="7.28515625" style="191" customWidth="1"/>
    <col min="14856" max="14856" width="8.85546875" style="191" customWidth="1"/>
    <col min="14857" max="14857" width="11.7109375" style="191" customWidth="1"/>
    <col min="14858" max="14858" width="11" style="191" customWidth="1"/>
    <col min="14859" max="14859" width="12.5703125" style="191" customWidth="1"/>
    <col min="14860" max="14860" width="10.140625" style="191" customWidth="1"/>
    <col min="14861" max="14861" width="12.42578125" style="191" customWidth="1"/>
    <col min="14862" max="14862" width="12.85546875" style="191" customWidth="1"/>
    <col min="14863" max="14863" width="13.140625" style="191" customWidth="1"/>
    <col min="14864" max="14864" width="10.140625" style="191" customWidth="1"/>
    <col min="14865" max="14865" width="13.140625" style="191" customWidth="1"/>
    <col min="14866" max="14866" width="8.28515625" style="191" customWidth="1"/>
    <col min="14867" max="14867" width="8.7109375" style="191" customWidth="1"/>
    <col min="14868" max="14868" width="5.7109375" style="191" customWidth="1"/>
    <col min="14869" max="14869" width="0" style="191" hidden="1" customWidth="1"/>
    <col min="14870" max="14872" width="8.140625" style="191"/>
    <col min="14873" max="14873" width="8.140625" style="191" customWidth="1"/>
    <col min="14874" max="15104" width="8.140625" style="191"/>
    <col min="15105" max="15105" width="5.42578125" style="191" customWidth="1"/>
    <col min="15106" max="15106" width="32" style="191" customWidth="1"/>
    <col min="15107" max="15107" width="10.140625" style="191" customWidth="1"/>
    <col min="15108" max="15108" width="15.7109375" style="191" customWidth="1"/>
    <col min="15109" max="15109" width="12.42578125" style="191" customWidth="1"/>
    <col min="15110" max="15110" width="7.140625" style="191" customWidth="1"/>
    <col min="15111" max="15111" width="7.28515625" style="191" customWidth="1"/>
    <col min="15112" max="15112" width="8.85546875" style="191" customWidth="1"/>
    <col min="15113" max="15113" width="11.7109375" style="191" customWidth="1"/>
    <col min="15114" max="15114" width="11" style="191" customWidth="1"/>
    <col min="15115" max="15115" width="12.5703125" style="191" customWidth="1"/>
    <col min="15116" max="15116" width="10.140625" style="191" customWidth="1"/>
    <col min="15117" max="15117" width="12.42578125" style="191" customWidth="1"/>
    <col min="15118" max="15118" width="12.85546875" style="191" customWidth="1"/>
    <col min="15119" max="15119" width="13.140625" style="191" customWidth="1"/>
    <col min="15120" max="15120" width="10.140625" style="191" customWidth="1"/>
    <col min="15121" max="15121" width="13.140625" style="191" customWidth="1"/>
    <col min="15122" max="15122" width="8.28515625" style="191" customWidth="1"/>
    <col min="15123" max="15123" width="8.7109375" style="191" customWidth="1"/>
    <col min="15124" max="15124" width="5.7109375" style="191" customWidth="1"/>
    <col min="15125" max="15125" width="0" style="191" hidden="1" customWidth="1"/>
    <col min="15126" max="15128" width="8.140625" style="191"/>
    <col min="15129" max="15129" width="8.140625" style="191" customWidth="1"/>
    <col min="15130" max="15360" width="8.140625" style="191"/>
    <col min="15361" max="15361" width="5.42578125" style="191" customWidth="1"/>
    <col min="15362" max="15362" width="32" style="191" customWidth="1"/>
    <col min="15363" max="15363" width="10.140625" style="191" customWidth="1"/>
    <col min="15364" max="15364" width="15.7109375" style="191" customWidth="1"/>
    <col min="15365" max="15365" width="12.42578125" style="191" customWidth="1"/>
    <col min="15366" max="15366" width="7.140625" style="191" customWidth="1"/>
    <col min="15367" max="15367" width="7.28515625" style="191" customWidth="1"/>
    <col min="15368" max="15368" width="8.85546875" style="191" customWidth="1"/>
    <col min="15369" max="15369" width="11.7109375" style="191" customWidth="1"/>
    <col min="15370" max="15370" width="11" style="191" customWidth="1"/>
    <col min="15371" max="15371" width="12.5703125" style="191" customWidth="1"/>
    <col min="15372" max="15372" width="10.140625" style="191" customWidth="1"/>
    <col min="15373" max="15373" width="12.42578125" style="191" customWidth="1"/>
    <col min="15374" max="15374" width="12.85546875" style="191" customWidth="1"/>
    <col min="15375" max="15375" width="13.140625" style="191" customWidth="1"/>
    <col min="15376" max="15376" width="10.140625" style="191" customWidth="1"/>
    <col min="15377" max="15377" width="13.140625" style="191" customWidth="1"/>
    <col min="15378" max="15378" width="8.28515625" style="191" customWidth="1"/>
    <col min="15379" max="15379" width="8.7109375" style="191" customWidth="1"/>
    <col min="15380" max="15380" width="5.7109375" style="191" customWidth="1"/>
    <col min="15381" max="15381" width="0" style="191" hidden="1" customWidth="1"/>
    <col min="15382" max="15384" width="8.140625" style="191"/>
    <col min="15385" max="15385" width="8.140625" style="191" customWidth="1"/>
    <col min="15386" max="15616" width="8.140625" style="191"/>
    <col min="15617" max="15617" width="5.42578125" style="191" customWidth="1"/>
    <col min="15618" max="15618" width="32" style="191" customWidth="1"/>
    <col min="15619" max="15619" width="10.140625" style="191" customWidth="1"/>
    <col min="15620" max="15620" width="15.7109375" style="191" customWidth="1"/>
    <col min="15621" max="15621" width="12.42578125" style="191" customWidth="1"/>
    <col min="15622" max="15622" width="7.140625" style="191" customWidth="1"/>
    <col min="15623" max="15623" width="7.28515625" style="191" customWidth="1"/>
    <col min="15624" max="15624" width="8.85546875" style="191" customWidth="1"/>
    <col min="15625" max="15625" width="11.7109375" style="191" customWidth="1"/>
    <col min="15626" max="15626" width="11" style="191" customWidth="1"/>
    <col min="15627" max="15627" width="12.5703125" style="191" customWidth="1"/>
    <col min="15628" max="15628" width="10.140625" style="191" customWidth="1"/>
    <col min="15629" max="15629" width="12.42578125" style="191" customWidth="1"/>
    <col min="15630" max="15630" width="12.85546875" style="191" customWidth="1"/>
    <col min="15631" max="15631" width="13.140625" style="191" customWidth="1"/>
    <col min="15632" max="15632" width="10.140625" style="191" customWidth="1"/>
    <col min="15633" max="15633" width="13.140625" style="191" customWidth="1"/>
    <col min="15634" max="15634" width="8.28515625" style="191" customWidth="1"/>
    <col min="15635" max="15635" width="8.7109375" style="191" customWidth="1"/>
    <col min="15636" max="15636" width="5.7109375" style="191" customWidth="1"/>
    <col min="15637" max="15637" width="0" style="191" hidden="1" customWidth="1"/>
    <col min="15638" max="15640" width="8.140625" style="191"/>
    <col min="15641" max="15641" width="8.140625" style="191" customWidth="1"/>
    <col min="15642" max="15872" width="8.140625" style="191"/>
    <col min="15873" max="15873" width="5.42578125" style="191" customWidth="1"/>
    <col min="15874" max="15874" width="32" style="191" customWidth="1"/>
    <col min="15875" max="15875" width="10.140625" style="191" customWidth="1"/>
    <col min="15876" max="15876" width="15.7109375" style="191" customWidth="1"/>
    <col min="15877" max="15877" width="12.42578125" style="191" customWidth="1"/>
    <col min="15878" max="15878" width="7.140625" style="191" customWidth="1"/>
    <col min="15879" max="15879" width="7.28515625" style="191" customWidth="1"/>
    <col min="15880" max="15880" width="8.85546875" style="191" customWidth="1"/>
    <col min="15881" max="15881" width="11.7109375" style="191" customWidth="1"/>
    <col min="15882" max="15882" width="11" style="191" customWidth="1"/>
    <col min="15883" max="15883" width="12.5703125" style="191" customWidth="1"/>
    <col min="15884" max="15884" width="10.140625" style="191" customWidth="1"/>
    <col min="15885" max="15885" width="12.42578125" style="191" customWidth="1"/>
    <col min="15886" max="15886" width="12.85546875" style="191" customWidth="1"/>
    <col min="15887" max="15887" width="13.140625" style="191" customWidth="1"/>
    <col min="15888" max="15888" width="10.140625" style="191" customWidth="1"/>
    <col min="15889" max="15889" width="13.140625" style="191" customWidth="1"/>
    <col min="15890" max="15890" width="8.28515625" style="191" customWidth="1"/>
    <col min="15891" max="15891" width="8.7109375" style="191" customWidth="1"/>
    <col min="15892" max="15892" width="5.7109375" style="191" customWidth="1"/>
    <col min="15893" max="15893" width="0" style="191" hidden="1" customWidth="1"/>
    <col min="15894" max="15896" width="8.140625" style="191"/>
    <col min="15897" max="15897" width="8.140625" style="191" customWidth="1"/>
    <col min="15898" max="16128" width="8.140625" style="191"/>
    <col min="16129" max="16129" width="5.42578125" style="191" customWidth="1"/>
    <col min="16130" max="16130" width="32" style="191" customWidth="1"/>
    <col min="16131" max="16131" width="10.140625" style="191" customWidth="1"/>
    <col min="16132" max="16132" width="15.7109375" style="191" customWidth="1"/>
    <col min="16133" max="16133" width="12.42578125" style="191" customWidth="1"/>
    <col min="16134" max="16134" width="7.140625" style="191" customWidth="1"/>
    <col min="16135" max="16135" width="7.28515625" style="191" customWidth="1"/>
    <col min="16136" max="16136" width="8.85546875" style="191" customWidth="1"/>
    <col min="16137" max="16137" width="11.7109375" style="191" customWidth="1"/>
    <col min="16138" max="16138" width="11" style="191" customWidth="1"/>
    <col min="16139" max="16139" width="12.5703125" style="191" customWidth="1"/>
    <col min="16140" max="16140" width="10.140625" style="191" customWidth="1"/>
    <col min="16141" max="16141" width="12.42578125" style="191" customWidth="1"/>
    <col min="16142" max="16142" width="12.85546875" style="191" customWidth="1"/>
    <col min="16143" max="16143" width="13.140625" style="191" customWidth="1"/>
    <col min="16144" max="16144" width="10.140625" style="191" customWidth="1"/>
    <col min="16145" max="16145" width="13.140625" style="191" customWidth="1"/>
    <col min="16146" max="16146" width="8.28515625" style="191" customWidth="1"/>
    <col min="16147" max="16147" width="8.7109375" style="191" customWidth="1"/>
    <col min="16148" max="16148" width="5.7109375" style="191" customWidth="1"/>
    <col min="16149" max="16149" width="0" style="191" hidden="1" customWidth="1"/>
    <col min="16150" max="16152" width="8.140625" style="191"/>
    <col min="16153" max="16153" width="8.140625" style="191" customWidth="1"/>
    <col min="16154" max="16384" width="8.140625" style="191"/>
  </cols>
  <sheetData>
    <row r="1" spans="1:21" ht="22.5" customHeight="1">
      <c r="A1" s="1645" t="s">
        <v>221</v>
      </c>
      <c r="B1" s="1645"/>
      <c r="C1" s="607"/>
      <c r="D1" s="608"/>
      <c r="E1" s="608"/>
      <c r="F1" s="608"/>
      <c r="G1" s="608"/>
      <c r="H1" s="608"/>
      <c r="I1" s="608"/>
      <c r="J1" s="608"/>
      <c r="K1" s="608"/>
      <c r="L1" s="608"/>
      <c r="M1" s="608"/>
      <c r="N1" s="608"/>
      <c r="O1" s="608"/>
      <c r="P1" s="609"/>
      <c r="Q1" s="608"/>
      <c r="R1" s="1722" t="s">
        <v>1382</v>
      </c>
      <c r="S1" s="1722"/>
      <c r="T1" s="1722"/>
      <c r="U1" s="610"/>
    </row>
    <row r="2" spans="1:21" ht="22.5" customHeight="1">
      <c r="A2" s="1728" t="s">
        <v>1381</v>
      </c>
      <c r="B2" s="1729"/>
      <c r="C2" s="1729"/>
      <c r="D2" s="1729"/>
      <c r="E2" s="1729"/>
      <c r="F2" s="1729"/>
      <c r="G2" s="1729"/>
      <c r="H2" s="1729"/>
      <c r="I2" s="1729"/>
      <c r="J2" s="1729"/>
      <c r="K2" s="1729"/>
      <c r="L2" s="1729"/>
      <c r="M2" s="1729"/>
      <c r="N2" s="1729"/>
      <c r="O2" s="1729"/>
      <c r="P2" s="1729"/>
      <c r="Q2" s="1729"/>
      <c r="R2" s="1729"/>
      <c r="S2" s="1729"/>
      <c r="T2" s="1729"/>
      <c r="U2" s="1729"/>
    </row>
    <row r="3" spans="1:21" ht="19.5" customHeight="1">
      <c r="A3" s="1730" t="e">
        <f>#REF!</f>
        <v>#REF!</v>
      </c>
      <c r="B3" s="1730"/>
      <c r="C3" s="1730"/>
      <c r="D3" s="1730"/>
      <c r="E3" s="1730"/>
      <c r="F3" s="1730"/>
      <c r="G3" s="1730"/>
      <c r="H3" s="1730"/>
      <c r="I3" s="1730"/>
      <c r="J3" s="1730"/>
      <c r="K3" s="1730"/>
      <c r="L3" s="1730"/>
      <c r="M3" s="1730"/>
      <c r="N3" s="1730"/>
      <c r="O3" s="1730"/>
      <c r="P3" s="1730"/>
      <c r="Q3" s="1730"/>
      <c r="R3" s="1730"/>
      <c r="S3" s="1730"/>
      <c r="T3" s="1730"/>
      <c r="U3" s="918"/>
    </row>
    <row r="4" spans="1:21" ht="15.75">
      <c r="A4" s="520"/>
      <c r="B4" s="519"/>
      <c r="C4" s="519"/>
      <c r="D4" s="519"/>
      <c r="E4" s="519"/>
      <c r="F4" s="519"/>
      <c r="G4" s="519"/>
      <c r="H4" s="519"/>
      <c r="I4" s="519"/>
      <c r="J4" s="519"/>
      <c r="K4" s="519"/>
      <c r="L4" s="519"/>
      <c r="M4" s="519"/>
      <c r="N4" s="519"/>
      <c r="O4" s="519"/>
      <c r="P4" s="519"/>
      <c r="Q4" s="519"/>
      <c r="R4" s="1723" t="s">
        <v>5</v>
      </c>
      <c r="S4" s="1723"/>
      <c r="T4" s="1723"/>
      <c r="U4" s="519"/>
    </row>
    <row r="5" spans="1:21" ht="24.75" customHeight="1">
      <c r="A5" s="1731" t="s">
        <v>316</v>
      </c>
      <c r="B5" s="1734" t="s">
        <v>32</v>
      </c>
      <c r="C5" s="1737" t="s">
        <v>136</v>
      </c>
      <c r="D5" s="1740" t="s">
        <v>1328</v>
      </c>
      <c r="E5" s="1741"/>
      <c r="F5" s="1741"/>
      <c r="G5" s="1741"/>
      <c r="H5" s="1741"/>
      <c r="I5" s="1741"/>
      <c r="J5" s="1741"/>
      <c r="K5" s="1741"/>
      <c r="L5" s="1741"/>
      <c r="M5" s="1741"/>
      <c r="N5" s="1741"/>
      <c r="O5" s="1741"/>
      <c r="P5" s="1741"/>
      <c r="Q5" s="1741"/>
      <c r="R5" s="1741"/>
      <c r="S5" s="1741"/>
      <c r="T5" s="1741"/>
      <c r="U5" s="1741"/>
    </row>
    <row r="6" spans="1:21" ht="18.75" customHeight="1">
      <c r="A6" s="1732"/>
      <c r="B6" s="1735"/>
      <c r="C6" s="1738"/>
      <c r="D6" s="1726" t="s">
        <v>155</v>
      </c>
      <c r="E6" s="1726" t="s">
        <v>90</v>
      </c>
      <c r="F6" s="1742" t="s">
        <v>91</v>
      </c>
      <c r="G6" s="1726" t="s">
        <v>110</v>
      </c>
      <c r="H6" s="1726" t="s">
        <v>111</v>
      </c>
      <c r="I6" s="1726" t="s">
        <v>112</v>
      </c>
      <c r="J6" s="1726" t="s">
        <v>113</v>
      </c>
      <c r="K6" s="1726" t="s">
        <v>114</v>
      </c>
      <c r="L6" s="1726" t="s">
        <v>115</v>
      </c>
      <c r="M6" s="1726" t="s">
        <v>116</v>
      </c>
      <c r="N6" s="1726" t="s">
        <v>117</v>
      </c>
      <c r="O6" s="1744" t="s">
        <v>125</v>
      </c>
      <c r="P6" s="1726" t="s">
        <v>126</v>
      </c>
      <c r="Q6" s="1727" t="s">
        <v>118</v>
      </c>
      <c r="R6" s="1726" t="s">
        <v>119</v>
      </c>
      <c r="S6" s="1724" t="s">
        <v>121</v>
      </c>
      <c r="T6" s="1725" t="s">
        <v>75</v>
      </c>
      <c r="U6" s="611"/>
    </row>
    <row r="7" spans="1:21" ht="127.5" customHeight="1">
      <c r="A7" s="1733"/>
      <c r="B7" s="1736"/>
      <c r="C7" s="1739"/>
      <c r="D7" s="1726"/>
      <c r="E7" s="1726"/>
      <c r="F7" s="1743"/>
      <c r="G7" s="1726"/>
      <c r="H7" s="1726"/>
      <c r="I7" s="1726"/>
      <c r="J7" s="1726"/>
      <c r="K7" s="1726"/>
      <c r="L7" s="1726"/>
      <c r="M7" s="1726"/>
      <c r="N7" s="1726"/>
      <c r="O7" s="1745"/>
      <c r="P7" s="1726"/>
      <c r="Q7" s="1727"/>
      <c r="R7" s="1726"/>
      <c r="S7" s="1724"/>
      <c r="T7" s="1725"/>
      <c r="U7" s="612">
        <f>U8+U44+U47+U53+U68</f>
        <v>0</v>
      </c>
    </row>
    <row r="8" spans="1:21" s="193" customFormat="1" ht="27" customHeight="1">
      <c r="A8" s="613" t="s">
        <v>2</v>
      </c>
      <c r="B8" s="613" t="s">
        <v>3</v>
      </c>
      <c r="C8" s="614">
        <v>1</v>
      </c>
      <c r="D8" s="615">
        <v>2</v>
      </c>
      <c r="E8" s="615">
        <v>3</v>
      </c>
      <c r="F8" s="615">
        <v>4</v>
      </c>
      <c r="G8" s="615">
        <v>5</v>
      </c>
      <c r="H8" s="615">
        <v>6</v>
      </c>
      <c r="I8" s="615">
        <v>7</v>
      </c>
      <c r="J8" s="615">
        <v>8</v>
      </c>
      <c r="K8" s="615">
        <v>9</v>
      </c>
      <c r="L8" s="615">
        <v>10</v>
      </c>
      <c r="M8" s="615">
        <v>11</v>
      </c>
      <c r="N8" s="615">
        <v>12</v>
      </c>
      <c r="O8" s="615">
        <v>13</v>
      </c>
      <c r="P8" s="615">
        <v>14</v>
      </c>
      <c r="Q8" s="615">
        <v>15</v>
      </c>
      <c r="R8" s="615">
        <v>16</v>
      </c>
      <c r="S8" s="614">
        <v>17</v>
      </c>
      <c r="T8" s="616" t="s">
        <v>177</v>
      </c>
      <c r="U8" s="617">
        <f>SUM(U11:U43)</f>
        <v>0</v>
      </c>
    </row>
    <row r="9" spans="1:21" s="193" customFormat="1" ht="26.25" customHeight="1">
      <c r="A9" s="618"/>
      <c r="B9" s="619" t="s">
        <v>27</v>
      </c>
      <c r="C9" s="317">
        <f>C10+C44+C47+C53+C68+C71</f>
        <v>999850</v>
      </c>
      <c r="D9" s="317">
        <f>D10+D44+D47+D53+D68+D71+D88</f>
        <v>1142059.3568670002</v>
      </c>
      <c r="E9" s="317">
        <f>E10+E44+E47+E53+E68+E71</f>
        <v>238846.304588</v>
      </c>
      <c r="F9" s="317">
        <f t="shared" ref="F9:R9" si="0">F10+F44+F47+F53+F68+F71</f>
        <v>11766.799432</v>
      </c>
      <c r="G9" s="317">
        <f t="shared" si="0"/>
        <v>19642</v>
      </c>
      <c r="H9" s="317">
        <f t="shared" si="0"/>
        <v>12889.08</v>
      </c>
      <c r="I9" s="317">
        <f t="shared" si="0"/>
        <v>318181.563754</v>
      </c>
      <c r="J9" s="317">
        <f t="shared" si="0"/>
        <v>21562.213</v>
      </c>
      <c r="K9" s="317">
        <f t="shared" si="0"/>
        <v>16621.400000000001</v>
      </c>
      <c r="L9" s="317">
        <f t="shared" si="0"/>
        <v>4521.3999999999996</v>
      </c>
      <c r="M9" s="317">
        <f t="shared" si="0"/>
        <v>37242.188000000002</v>
      </c>
      <c r="N9" s="317">
        <f t="shared" si="0"/>
        <v>56730.27248</v>
      </c>
      <c r="O9" s="317">
        <f t="shared" si="0"/>
        <v>53774.5</v>
      </c>
      <c r="P9" s="317">
        <f t="shared" si="0"/>
        <v>71357.95</v>
      </c>
      <c r="Q9" s="317">
        <f t="shared" si="0"/>
        <v>263254.68561299995</v>
      </c>
      <c r="R9" s="317">
        <f t="shared" si="0"/>
        <v>9758</v>
      </c>
      <c r="S9" s="317">
        <f>S10+S44+S47+S53+S68+S71+S88</f>
        <v>5911</v>
      </c>
      <c r="T9" s="620">
        <f>D9/C9*100</f>
        <v>114.22306914707208</v>
      </c>
      <c r="U9" s="621"/>
    </row>
    <row r="10" spans="1:21" s="193" customFormat="1" ht="24.95" customHeight="1">
      <c r="A10" s="622" t="s">
        <v>11</v>
      </c>
      <c r="B10" s="622" t="s">
        <v>1329</v>
      </c>
      <c r="C10" s="301">
        <f>SUM(C11:C43)</f>
        <v>733639</v>
      </c>
      <c r="D10" s="301">
        <f>SUM(D11:D43)</f>
        <v>842713.66951700009</v>
      </c>
      <c r="E10" s="301">
        <f t="shared" ref="E10:S10" si="1">SUM(E11:E43)</f>
        <v>225399.304588</v>
      </c>
      <c r="F10" s="301">
        <f t="shared" si="1"/>
        <v>11766.799432</v>
      </c>
      <c r="G10" s="301">
        <f t="shared" si="1"/>
        <v>0</v>
      </c>
      <c r="H10" s="301">
        <f t="shared" si="1"/>
        <v>2127.58</v>
      </c>
      <c r="I10" s="301">
        <f t="shared" si="1"/>
        <v>181474.341923</v>
      </c>
      <c r="J10" s="301">
        <f t="shared" si="1"/>
        <v>21095</v>
      </c>
      <c r="K10" s="301">
        <f t="shared" si="1"/>
        <v>16621.400000000001</v>
      </c>
      <c r="L10" s="301">
        <f t="shared" si="1"/>
        <v>4521.3999999999996</v>
      </c>
      <c r="M10" s="301">
        <f t="shared" si="1"/>
        <v>37042.188000000002</v>
      </c>
      <c r="N10" s="301">
        <f t="shared" si="1"/>
        <v>46673.27248</v>
      </c>
      <c r="O10" s="301">
        <f t="shared" si="1"/>
        <v>53774.5</v>
      </c>
      <c r="P10" s="301">
        <f t="shared" si="1"/>
        <v>49210.885999999999</v>
      </c>
      <c r="Q10" s="301">
        <f t="shared" si="1"/>
        <v>183248.99709399996</v>
      </c>
      <c r="R10" s="301">
        <f t="shared" si="1"/>
        <v>9758</v>
      </c>
      <c r="S10" s="301">
        <f t="shared" si="1"/>
        <v>0</v>
      </c>
      <c r="T10" s="306">
        <f>D10/C10*100</f>
        <v>114.8676214755486</v>
      </c>
      <c r="U10" s="621"/>
    </row>
    <row r="11" spans="1:21" s="194" customFormat="1" ht="24.95" customHeight="1">
      <c r="A11" s="623">
        <v>1</v>
      </c>
      <c r="B11" s="624" t="s">
        <v>1330</v>
      </c>
      <c r="C11" s="625">
        <v>9058</v>
      </c>
      <c r="D11" s="341">
        <f t="shared" ref="D11:D33" si="2">SUM(E11:S11)</f>
        <v>8695.7019999999993</v>
      </c>
      <c r="E11" s="341"/>
      <c r="F11" s="341"/>
      <c r="G11" s="341"/>
      <c r="H11" s="341"/>
      <c r="I11" s="341"/>
      <c r="J11" s="341"/>
      <c r="K11" s="341"/>
      <c r="L11" s="341"/>
      <c r="M11" s="341"/>
      <c r="N11" s="341"/>
      <c r="O11" s="341"/>
      <c r="P11" s="341"/>
      <c r="Q11" s="341">
        <v>8695.7019999999993</v>
      </c>
      <c r="R11" s="341"/>
      <c r="S11" s="625"/>
      <c r="T11" s="303">
        <f>D11/C11*100</f>
        <v>96.000242879222782</v>
      </c>
      <c r="U11" s="626"/>
    </row>
    <row r="12" spans="1:21" s="194" customFormat="1" ht="24.95" customHeight="1">
      <c r="A12" s="627">
        <v>2</v>
      </c>
      <c r="B12" s="628" t="s">
        <v>1331</v>
      </c>
      <c r="C12" s="302">
        <v>15459</v>
      </c>
      <c r="D12" s="302">
        <f>SUM(E12:S12)</f>
        <v>14740.579</v>
      </c>
      <c r="E12" s="302"/>
      <c r="F12" s="302"/>
      <c r="G12" s="302"/>
      <c r="H12" s="302"/>
      <c r="I12" s="302"/>
      <c r="J12" s="302"/>
      <c r="K12" s="302"/>
      <c r="L12" s="302"/>
      <c r="M12" s="302"/>
      <c r="N12" s="302">
        <v>1707</v>
      </c>
      <c r="O12" s="302"/>
      <c r="P12" s="302"/>
      <c r="Q12" s="302">
        <v>13033.579</v>
      </c>
      <c r="R12" s="629"/>
      <c r="S12" s="629"/>
      <c r="T12" s="304">
        <f t="shared" ref="T12:T75" si="3">D12/C12*100</f>
        <v>95.352733035772047</v>
      </c>
      <c r="U12" s="626"/>
    </row>
    <row r="13" spans="1:21" s="194" customFormat="1" ht="24.95" customHeight="1">
      <c r="A13" s="630">
        <v>3</v>
      </c>
      <c r="B13" s="631" t="s">
        <v>245</v>
      </c>
      <c r="C13" s="629">
        <v>11242</v>
      </c>
      <c r="D13" s="302">
        <f t="shared" si="2"/>
        <v>15820.944</v>
      </c>
      <c r="E13" s="629">
        <v>759</v>
      </c>
      <c r="F13" s="629"/>
      <c r="G13" s="629"/>
      <c r="H13" s="629"/>
      <c r="I13" s="629"/>
      <c r="J13" s="629">
        <v>619</v>
      </c>
      <c r="K13" s="629"/>
      <c r="L13" s="629"/>
      <c r="M13" s="629"/>
      <c r="N13" s="629"/>
      <c r="O13" s="629"/>
      <c r="P13" s="629"/>
      <c r="Q13" s="629">
        <v>14442.944</v>
      </c>
      <c r="R13" s="629"/>
      <c r="S13" s="629"/>
      <c r="T13" s="304">
        <f t="shared" si="3"/>
        <v>140.73068848959261</v>
      </c>
      <c r="U13" s="626"/>
    </row>
    <row r="14" spans="1:21" s="194" customFormat="1" ht="24.95" customHeight="1">
      <c r="A14" s="627">
        <v>4</v>
      </c>
      <c r="B14" s="631" t="s">
        <v>788</v>
      </c>
      <c r="C14" s="629">
        <v>5500</v>
      </c>
      <c r="D14" s="302">
        <f t="shared" si="2"/>
        <v>5774.0069999999996</v>
      </c>
      <c r="E14" s="629"/>
      <c r="F14" s="629"/>
      <c r="G14" s="629"/>
      <c r="H14" s="629"/>
      <c r="I14" s="629"/>
      <c r="J14" s="629"/>
      <c r="K14" s="629"/>
      <c r="L14" s="629"/>
      <c r="M14" s="629"/>
      <c r="N14" s="629">
        <v>400</v>
      </c>
      <c r="O14" s="629"/>
      <c r="P14" s="629"/>
      <c r="Q14" s="629">
        <v>5374.0069999999996</v>
      </c>
      <c r="R14" s="629"/>
      <c r="S14" s="629"/>
      <c r="T14" s="304">
        <f t="shared" si="3"/>
        <v>104.98194545454544</v>
      </c>
      <c r="U14" s="626"/>
    </row>
    <row r="15" spans="1:21" s="194" customFormat="1" ht="24.95" customHeight="1">
      <c r="A15" s="630">
        <v>5</v>
      </c>
      <c r="B15" s="631" t="s">
        <v>1327</v>
      </c>
      <c r="C15" s="302">
        <v>7979</v>
      </c>
      <c r="D15" s="302">
        <f t="shared" si="2"/>
        <v>8607.6</v>
      </c>
      <c r="E15" s="302"/>
      <c r="F15" s="302"/>
      <c r="G15" s="302"/>
      <c r="H15" s="302"/>
      <c r="I15" s="302"/>
      <c r="J15" s="302"/>
      <c r="K15" s="302"/>
      <c r="L15" s="302"/>
      <c r="M15" s="302"/>
      <c r="N15" s="302"/>
      <c r="O15" s="302"/>
      <c r="P15" s="302"/>
      <c r="Q15" s="302">
        <v>8607.6</v>
      </c>
      <c r="R15" s="629"/>
      <c r="S15" s="629"/>
      <c r="T15" s="304">
        <f t="shared" si="3"/>
        <v>107.87818022308559</v>
      </c>
      <c r="U15" s="626"/>
    </row>
    <row r="16" spans="1:21" s="194" customFormat="1" ht="24.95" customHeight="1">
      <c r="A16" s="627">
        <v>6</v>
      </c>
      <c r="B16" s="631" t="s">
        <v>1332</v>
      </c>
      <c r="C16" s="629">
        <v>9715</v>
      </c>
      <c r="D16" s="302">
        <f t="shared" si="2"/>
        <v>10289.426727</v>
      </c>
      <c r="E16" s="629"/>
      <c r="F16" s="629"/>
      <c r="G16" s="629"/>
      <c r="H16" s="629"/>
      <c r="I16" s="629"/>
      <c r="J16" s="629"/>
      <c r="K16" s="629"/>
      <c r="L16" s="629"/>
      <c r="M16" s="629"/>
      <c r="N16" s="302">
        <v>425.5</v>
      </c>
      <c r="O16" s="629"/>
      <c r="P16" s="629"/>
      <c r="Q16" s="302">
        <v>9863.926727</v>
      </c>
      <c r="R16" s="629"/>
      <c r="S16" s="629"/>
      <c r="T16" s="304">
        <f t="shared" si="3"/>
        <v>105.91278154400412</v>
      </c>
      <c r="U16" s="626"/>
    </row>
    <row r="17" spans="1:21" s="194" customFormat="1" ht="24.95" customHeight="1">
      <c r="A17" s="630">
        <v>7</v>
      </c>
      <c r="B17" s="631" t="s">
        <v>750</v>
      </c>
      <c r="C17" s="629">
        <v>31920</v>
      </c>
      <c r="D17" s="302">
        <f t="shared" si="2"/>
        <v>45621.129000000001</v>
      </c>
      <c r="E17" s="629"/>
      <c r="F17" s="629"/>
      <c r="G17" s="629"/>
      <c r="H17" s="629">
        <v>728</v>
      </c>
      <c r="I17" s="629"/>
      <c r="J17" s="629"/>
      <c r="K17" s="629"/>
      <c r="L17" s="629"/>
      <c r="M17" s="629"/>
      <c r="N17" s="629"/>
      <c r="O17" s="629">
        <v>37642.300000000003</v>
      </c>
      <c r="P17" s="629"/>
      <c r="Q17" s="629">
        <v>7250.8289999999997</v>
      </c>
      <c r="R17" s="629"/>
      <c r="S17" s="629"/>
      <c r="T17" s="304">
        <f t="shared" si="3"/>
        <v>142.92333646616541</v>
      </c>
      <c r="U17" s="626"/>
    </row>
    <row r="18" spans="1:21" s="194" customFormat="1" ht="24.95" customHeight="1">
      <c r="A18" s="627">
        <v>8</v>
      </c>
      <c r="B18" s="631" t="s">
        <v>453</v>
      </c>
      <c r="C18" s="629">
        <v>5784</v>
      </c>
      <c r="D18" s="302">
        <f t="shared" si="2"/>
        <v>6955.5</v>
      </c>
      <c r="E18" s="629"/>
      <c r="F18" s="629"/>
      <c r="G18" s="629"/>
      <c r="H18" s="629"/>
      <c r="I18" s="629"/>
      <c r="J18" s="629"/>
      <c r="K18" s="629"/>
      <c r="L18" s="629"/>
      <c r="M18" s="629"/>
      <c r="N18" s="302">
        <v>956.5</v>
      </c>
      <c r="O18" s="629"/>
      <c r="P18" s="629"/>
      <c r="Q18" s="302">
        <v>5999</v>
      </c>
      <c r="R18" s="629"/>
      <c r="S18" s="629"/>
      <c r="T18" s="304">
        <f t="shared" si="3"/>
        <v>120.25414937759335</v>
      </c>
      <c r="U18" s="626"/>
    </row>
    <row r="19" spans="1:21" s="194" customFormat="1" ht="24.95" customHeight="1">
      <c r="A19" s="630">
        <v>9</v>
      </c>
      <c r="B19" s="631" t="s">
        <v>1333</v>
      </c>
      <c r="C19" s="629">
        <v>7033</v>
      </c>
      <c r="D19" s="302">
        <f t="shared" si="2"/>
        <v>7409.3304540000008</v>
      </c>
      <c r="E19" s="629"/>
      <c r="F19" s="629"/>
      <c r="G19" s="629"/>
      <c r="H19" s="629"/>
      <c r="I19" s="629"/>
      <c r="J19" s="629"/>
      <c r="K19" s="629"/>
      <c r="L19" s="629"/>
      <c r="M19" s="629"/>
      <c r="N19" s="629">
        <v>2764.1474800000001</v>
      </c>
      <c r="O19" s="629"/>
      <c r="P19" s="629"/>
      <c r="Q19" s="632">
        <v>4645.1829740000003</v>
      </c>
      <c r="R19" s="629"/>
      <c r="S19" s="629"/>
      <c r="T19" s="304">
        <f t="shared" si="3"/>
        <v>105.35092356035831</v>
      </c>
      <c r="U19" s="626"/>
    </row>
    <row r="20" spans="1:21" s="194" customFormat="1" ht="24.95" customHeight="1">
      <c r="A20" s="627">
        <v>10</v>
      </c>
      <c r="B20" s="631" t="s">
        <v>1334</v>
      </c>
      <c r="C20" s="302">
        <v>25614</v>
      </c>
      <c r="D20" s="302">
        <f>SUM(E20:S20)</f>
        <v>30735.984999999997</v>
      </c>
      <c r="E20" s="302"/>
      <c r="F20" s="302"/>
      <c r="G20" s="302"/>
      <c r="H20" s="302"/>
      <c r="I20" s="302">
        <v>270.3</v>
      </c>
      <c r="J20" s="302">
        <v>19495</v>
      </c>
      <c r="K20" s="302"/>
      <c r="L20" s="302">
        <v>4521.3999999999996</v>
      </c>
      <c r="M20" s="302"/>
      <c r="N20" s="302">
        <v>1306</v>
      </c>
      <c r="O20" s="302"/>
      <c r="P20" s="302"/>
      <c r="Q20" s="302">
        <v>5143.2849999999999</v>
      </c>
      <c r="R20" s="629"/>
      <c r="S20" s="629"/>
      <c r="T20" s="304">
        <f t="shared" si="3"/>
        <v>119.99681814632621</v>
      </c>
      <c r="U20" s="626"/>
    </row>
    <row r="21" spans="1:21" s="195" customFormat="1" ht="24.95" customHeight="1">
      <c r="A21" s="630">
        <v>11</v>
      </c>
      <c r="B21" s="631" t="s">
        <v>1335</v>
      </c>
      <c r="C21" s="629">
        <v>17000</v>
      </c>
      <c r="D21" s="302">
        <f>SUM(E21:S21)</f>
        <v>20475.390347</v>
      </c>
      <c r="E21" s="302"/>
      <c r="F21" s="302"/>
      <c r="G21" s="302"/>
      <c r="H21" s="302"/>
      <c r="I21" s="302">
        <v>1040</v>
      </c>
      <c r="J21" s="302"/>
      <c r="K21" s="302"/>
      <c r="L21" s="302"/>
      <c r="M21" s="302"/>
      <c r="N21" s="302">
        <v>927</v>
      </c>
      <c r="O21" s="302"/>
      <c r="P21" s="633"/>
      <c r="Q21" s="302">
        <v>10506.390347</v>
      </c>
      <c r="R21" s="302">
        <v>8002</v>
      </c>
      <c r="S21" s="629"/>
      <c r="T21" s="304">
        <f t="shared" si="3"/>
        <v>120.44347262941177</v>
      </c>
      <c r="U21" s="626"/>
    </row>
    <row r="22" spans="1:21" s="194" customFormat="1" ht="24.95" customHeight="1">
      <c r="A22" s="627">
        <v>12</v>
      </c>
      <c r="B22" s="631" t="s">
        <v>1336</v>
      </c>
      <c r="C22" s="302">
        <v>11719</v>
      </c>
      <c r="D22" s="302">
        <f t="shared" si="2"/>
        <v>13007.710732</v>
      </c>
      <c r="E22" s="302"/>
      <c r="F22" s="302">
        <v>8869.3214320000006</v>
      </c>
      <c r="G22" s="302"/>
      <c r="H22" s="302"/>
      <c r="I22" s="302"/>
      <c r="J22" s="302"/>
      <c r="K22" s="302"/>
      <c r="L22" s="302"/>
      <c r="M22" s="302"/>
      <c r="N22" s="302"/>
      <c r="O22" s="302"/>
      <c r="P22" s="302"/>
      <c r="Q22" s="302">
        <v>4138.3892999999998</v>
      </c>
      <c r="R22" s="629"/>
      <c r="S22" s="629"/>
      <c r="T22" s="304">
        <f t="shared" si="3"/>
        <v>110.99676364877548</v>
      </c>
      <c r="U22" s="626"/>
    </row>
    <row r="23" spans="1:21" s="194" customFormat="1" ht="24.95" customHeight="1">
      <c r="A23" s="630">
        <v>13</v>
      </c>
      <c r="B23" s="631" t="s">
        <v>1337</v>
      </c>
      <c r="C23" s="629">
        <v>76908</v>
      </c>
      <c r="D23" s="302">
        <f t="shared" si="2"/>
        <v>85586</v>
      </c>
      <c r="E23" s="629">
        <v>2094.114</v>
      </c>
      <c r="F23" s="629">
        <v>30</v>
      </c>
      <c r="G23" s="629"/>
      <c r="H23" s="629"/>
      <c r="I23" s="629"/>
      <c r="J23" s="629"/>
      <c r="K23" s="629"/>
      <c r="L23" s="629"/>
      <c r="M23" s="629"/>
      <c r="N23" s="629"/>
      <c r="O23" s="629"/>
      <c r="P23" s="629">
        <v>46109.885999999999</v>
      </c>
      <c r="Q23" s="629">
        <v>37352</v>
      </c>
      <c r="R23" s="629"/>
      <c r="S23" s="629"/>
      <c r="T23" s="304">
        <f t="shared" si="3"/>
        <v>111.28361158787121</v>
      </c>
      <c r="U23" s="626"/>
    </row>
    <row r="24" spans="1:21" s="194" customFormat="1" ht="24.95" customHeight="1">
      <c r="A24" s="627">
        <v>14</v>
      </c>
      <c r="B24" s="631" t="s">
        <v>1338</v>
      </c>
      <c r="C24" s="629">
        <v>36955</v>
      </c>
      <c r="D24" s="302">
        <f t="shared" si="2"/>
        <v>59031.137000000002</v>
      </c>
      <c r="E24" s="629"/>
      <c r="F24" s="629"/>
      <c r="G24" s="629"/>
      <c r="H24" s="629"/>
      <c r="I24" s="629"/>
      <c r="J24" s="629"/>
      <c r="K24" s="629"/>
      <c r="L24" s="629"/>
      <c r="M24" s="629">
        <v>21531.627</v>
      </c>
      <c r="N24" s="629">
        <f>31641-62</f>
        <v>31579</v>
      </c>
      <c r="O24" s="629"/>
      <c r="P24" s="629"/>
      <c r="Q24" s="629">
        <f>5858.51+62</f>
        <v>5920.51</v>
      </c>
      <c r="R24" s="629"/>
      <c r="S24" s="629"/>
      <c r="T24" s="304">
        <f t="shared" si="3"/>
        <v>159.73788932485456</v>
      </c>
      <c r="U24" s="626"/>
    </row>
    <row r="25" spans="1:21" s="194" customFormat="1" ht="24.95" customHeight="1">
      <c r="A25" s="630">
        <v>15</v>
      </c>
      <c r="B25" s="631" t="s">
        <v>1295</v>
      </c>
      <c r="C25" s="302">
        <v>199695</v>
      </c>
      <c r="D25" s="302">
        <f t="shared" si="2"/>
        <v>195384.04192300001</v>
      </c>
      <c r="E25" s="302">
        <v>4950</v>
      </c>
      <c r="F25" s="302"/>
      <c r="G25" s="302"/>
      <c r="H25" s="302"/>
      <c r="I25" s="302">
        <v>180164.04192300001</v>
      </c>
      <c r="J25" s="302"/>
      <c r="K25" s="302"/>
      <c r="L25" s="302"/>
      <c r="M25" s="302"/>
      <c r="N25" s="302"/>
      <c r="O25" s="302"/>
      <c r="P25" s="302"/>
      <c r="Q25" s="302">
        <v>8514</v>
      </c>
      <c r="R25" s="302">
        <v>1756</v>
      </c>
      <c r="S25" s="629"/>
      <c r="T25" s="304">
        <f t="shared" si="3"/>
        <v>97.841228835474098</v>
      </c>
      <c r="U25" s="626"/>
    </row>
    <row r="26" spans="1:21" s="194" customFormat="1" ht="24.95" customHeight="1">
      <c r="A26" s="627">
        <v>16</v>
      </c>
      <c r="B26" s="631" t="s">
        <v>1339</v>
      </c>
      <c r="C26" s="629">
        <v>181443</v>
      </c>
      <c r="D26" s="302">
        <f t="shared" si="2"/>
        <v>194836.160588</v>
      </c>
      <c r="E26" s="302">
        <v>187761.39058800001</v>
      </c>
      <c r="F26" s="629"/>
      <c r="G26" s="629"/>
      <c r="H26" s="629"/>
      <c r="I26" s="629"/>
      <c r="J26" s="629"/>
      <c r="K26" s="629"/>
      <c r="L26" s="629"/>
      <c r="M26" s="629"/>
      <c r="N26" s="629"/>
      <c r="O26" s="629"/>
      <c r="P26" s="629"/>
      <c r="Q26" s="629">
        <v>7074.77</v>
      </c>
      <c r="R26" s="629"/>
      <c r="S26" s="629"/>
      <c r="T26" s="304">
        <f t="shared" si="3"/>
        <v>107.38146998671758</v>
      </c>
      <c r="U26" s="626"/>
    </row>
    <row r="27" spans="1:21" s="194" customFormat="1" ht="24.95" customHeight="1">
      <c r="A27" s="630">
        <v>17</v>
      </c>
      <c r="B27" s="631" t="s">
        <v>1039</v>
      </c>
      <c r="C27" s="302">
        <v>8644</v>
      </c>
      <c r="D27" s="302">
        <f t="shared" si="2"/>
        <v>10970.011395</v>
      </c>
      <c r="E27" s="302"/>
      <c r="F27" s="302">
        <v>2867.4780000000001</v>
      </c>
      <c r="G27" s="302"/>
      <c r="H27" s="302"/>
      <c r="I27" s="302"/>
      <c r="J27" s="302"/>
      <c r="K27" s="302"/>
      <c r="L27" s="302"/>
      <c r="M27" s="302"/>
      <c r="N27" s="302">
        <v>4720</v>
      </c>
      <c r="O27" s="302"/>
      <c r="P27" s="302"/>
      <c r="Q27" s="302">
        <v>3382.5333949999999</v>
      </c>
      <c r="R27" s="629"/>
      <c r="S27" s="629"/>
      <c r="T27" s="304">
        <f t="shared" si="3"/>
        <v>126.90897032623785</v>
      </c>
      <c r="U27" s="626"/>
    </row>
    <row r="28" spans="1:21" s="194" customFormat="1" ht="24.95" customHeight="1">
      <c r="A28" s="627">
        <v>18</v>
      </c>
      <c r="B28" s="631" t="s">
        <v>1340</v>
      </c>
      <c r="C28" s="629">
        <v>4426</v>
      </c>
      <c r="D28" s="302">
        <f t="shared" si="2"/>
        <v>5887.8</v>
      </c>
      <c r="E28" s="629"/>
      <c r="F28" s="629"/>
      <c r="G28" s="629"/>
      <c r="H28" s="629"/>
      <c r="I28" s="629"/>
      <c r="J28" s="629"/>
      <c r="K28" s="629"/>
      <c r="L28" s="629"/>
      <c r="M28" s="629"/>
      <c r="N28" s="629"/>
      <c r="O28" s="629"/>
      <c r="P28" s="629"/>
      <c r="Q28" s="629">
        <v>5887.8</v>
      </c>
      <c r="R28" s="629"/>
      <c r="S28" s="629"/>
      <c r="T28" s="304">
        <f t="shared" si="3"/>
        <v>133.02756439222776</v>
      </c>
      <c r="U28" s="626"/>
    </row>
    <row r="29" spans="1:21" s="194" customFormat="1" ht="24.95" customHeight="1">
      <c r="A29" s="630">
        <v>19</v>
      </c>
      <c r="B29" s="631" t="s">
        <v>1341</v>
      </c>
      <c r="C29" s="629">
        <v>8038</v>
      </c>
      <c r="D29" s="302">
        <f t="shared" si="2"/>
        <v>8282.93</v>
      </c>
      <c r="E29" s="629"/>
      <c r="F29" s="629"/>
      <c r="G29" s="629"/>
      <c r="H29" s="629"/>
      <c r="I29" s="629"/>
      <c r="J29" s="629"/>
      <c r="K29" s="629"/>
      <c r="L29" s="629"/>
      <c r="M29" s="629"/>
      <c r="N29" s="629"/>
      <c r="O29" s="629"/>
      <c r="P29" s="629"/>
      <c r="Q29" s="629">
        <v>8282.93</v>
      </c>
      <c r="R29" s="629"/>
      <c r="S29" s="629"/>
      <c r="T29" s="304">
        <f t="shared" si="3"/>
        <v>103.04715103259518</v>
      </c>
      <c r="U29" s="626"/>
    </row>
    <row r="30" spans="1:21" s="194" customFormat="1" ht="24.95" customHeight="1">
      <c r="A30" s="627">
        <v>20</v>
      </c>
      <c r="B30" s="631" t="s">
        <v>1023</v>
      </c>
      <c r="C30" s="629">
        <v>16556</v>
      </c>
      <c r="D30" s="302">
        <f t="shared" si="2"/>
        <v>16621.400000000001</v>
      </c>
      <c r="E30" s="629"/>
      <c r="F30" s="629"/>
      <c r="G30" s="629"/>
      <c r="H30" s="629"/>
      <c r="I30" s="629"/>
      <c r="J30" s="629"/>
      <c r="K30" s="629">
        <v>16621.400000000001</v>
      </c>
      <c r="L30" s="629"/>
      <c r="M30" s="629"/>
      <c r="N30" s="629"/>
      <c r="O30" s="629"/>
      <c r="P30" s="629"/>
      <c r="Q30" s="629"/>
      <c r="R30" s="629"/>
      <c r="S30" s="629"/>
      <c r="T30" s="304">
        <f t="shared" si="3"/>
        <v>100.39502295240396</v>
      </c>
      <c r="U30" s="626"/>
    </row>
    <row r="31" spans="1:21" s="194" customFormat="1" ht="24.95" customHeight="1">
      <c r="A31" s="630">
        <v>21</v>
      </c>
      <c r="B31" s="631" t="s">
        <v>1342</v>
      </c>
      <c r="C31" s="629">
        <v>13462</v>
      </c>
      <c r="D31" s="302">
        <f t="shared" si="2"/>
        <v>18349.527000000002</v>
      </c>
      <c r="E31" s="629"/>
      <c r="F31" s="629"/>
      <c r="G31" s="629"/>
      <c r="H31" s="629"/>
      <c r="I31" s="629"/>
      <c r="J31" s="629"/>
      <c r="K31" s="629"/>
      <c r="L31" s="629"/>
      <c r="M31" s="629">
        <f>15238.527+10</f>
        <v>15248.527</v>
      </c>
      <c r="N31" s="629"/>
      <c r="O31" s="629"/>
      <c r="P31" s="629">
        <f>3111-10</f>
        <v>3101</v>
      </c>
      <c r="Q31" s="629"/>
      <c r="R31" s="629"/>
      <c r="S31" s="629"/>
      <c r="T31" s="304">
        <f t="shared" si="3"/>
        <v>136.30609864804637</v>
      </c>
      <c r="U31" s="626"/>
    </row>
    <row r="32" spans="1:21" s="194" customFormat="1" ht="24.95" customHeight="1">
      <c r="A32" s="627">
        <v>22</v>
      </c>
      <c r="B32" s="631" t="s">
        <v>1343</v>
      </c>
      <c r="C32" s="629">
        <v>12530</v>
      </c>
      <c r="D32" s="302">
        <f t="shared" si="2"/>
        <v>13487</v>
      </c>
      <c r="E32" s="629">
        <v>13487</v>
      </c>
      <c r="F32" s="629"/>
      <c r="G32" s="629"/>
      <c r="H32" s="629"/>
      <c r="I32" s="629"/>
      <c r="J32" s="629"/>
      <c r="K32" s="629"/>
      <c r="L32" s="629"/>
      <c r="M32" s="629"/>
      <c r="N32" s="629"/>
      <c r="O32" s="629"/>
      <c r="P32" s="629"/>
      <c r="Q32" s="629"/>
      <c r="R32" s="629"/>
      <c r="S32" s="629"/>
      <c r="T32" s="304">
        <f t="shared" si="3"/>
        <v>107.63766959297685</v>
      </c>
      <c r="U32" s="626"/>
    </row>
    <row r="33" spans="1:21" s="194" customFormat="1" ht="24.95" customHeight="1">
      <c r="A33" s="630">
        <v>23</v>
      </c>
      <c r="B33" s="631" t="s">
        <v>1344</v>
      </c>
      <c r="C33" s="629">
        <v>3941</v>
      </c>
      <c r="D33" s="302">
        <f t="shared" si="2"/>
        <v>5586.96</v>
      </c>
      <c r="E33" s="629">
        <v>1545</v>
      </c>
      <c r="F33" s="629"/>
      <c r="G33" s="629"/>
      <c r="H33" s="629"/>
      <c r="I33" s="629"/>
      <c r="J33" s="629"/>
      <c r="K33" s="629"/>
      <c r="L33" s="629"/>
      <c r="M33" s="629"/>
      <c r="N33" s="629"/>
      <c r="O33" s="629"/>
      <c r="P33" s="629"/>
      <c r="Q33" s="302">
        <v>4041.96</v>
      </c>
      <c r="R33" s="629"/>
      <c r="S33" s="629"/>
      <c r="T33" s="304">
        <f t="shared" si="3"/>
        <v>141.76503425526516</v>
      </c>
      <c r="U33" s="626"/>
    </row>
    <row r="34" spans="1:21" s="196" customFormat="1" ht="24.95" customHeight="1">
      <c r="A34" s="627">
        <v>24</v>
      </c>
      <c r="B34" s="631" t="s">
        <v>1345</v>
      </c>
      <c r="C34" s="629">
        <v>2602</v>
      </c>
      <c r="D34" s="302">
        <v>2651</v>
      </c>
      <c r="E34" s="629"/>
      <c r="F34" s="629"/>
      <c r="G34" s="629"/>
      <c r="H34" s="629"/>
      <c r="I34" s="629"/>
      <c r="J34" s="629"/>
      <c r="K34" s="629"/>
      <c r="L34" s="629"/>
      <c r="M34" s="629"/>
      <c r="N34" s="302">
        <v>979</v>
      </c>
      <c r="O34" s="302"/>
      <c r="P34" s="302"/>
      <c r="Q34" s="302">
        <v>1672</v>
      </c>
      <c r="R34" s="629"/>
      <c r="S34" s="629"/>
      <c r="T34" s="304">
        <f t="shared" si="3"/>
        <v>101.88316679477325</v>
      </c>
      <c r="U34" s="634"/>
    </row>
    <row r="35" spans="1:21" s="194" customFormat="1" ht="24.95" customHeight="1">
      <c r="A35" s="630">
        <v>25</v>
      </c>
      <c r="B35" s="635" t="s">
        <v>1346</v>
      </c>
      <c r="C35" s="629">
        <v>1393</v>
      </c>
      <c r="D35" s="302">
        <v>1399.58</v>
      </c>
      <c r="E35" s="629"/>
      <c r="F35" s="629"/>
      <c r="G35" s="629"/>
      <c r="H35" s="629">
        <v>1399.58</v>
      </c>
      <c r="I35" s="629"/>
      <c r="J35" s="636"/>
      <c r="K35" s="629"/>
      <c r="L35" s="629"/>
      <c r="M35" s="629"/>
      <c r="N35" s="629"/>
      <c r="O35" s="636"/>
      <c r="P35" s="629"/>
      <c r="Q35" s="629"/>
      <c r="R35" s="629"/>
      <c r="S35" s="629"/>
      <c r="T35" s="304">
        <f t="shared" si="3"/>
        <v>100.47236180904522</v>
      </c>
      <c r="U35" s="626"/>
    </row>
    <row r="36" spans="1:21" s="194" customFormat="1" ht="24.95" customHeight="1">
      <c r="A36" s="627">
        <v>26</v>
      </c>
      <c r="B36" s="635" t="s">
        <v>1347</v>
      </c>
      <c r="C36" s="636">
        <v>250</v>
      </c>
      <c r="D36" s="302">
        <f t="shared" ref="D36:D43" si="4">SUM(E36:S36)</f>
        <v>250</v>
      </c>
      <c r="E36" s="629"/>
      <c r="F36" s="629"/>
      <c r="G36" s="636"/>
      <c r="H36" s="629"/>
      <c r="I36" s="629"/>
      <c r="J36" s="629"/>
      <c r="K36" s="629"/>
      <c r="L36" s="629"/>
      <c r="M36" s="629"/>
      <c r="N36" s="629">
        <v>250</v>
      </c>
      <c r="O36" s="636"/>
      <c r="P36" s="629"/>
      <c r="Q36" s="629"/>
      <c r="R36" s="629"/>
      <c r="S36" s="629"/>
      <c r="T36" s="304">
        <f t="shared" si="3"/>
        <v>100</v>
      </c>
      <c r="U36" s="626"/>
    </row>
    <row r="37" spans="1:21" s="194" customFormat="1" ht="24.95" customHeight="1">
      <c r="A37" s="630">
        <v>27</v>
      </c>
      <c r="B37" s="635" t="s">
        <v>1348</v>
      </c>
      <c r="C37" s="629">
        <v>603</v>
      </c>
      <c r="D37" s="302">
        <f t="shared" si="4"/>
        <v>483.28</v>
      </c>
      <c r="E37" s="629"/>
      <c r="F37" s="629"/>
      <c r="G37" s="629"/>
      <c r="H37" s="629"/>
      <c r="I37" s="629"/>
      <c r="J37" s="629"/>
      <c r="K37" s="629"/>
      <c r="L37" s="629"/>
      <c r="M37" s="629"/>
      <c r="N37" s="629">
        <v>483.28</v>
      </c>
      <c r="O37" s="629"/>
      <c r="P37" s="629"/>
      <c r="Q37" s="629"/>
      <c r="R37" s="629"/>
      <c r="S37" s="629"/>
      <c r="T37" s="304">
        <f t="shared" si="3"/>
        <v>80.14593698175787</v>
      </c>
      <c r="U37" s="626"/>
    </row>
    <row r="38" spans="1:21" s="194" customFormat="1" ht="24.95" customHeight="1">
      <c r="A38" s="627">
        <v>28</v>
      </c>
      <c r="B38" s="635" t="s">
        <v>1349</v>
      </c>
      <c r="C38" s="629">
        <v>293</v>
      </c>
      <c r="D38" s="302">
        <f t="shared" si="4"/>
        <v>262.03399999999999</v>
      </c>
      <c r="E38" s="629"/>
      <c r="F38" s="629"/>
      <c r="G38" s="629"/>
      <c r="H38" s="636"/>
      <c r="I38" s="629"/>
      <c r="J38" s="629"/>
      <c r="K38" s="629"/>
      <c r="L38" s="629"/>
      <c r="M38" s="629">
        <v>262.03399999999999</v>
      </c>
      <c r="N38" s="629"/>
      <c r="O38" s="629"/>
      <c r="P38" s="629"/>
      <c r="Q38" s="629"/>
      <c r="R38" s="629"/>
      <c r="S38" s="629"/>
      <c r="T38" s="304">
        <f t="shared" si="3"/>
        <v>89.431399317406132</v>
      </c>
      <c r="U38" s="626"/>
    </row>
    <row r="39" spans="1:21" s="194" customFormat="1" ht="37.5" customHeight="1">
      <c r="A39" s="630">
        <v>29</v>
      </c>
      <c r="B39" s="637" t="s">
        <v>1350</v>
      </c>
      <c r="C39" s="629">
        <v>0</v>
      </c>
      <c r="D39" s="302">
        <f t="shared" si="4"/>
        <v>175.845</v>
      </c>
      <c r="E39" s="629"/>
      <c r="F39" s="629"/>
      <c r="G39" s="629"/>
      <c r="H39" s="636"/>
      <c r="I39" s="629"/>
      <c r="J39" s="629"/>
      <c r="K39" s="629"/>
      <c r="L39" s="629"/>
      <c r="M39" s="629"/>
      <c r="N39" s="629">
        <v>175.845</v>
      </c>
      <c r="O39" s="629"/>
      <c r="P39" s="629"/>
      <c r="Q39" s="629"/>
      <c r="R39" s="629"/>
      <c r="S39" s="629"/>
      <c r="T39" s="304"/>
      <c r="U39" s="626"/>
    </row>
    <row r="40" spans="1:21" s="197" customFormat="1" ht="24.95" customHeight="1">
      <c r="A40" s="627">
        <v>30</v>
      </c>
      <c r="B40" s="635" t="s">
        <v>1351</v>
      </c>
      <c r="C40" s="629">
        <v>7877</v>
      </c>
      <c r="D40" s="302">
        <f t="shared" si="4"/>
        <v>13030.8</v>
      </c>
      <c r="E40" s="629">
        <v>13030.8</v>
      </c>
      <c r="F40" s="629"/>
      <c r="G40" s="636"/>
      <c r="H40" s="629"/>
      <c r="I40" s="629"/>
      <c r="J40" s="629"/>
      <c r="K40" s="629"/>
      <c r="L40" s="629"/>
      <c r="M40" s="629"/>
      <c r="N40" s="629"/>
      <c r="O40" s="629"/>
      <c r="P40" s="629"/>
      <c r="Q40" s="629"/>
      <c r="R40" s="629"/>
      <c r="S40" s="629"/>
      <c r="T40" s="304">
        <f t="shared" si="3"/>
        <v>165.42846261266979</v>
      </c>
      <c r="U40" s="626"/>
    </row>
    <row r="41" spans="1:21" s="194" customFormat="1" ht="27.75" customHeight="1">
      <c r="A41" s="630">
        <v>31</v>
      </c>
      <c r="B41" s="635" t="s">
        <v>1523</v>
      </c>
      <c r="C41" s="629">
        <v>0</v>
      </c>
      <c r="D41" s="302">
        <f t="shared" si="4"/>
        <v>3419.658351</v>
      </c>
      <c r="E41" s="629"/>
      <c r="F41" s="629"/>
      <c r="G41" s="636"/>
      <c r="H41" s="629"/>
      <c r="I41" s="629"/>
      <c r="J41" s="629"/>
      <c r="K41" s="629"/>
      <c r="L41" s="629"/>
      <c r="M41" s="629"/>
      <c r="N41" s="629"/>
      <c r="O41" s="629"/>
      <c r="P41" s="629"/>
      <c r="Q41" s="629">
        <v>3419.658351</v>
      </c>
      <c r="R41" s="629"/>
      <c r="S41" s="629"/>
      <c r="T41" s="304"/>
      <c r="U41" s="626"/>
    </row>
    <row r="42" spans="1:21" s="194" customFormat="1" ht="27" customHeight="1">
      <c r="A42" s="627">
        <v>32</v>
      </c>
      <c r="B42" s="635" t="s">
        <v>1353</v>
      </c>
      <c r="C42" s="629">
        <v>0</v>
      </c>
      <c r="D42" s="302">
        <f t="shared" si="4"/>
        <v>14979.2</v>
      </c>
      <c r="E42" s="629"/>
      <c r="F42" s="629"/>
      <c r="G42" s="636"/>
      <c r="H42" s="629"/>
      <c r="I42" s="629"/>
      <c r="J42" s="629"/>
      <c r="K42" s="629"/>
      <c r="L42" s="629"/>
      <c r="M42" s="629"/>
      <c r="N42" s="629"/>
      <c r="O42" s="629">
        <v>14979.2</v>
      </c>
      <c r="P42" s="629"/>
      <c r="Q42" s="629"/>
      <c r="R42" s="629"/>
      <c r="S42" s="629"/>
      <c r="T42" s="304"/>
      <c r="U42" s="626"/>
    </row>
    <row r="43" spans="1:21" s="194" customFormat="1" ht="28.5" customHeight="1">
      <c r="A43" s="638">
        <v>33</v>
      </c>
      <c r="B43" s="639" t="s">
        <v>248</v>
      </c>
      <c r="C43" s="640">
        <v>0</v>
      </c>
      <c r="D43" s="345">
        <f t="shared" si="4"/>
        <v>3906</v>
      </c>
      <c r="E43" s="640">
        <v>1772</v>
      </c>
      <c r="F43" s="640"/>
      <c r="G43" s="641"/>
      <c r="H43" s="640"/>
      <c r="I43" s="640"/>
      <c r="J43" s="640">
        <v>981</v>
      </c>
      <c r="K43" s="640"/>
      <c r="L43" s="640"/>
      <c r="M43" s="640"/>
      <c r="N43" s="640"/>
      <c r="O43" s="640">
        <v>1153</v>
      </c>
      <c r="P43" s="640"/>
      <c r="Q43" s="640"/>
      <c r="R43" s="640"/>
      <c r="S43" s="640"/>
      <c r="T43" s="305"/>
      <c r="U43" s="626"/>
    </row>
    <row r="44" spans="1:21" s="198" customFormat="1" ht="25.5" customHeight="1">
      <c r="A44" s="622" t="s">
        <v>7</v>
      </c>
      <c r="B44" s="642" t="s">
        <v>1355</v>
      </c>
      <c r="C44" s="643">
        <f>C45+C46</f>
        <v>60754</v>
      </c>
      <c r="D44" s="643">
        <f>D45+D46</f>
        <v>66768.592000000004</v>
      </c>
      <c r="E44" s="643">
        <f t="shared" ref="E44:U44" si="5">E46+E45</f>
        <v>6498</v>
      </c>
      <c r="F44" s="643"/>
      <c r="G44" s="643">
        <f t="shared" si="5"/>
        <v>0</v>
      </c>
      <c r="H44" s="643">
        <f t="shared" si="5"/>
        <v>0</v>
      </c>
      <c r="I44" s="643">
        <f t="shared" si="5"/>
        <v>0</v>
      </c>
      <c r="J44" s="643">
        <f t="shared" si="5"/>
        <v>0</v>
      </c>
      <c r="K44" s="643">
        <f t="shared" si="5"/>
        <v>0</v>
      </c>
      <c r="L44" s="643">
        <f t="shared" si="5"/>
        <v>0</v>
      </c>
      <c r="M44" s="643">
        <f t="shared" si="5"/>
        <v>0</v>
      </c>
      <c r="N44" s="643">
        <f t="shared" si="5"/>
        <v>10057</v>
      </c>
      <c r="O44" s="643">
        <f t="shared" si="5"/>
        <v>0</v>
      </c>
      <c r="P44" s="643">
        <f t="shared" si="5"/>
        <v>0</v>
      </c>
      <c r="Q44" s="643">
        <f t="shared" si="5"/>
        <v>50213.591999999997</v>
      </c>
      <c r="R44" s="643">
        <f t="shared" si="5"/>
        <v>0</v>
      </c>
      <c r="S44" s="643">
        <f t="shared" si="5"/>
        <v>0</v>
      </c>
      <c r="T44" s="306">
        <f t="shared" si="3"/>
        <v>109.89991111696349</v>
      </c>
      <c r="U44" s="644">
        <f t="shared" si="5"/>
        <v>0</v>
      </c>
    </row>
    <row r="45" spans="1:21" s="194" customFormat="1" ht="24.95" customHeight="1">
      <c r="A45" s="623">
        <v>1</v>
      </c>
      <c r="B45" s="645" t="s">
        <v>1356</v>
      </c>
      <c r="C45" s="625">
        <v>55001</v>
      </c>
      <c r="D45" s="341">
        <f>SUM(E45:S45)</f>
        <v>60270.591999999997</v>
      </c>
      <c r="E45" s="625"/>
      <c r="F45" s="625"/>
      <c r="G45" s="625"/>
      <c r="H45" s="646"/>
      <c r="I45" s="646"/>
      <c r="J45" s="625"/>
      <c r="K45" s="646"/>
      <c r="L45" s="625"/>
      <c r="M45" s="625"/>
      <c r="N45" s="341">
        <v>10057</v>
      </c>
      <c r="O45" s="341"/>
      <c r="P45" s="341"/>
      <c r="Q45" s="647">
        <v>50213.591999999997</v>
      </c>
      <c r="R45" s="646"/>
      <c r="S45" s="625"/>
      <c r="T45" s="303">
        <f t="shared" si="3"/>
        <v>109.58090216541517</v>
      </c>
      <c r="U45" s="648"/>
    </row>
    <row r="46" spans="1:21" s="194" customFormat="1" ht="24.95" customHeight="1">
      <c r="A46" s="638">
        <v>2</v>
      </c>
      <c r="B46" s="649" t="s">
        <v>1357</v>
      </c>
      <c r="C46" s="640">
        <v>5753</v>
      </c>
      <c r="D46" s="345">
        <f>SUM(E46:S46)</f>
        <v>6498</v>
      </c>
      <c r="E46" s="640">
        <v>6498</v>
      </c>
      <c r="F46" s="640"/>
      <c r="G46" s="640"/>
      <c r="H46" s="640"/>
      <c r="I46" s="650"/>
      <c r="J46" s="650"/>
      <c r="K46" s="650"/>
      <c r="L46" s="650"/>
      <c r="M46" s="650"/>
      <c r="N46" s="650"/>
      <c r="O46" s="640"/>
      <c r="P46" s="651"/>
      <c r="Q46" s="650"/>
      <c r="R46" s="650"/>
      <c r="S46" s="650"/>
      <c r="T46" s="305">
        <f t="shared" si="3"/>
        <v>112.9497653398227</v>
      </c>
      <c r="U46" s="652"/>
    </row>
    <row r="47" spans="1:21" s="198" customFormat="1" ht="24.95" customHeight="1">
      <c r="A47" s="622" t="s">
        <v>8</v>
      </c>
      <c r="B47" s="653" t="s">
        <v>1358</v>
      </c>
      <c r="C47" s="643">
        <f>SUM(C48:C52)</f>
        <v>18603</v>
      </c>
      <c r="D47" s="643">
        <f>SUM(D48:D52)</f>
        <v>18980.067000000003</v>
      </c>
      <c r="E47" s="643">
        <f t="shared" ref="E47:S47" si="6">SUM(E48:E52)</f>
        <v>410</v>
      </c>
      <c r="F47" s="643">
        <f t="shared" si="6"/>
        <v>0</v>
      </c>
      <c r="G47" s="643">
        <f t="shared" si="6"/>
        <v>0</v>
      </c>
      <c r="H47" s="643">
        <f t="shared" si="6"/>
        <v>0</v>
      </c>
      <c r="I47" s="643">
        <f t="shared" si="6"/>
        <v>0</v>
      </c>
      <c r="J47" s="643">
        <f t="shared" si="6"/>
        <v>467.21300000000002</v>
      </c>
      <c r="K47" s="643">
        <f t="shared" si="6"/>
        <v>0</v>
      </c>
      <c r="L47" s="643">
        <f t="shared" si="6"/>
        <v>0</v>
      </c>
      <c r="M47" s="643">
        <f t="shared" si="6"/>
        <v>0</v>
      </c>
      <c r="N47" s="643">
        <f t="shared" si="6"/>
        <v>0</v>
      </c>
      <c r="O47" s="643">
        <f t="shared" si="6"/>
        <v>0</v>
      </c>
      <c r="P47" s="643">
        <f t="shared" si="6"/>
        <v>0</v>
      </c>
      <c r="Q47" s="643">
        <f t="shared" si="6"/>
        <v>18102.853999999999</v>
      </c>
      <c r="R47" s="643">
        <f t="shared" si="6"/>
        <v>0</v>
      </c>
      <c r="S47" s="643">
        <f t="shared" si="6"/>
        <v>0</v>
      </c>
      <c r="T47" s="306">
        <f t="shared" si="3"/>
        <v>102.02691501370748</v>
      </c>
      <c r="U47" s="654">
        <f>SUM(U48:U52)</f>
        <v>0</v>
      </c>
    </row>
    <row r="48" spans="1:21" s="194" customFormat="1" ht="24.95" customHeight="1">
      <c r="A48" s="623">
        <v>1</v>
      </c>
      <c r="B48" s="645" t="s">
        <v>1359</v>
      </c>
      <c r="C48" s="625">
        <v>4572</v>
      </c>
      <c r="D48" s="341">
        <f>SUM(E48:S48)</f>
        <v>4584</v>
      </c>
      <c r="E48" s="625"/>
      <c r="F48" s="625"/>
      <c r="G48" s="625"/>
      <c r="H48" s="655"/>
      <c r="I48" s="655"/>
      <c r="J48" s="625">
        <v>467.21300000000002</v>
      </c>
      <c r="K48" s="655"/>
      <c r="L48" s="625"/>
      <c r="M48" s="656"/>
      <c r="N48" s="655"/>
      <c r="O48" s="655"/>
      <c r="P48" s="655"/>
      <c r="Q48" s="625">
        <v>4116.7870000000003</v>
      </c>
      <c r="R48" s="655"/>
      <c r="S48" s="625"/>
      <c r="T48" s="303">
        <f t="shared" si="3"/>
        <v>100.26246719160106</v>
      </c>
      <c r="U48" s="652"/>
    </row>
    <row r="49" spans="1:21" s="194" customFormat="1" ht="24.95" customHeight="1">
      <c r="A49" s="630">
        <v>2</v>
      </c>
      <c r="B49" s="657" t="s">
        <v>1360</v>
      </c>
      <c r="C49" s="629">
        <v>3696</v>
      </c>
      <c r="D49" s="302">
        <f>SUM(E49:S49)</f>
        <v>3718</v>
      </c>
      <c r="E49" s="629">
        <v>410</v>
      </c>
      <c r="F49" s="629"/>
      <c r="G49" s="629"/>
      <c r="H49" s="629"/>
      <c r="I49" s="658"/>
      <c r="J49" s="658"/>
      <c r="K49" s="658"/>
      <c r="L49" s="658"/>
      <c r="M49" s="658"/>
      <c r="N49" s="658"/>
      <c r="O49" s="629"/>
      <c r="P49" s="658"/>
      <c r="Q49" s="629">
        <v>3308</v>
      </c>
      <c r="R49" s="658"/>
      <c r="S49" s="629"/>
      <c r="T49" s="304">
        <f t="shared" si="3"/>
        <v>100.59523809523809</v>
      </c>
      <c r="U49" s="652"/>
    </row>
    <row r="50" spans="1:21" s="194" customFormat="1" ht="24.95" customHeight="1">
      <c r="A50" s="630">
        <v>3</v>
      </c>
      <c r="B50" s="657" t="s">
        <v>1361</v>
      </c>
      <c r="C50" s="629">
        <v>3787</v>
      </c>
      <c r="D50" s="302">
        <f>SUM(E50:S50)</f>
        <v>4101.3630000000003</v>
      </c>
      <c r="E50" s="629"/>
      <c r="F50" s="629"/>
      <c r="G50" s="629"/>
      <c r="H50" s="636"/>
      <c r="I50" s="658"/>
      <c r="J50" s="658"/>
      <c r="K50" s="658"/>
      <c r="L50" s="658"/>
      <c r="M50" s="658"/>
      <c r="N50" s="658"/>
      <c r="O50" s="658"/>
      <c r="P50" s="658"/>
      <c r="Q50" s="629">
        <v>4101.3630000000003</v>
      </c>
      <c r="R50" s="658"/>
      <c r="S50" s="629"/>
      <c r="T50" s="304">
        <f t="shared" si="3"/>
        <v>108.3011090573013</v>
      </c>
      <c r="U50" s="652"/>
    </row>
    <row r="51" spans="1:21" s="194" customFormat="1" ht="24.95" customHeight="1">
      <c r="A51" s="630">
        <v>4</v>
      </c>
      <c r="B51" s="657" t="s">
        <v>1362</v>
      </c>
      <c r="C51" s="629">
        <v>4334</v>
      </c>
      <c r="D51" s="302">
        <f>SUM(E51:S51)</f>
        <v>4364.1959999999999</v>
      </c>
      <c r="E51" s="629"/>
      <c r="F51" s="629"/>
      <c r="G51" s="636"/>
      <c r="H51" s="658"/>
      <c r="I51" s="658"/>
      <c r="J51" s="658"/>
      <c r="K51" s="658"/>
      <c r="L51" s="658"/>
      <c r="M51" s="658"/>
      <c r="N51" s="658"/>
      <c r="O51" s="658"/>
      <c r="P51" s="658"/>
      <c r="Q51" s="629">
        <v>4364.1959999999999</v>
      </c>
      <c r="R51" s="658"/>
      <c r="S51" s="629"/>
      <c r="T51" s="304">
        <f t="shared" si="3"/>
        <v>100.69672358098754</v>
      </c>
      <c r="U51" s="652"/>
    </row>
    <row r="52" spans="1:21" s="194" customFormat="1" ht="24.95" customHeight="1">
      <c r="A52" s="638">
        <v>5</v>
      </c>
      <c r="B52" s="649" t="s">
        <v>1363</v>
      </c>
      <c r="C52" s="640">
        <v>2214</v>
      </c>
      <c r="D52" s="345">
        <f>SUM(E52:S52)</f>
        <v>2212.5079999999998</v>
      </c>
      <c r="E52" s="640"/>
      <c r="F52" s="640"/>
      <c r="G52" s="640"/>
      <c r="H52" s="650"/>
      <c r="I52" s="650"/>
      <c r="J52" s="650"/>
      <c r="K52" s="650"/>
      <c r="L52" s="650"/>
      <c r="M52" s="650"/>
      <c r="N52" s="650"/>
      <c r="O52" s="650"/>
      <c r="P52" s="650"/>
      <c r="Q52" s="640">
        <v>2212.5079999999998</v>
      </c>
      <c r="R52" s="650"/>
      <c r="S52" s="640"/>
      <c r="T52" s="305">
        <f t="shared" si="3"/>
        <v>99.932610659439931</v>
      </c>
      <c r="U52" s="652"/>
    </row>
    <row r="53" spans="1:21" s="198" customFormat="1" ht="40.5" customHeight="1">
      <c r="A53" s="622" t="s">
        <v>9</v>
      </c>
      <c r="B53" s="659" t="s">
        <v>1364</v>
      </c>
      <c r="C53" s="643">
        <f>SUM(C54:C67)</f>
        <v>9158</v>
      </c>
      <c r="D53" s="643">
        <f>SUM(D54:D67)</f>
        <v>11080.242518999999</v>
      </c>
      <c r="E53" s="643">
        <f t="shared" ref="E53:S53" si="7">SUM(E54:E67)</f>
        <v>300</v>
      </c>
      <c r="F53" s="643"/>
      <c r="G53" s="643">
        <f t="shared" si="7"/>
        <v>0</v>
      </c>
      <c r="H53" s="643">
        <f t="shared" si="7"/>
        <v>0</v>
      </c>
      <c r="I53" s="643">
        <f t="shared" si="7"/>
        <v>0</v>
      </c>
      <c r="J53" s="643">
        <f t="shared" si="7"/>
        <v>0</v>
      </c>
      <c r="K53" s="643">
        <f t="shared" si="7"/>
        <v>0</v>
      </c>
      <c r="L53" s="643">
        <f t="shared" si="7"/>
        <v>0</v>
      </c>
      <c r="M53" s="643">
        <f t="shared" si="7"/>
        <v>0</v>
      </c>
      <c r="N53" s="643">
        <f t="shared" si="7"/>
        <v>0</v>
      </c>
      <c r="O53" s="643">
        <f t="shared" si="7"/>
        <v>0</v>
      </c>
      <c r="P53" s="643">
        <f t="shared" si="7"/>
        <v>0</v>
      </c>
      <c r="Q53" s="643">
        <f t="shared" si="7"/>
        <v>10780.242518999998</v>
      </c>
      <c r="R53" s="643">
        <f t="shared" si="7"/>
        <v>0</v>
      </c>
      <c r="S53" s="643">
        <f t="shared" si="7"/>
        <v>0</v>
      </c>
      <c r="T53" s="306">
        <f t="shared" si="3"/>
        <v>120.98976325616945</v>
      </c>
      <c r="U53" s="660">
        <f>SUM(U54:U65)</f>
        <v>0</v>
      </c>
    </row>
    <row r="54" spans="1:21" s="194" customFormat="1" ht="24.95" customHeight="1">
      <c r="A54" s="661">
        <v>1</v>
      </c>
      <c r="B54" s="662" t="s">
        <v>1365</v>
      </c>
      <c r="C54" s="625">
        <v>1121</v>
      </c>
      <c r="D54" s="341">
        <f t="shared" ref="D54:D70" si="8">SUM(E54:S54)</f>
        <v>1178.57</v>
      </c>
      <c r="E54" s="625"/>
      <c r="F54" s="625"/>
      <c r="G54" s="625"/>
      <c r="H54" s="625"/>
      <c r="I54" s="625"/>
      <c r="J54" s="625"/>
      <c r="K54" s="625"/>
      <c r="L54" s="625"/>
      <c r="M54" s="625"/>
      <c r="N54" s="625"/>
      <c r="O54" s="625"/>
      <c r="P54" s="625"/>
      <c r="Q54" s="625">
        <v>1178.57</v>
      </c>
      <c r="R54" s="625"/>
      <c r="S54" s="625"/>
      <c r="T54" s="303">
        <f t="shared" si="3"/>
        <v>105.13559322033899</v>
      </c>
      <c r="U54" s="626"/>
    </row>
    <row r="55" spans="1:21" s="194" customFormat="1" ht="24.95" customHeight="1">
      <c r="A55" s="630">
        <v>2</v>
      </c>
      <c r="B55" s="657" t="s">
        <v>1366</v>
      </c>
      <c r="C55" s="629">
        <v>608</v>
      </c>
      <c r="D55" s="302">
        <f t="shared" si="8"/>
        <v>683.32</v>
      </c>
      <c r="E55" s="629"/>
      <c r="F55" s="629"/>
      <c r="G55" s="629"/>
      <c r="H55" s="629"/>
      <c r="I55" s="629"/>
      <c r="J55" s="629"/>
      <c r="K55" s="629"/>
      <c r="L55" s="629"/>
      <c r="M55" s="629"/>
      <c r="N55" s="629"/>
      <c r="O55" s="629"/>
      <c r="P55" s="629"/>
      <c r="Q55" s="629">
        <v>683.32</v>
      </c>
      <c r="R55" s="629"/>
      <c r="S55" s="629"/>
      <c r="T55" s="304">
        <f t="shared" si="3"/>
        <v>112.38815789473684</v>
      </c>
      <c r="U55" s="626"/>
    </row>
    <row r="56" spans="1:21" s="194" customFormat="1" ht="24.95" customHeight="1">
      <c r="A56" s="630">
        <v>3</v>
      </c>
      <c r="B56" s="657" t="s">
        <v>1522</v>
      </c>
      <c r="C56" s="629">
        <v>2318</v>
      </c>
      <c r="D56" s="302">
        <f t="shared" si="8"/>
        <v>3320</v>
      </c>
      <c r="E56" s="629">
        <v>300</v>
      </c>
      <c r="F56" s="629"/>
      <c r="G56" s="629"/>
      <c r="H56" s="629"/>
      <c r="I56" s="658"/>
      <c r="J56" s="658"/>
      <c r="K56" s="658"/>
      <c r="L56" s="658"/>
      <c r="M56" s="658"/>
      <c r="N56" s="658"/>
      <c r="O56" s="629"/>
      <c r="P56" s="658"/>
      <c r="Q56" s="629">
        <v>3020</v>
      </c>
      <c r="R56" s="658"/>
      <c r="S56" s="658"/>
      <c r="T56" s="304">
        <f t="shared" si="3"/>
        <v>143.22691975841241</v>
      </c>
      <c r="U56" s="652"/>
    </row>
    <row r="57" spans="1:21" s="194" customFormat="1" ht="24.95" customHeight="1">
      <c r="A57" s="630">
        <v>4</v>
      </c>
      <c r="B57" s="657" t="s">
        <v>1367</v>
      </c>
      <c r="C57" s="629">
        <v>1411</v>
      </c>
      <c r="D57" s="302">
        <f t="shared" si="8"/>
        <v>1901.8</v>
      </c>
      <c r="E57" s="629"/>
      <c r="F57" s="629"/>
      <c r="G57" s="629"/>
      <c r="H57" s="629"/>
      <c r="I57" s="629"/>
      <c r="J57" s="629"/>
      <c r="K57" s="629"/>
      <c r="L57" s="629"/>
      <c r="M57" s="629"/>
      <c r="N57" s="629"/>
      <c r="O57" s="629"/>
      <c r="P57" s="629"/>
      <c r="Q57" s="629">
        <v>1901.8</v>
      </c>
      <c r="R57" s="629"/>
      <c r="S57" s="629"/>
      <c r="T57" s="304">
        <f t="shared" si="3"/>
        <v>134.78384124734231</v>
      </c>
      <c r="U57" s="626"/>
    </row>
    <row r="58" spans="1:21" s="194" customFormat="1" ht="24.95" customHeight="1">
      <c r="A58" s="630">
        <v>5</v>
      </c>
      <c r="B58" s="657" t="s">
        <v>1368</v>
      </c>
      <c r="C58" s="629">
        <v>648</v>
      </c>
      <c r="D58" s="302">
        <f t="shared" si="8"/>
        <v>747.07</v>
      </c>
      <c r="E58" s="629"/>
      <c r="F58" s="629"/>
      <c r="G58" s="629"/>
      <c r="H58" s="629"/>
      <c r="I58" s="629"/>
      <c r="J58" s="629"/>
      <c r="K58" s="629"/>
      <c r="L58" s="629"/>
      <c r="M58" s="629"/>
      <c r="N58" s="629"/>
      <c r="O58" s="629"/>
      <c r="P58" s="629"/>
      <c r="Q58" s="629">
        <v>747.07</v>
      </c>
      <c r="R58" s="629"/>
      <c r="S58" s="629"/>
      <c r="T58" s="304">
        <f t="shared" si="3"/>
        <v>115.2885802469136</v>
      </c>
      <c r="U58" s="626"/>
    </row>
    <row r="59" spans="1:21" s="194" customFormat="1" ht="24.95" customHeight="1">
      <c r="A59" s="630">
        <v>6</v>
      </c>
      <c r="B59" s="657" t="s">
        <v>1369</v>
      </c>
      <c r="C59" s="629">
        <v>487</v>
      </c>
      <c r="D59" s="302">
        <f t="shared" si="8"/>
        <v>499.91</v>
      </c>
      <c r="E59" s="629"/>
      <c r="F59" s="629"/>
      <c r="G59" s="629"/>
      <c r="H59" s="636"/>
      <c r="I59" s="629"/>
      <c r="J59" s="629"/>
      <c r="K59" s="629"/>
      <c r="L59" s="629"/>
      <c r="M59" s="629"/>
      <c r="N59" s="629"/>
      <c r="O59" s="629"/>
      <c r="P59" s="629"/>
      <c r="Q59" s="629">
        <v>499.91</v>
      </c>
      <c r="R59" s="629"/>
      <c r="S59" s="629"/>
      <c r="T59" s="304">
        <f t="shared" si="3"/>
        <v>102.65092402464066</v>
      </c>
      <c r="U59" s="626"/>
    </row>
    <row r="60" spans="1:21" s="194" customFormat="1" ht="24.95" customHeight="1">
      <c r="A60" s="630">
        <v>7</v>
      </c>
      <c r="B60" s="657" t="s">
        <v>1370</v>
      </c>
      <c r="C60" s="629">
        <v>496</v>
      </c>
      <c r="D60" s="302">
        <f t="shared" si="8"/>
        <v>503.68</v>
      </c>
      <c r="E60" s="629"/>
      <c r="F60" s="629"/>
      <c r="G60" s="629"/>
      <c r="H60" s="636"/>
      <c r="I60" s="629"/>
      <c r="J60" s="629"/>
      <c r="K60" s="629"/>
      <c r="L60" s="629"/>
      <c r="M60" s="629"/>
      <c r="N60" s="629"/>
      <c r="O60" s="629"/>
      <c r="P60" s="629"/>
      <c r="Q60" s="629">
        <v>503.68</v>
      </c>
      <c r="R60" s="629"/>
      <c r="S60" s="629"/>
      <c r="T60" s="304">
        <f t="shared" si="3"/>
        <v>101.54838709677418</v>
      </c>
      <c r="U60" s="626"/>
    </row>
    <row r="61" spans="1:21" s="194" customFormat="1" ht="24.95" customHeight="1">
      <c r="A61" s="630">
        <v>8</v>
      </c>
      <c r="B61" s="657" t="s">
        <v>1371</v>
      </c>
      <c r="C61" s="629">
        <v>401</v>
      </c>
      <c r="D61" s="302">
        <f t="shared" si="8"/>
        <v>407.74099999999999</v>
      </c>
      <c r="E61" s="629"/>
      <c r="F61" s="629"/>
      <c r="G61" s="629"/>
      <c r="H61" s="629"/>
      <c r="I61" s="629"/>
      <c r="J61" s="629"/>
      <c r="K61" s="629"/>
      <c r="L61" s="629"/>
      <c r="M61" s="629"/>
      <c r="N61" s="629"/>
      <c r="O61" s="629"/>
      <c r="P61" s="629"/>
      <c r="Q61" s="629">
        <v>407.74099999999999</v>
      </c>
      <c r="R61" s="629"/>
      <c r="S61" s="629"/>
      <c r="T61" s="304">
        <f t="shared" si="3"/>
        <v>101.68104738154614</v>
      </c>
      <c r="U61" s="626"/>
    </row>
    <row r="62" spans="1:21" s="194" customFormat="1" ht="24.95" customHeight="1">
      <c r="A62" s="630">
        <v>9</v>
      </c>
      <c r="B62" s="657" t="s">
        <v>1372</v>
      </c>
      <c r="C62" s="629">
        <v>380</v>
      </c>
      <c r="D62" s="302">
        <f t="shared" si="8"/>
        <v>388.84</v>
      </c>
      <c r="E62" s="629"/>
      <c r="F62" s="629"/>
      <c r="G62" s="629"/>
      <c r="H62" s="629"/>
      <c r="I62" s="629"/>
      <c r="J62" s="629"/>
      <c r="K62" s="629"/>
      <c r="L62" s="629"/>
      <c r="M62" s="629"/>
      <c r="N62" s="629"/>
      <c r="O62" s="629"/>
      <c r="P62" s="629"/>
      <c r="Q62" s="629">
        <v>388.84</v>
      </c>
      <c r="R62" s="629"/>
      <c r="S62" s="629"/>
      <c r="T62" s="304">
        <f t="shared" si="3"/>
        <v>102.32631578947368</v>
      </c>
      <c r="U62" s="626"/>
    </row>
    <row r="63" spans="1:21" s="194" customFormat="1" ht="24.95" customHeight="1">
      <c r="A63" s="630">
        <v>10</v>
      </c>
      <c r="B63" s="657" t="s">
        <v>1373</v>
      </c>
      <c r="C63" s="629">
        <v>367</v>
      </c>
      <c r="D63" s="302">
        <f t="shared" si="8"/>
        <v>511.50900000000001</v>
      </c>
      <c r="E63" s="629"/>
      <c r="F63" s="629"/>
      <c r="G63" s="629"/>
      <c r="H63" s="629"/>
      <c r="I63" s="629"/>
      <c r="J63" s="629"/>
      <c r="K63" s="629"/>
      <c r="L63" s="629"/>
      <c r="M63" s="629"/>
      <c r="N63" s="629"/>
      <c r="O63" s="629"/>
      <c r="P63" s="629"/>
      <c r="Q63" s="629">
        <v>511.50900000000001</v>
      </c>
      <c r="R63" s="629"/>
      <c r="S63" s="629"/>
      <c r="T63" s="304">
        <f t="shared" si="3"/>
        <v>139.3757493188011</v>
      </c>
      <c r="U63" s="626"/>
    </row>
    <row r="64" spans="1:21" s="194" customFormat="1" ht="24.95" customHeight="1">
      <c r="A64" s="663">
        <v>11</v>
      </c>
      <c r="B64" s="664" t="s">
        <v>1374</v>
      </c>
      <c r="C64" s="629">
        <v>398</v>
      </c>
      <c r="D64" s="302">
        <f t="shared" si="8"/>
        <v>404.71</v>
      </c>
      <c r="E64" s="629"/>
      <c r="F64" s="629"/>
      <c r="G64" s="629"/>
      <c r="H64" s="636"/>
      <c r="I64" s="629"/>
      <c r="J64" s="629"/>
      <c r="K64" s="629"/>
      <c r="L64" s="629"/>
      <c r="M64" s="629"/>
      <c r="N64" s="629"/>
      <c r="O64" s="629"/>
      <c r="P64" s="629"/>
      <c r="Q64" s="629">
        <v>404.71</v>
      </c>
      <c r="R64" s="629"/>
      <c r="S64" s="629"/>
      <c r="T64" s="304">
        <f t="shared" si="3"/>
        <v>101.68592964824118</v>
      </c>
      <c r="U64" s="626"/>
    </row>
    <row r="65" spans="1:21" s="194" customFormat="1" ht="24.95" customHeight="1">
      <c r="A65" s="630">
        <v>12</v>
      </c>
      <c r="B65" s="664" t="s">
        <v>1375</v>
      </c>
      <c r="C65" s="636">
        <v>50</v>
      </c>
      <c r="D65" s="302">
        <f t="shared" si="8"/>
        <v>50</v>
      </c>
      <c r="E65" s="629"/>
      <c r="F65" s="629"/>
      <c r="G65" s="629"/>
      <c r="H65" s="629"/>
      <c r="I65" s="629"/>
      <c r="J65" s="629"/>
      <c r="K65" s="629"/>
      <c r="L65" s="629"/>
      <c r="M65" s="629"/>
      <c r="N65" s="629"/>
      <c r="O65" s="629"/>
      <c r="P65" s="629"/>
      <c r="Q65" s="629">
        <v>50</v>
      </c>
      <c r="R65" s="629"/>
      <c r="S65" s="629"/>
      <c r="T65" s="304">
        <f t="shared" si="3"/>
        <v>100</v>
      </c>
      <c r="U65" s="626"/>
    </row>
    <row r="66" spans="1:21" s="194" customFormat="1" ht="27.75" customHeight="1">
      <c r="A66" s="630">
        <v>13</v>
      </c>
      <c r="B66" s="664" t="s">
        <v>1376</v>
      </c>
      <c r="C66" s="636">
        <v>80</v>
      </c>
      <c r="D66" s="302">
        <f t="shared" si="8"/>
        <v>80</v>
      </c>
      <c r="E66" s="629"/>
      <c r="F66" s="629"/>
      <c r="G66" s="629"/>
      <c r="H66" s="629"/>
      <c r="I66" s="629"/>
      <c r="J66" s="629"/>
      <c r="K66" s="629"/>
      <c r="L66" s="629"/>
      <c r="M66" s="629"/>
      <c r="N66" s="629"/>
      <c r="O66" s="629"/>
      <c r="P66" s="629"/>
      <c r="Q66" s="629">
        <v>80</v>
      </c>
      <c r="R66" s="629"/>
      <c r="S66" s="629"/>
      <c r="T66" s="304">
        <f t="shared" si="3"/>
        <v>100</v>
      </c>
      <c r="U66" s="626"/>
    </row>
    <row r="67" spans="1:21" s="194" customFormat="1" ht="24.95" customHeight="1">
      <c r="A67" s="630">
        <v>14</v>
      </c>
      <c r="B67" s="664" t="s">
        <v>1377</v>
      </c>
      <c r="C67" s="629">
        <v>393</v>
      </c>
      <c r="D67" s="302">
        <f t="shared" si="8"/>
        <v>403.09251899999998</v>
      </c>
      <c r="E67" s="629"/>
      <c r="F67" s="629"/>
      <c r="G67" s="629"/>
      <c r="H67" s="629"/>
      <c r="I67" s="629"/>
      <c r="J67" s="629"/>
      <c r="K67" s="629"/>
      <c r="L67" s="629"/>
      <c r="M67" s="629"/>
      <c r="N67" s="629"/>
      <c r="O67" s="629"/>
      <c r="P67" s="629"/>
      <c r="Q67" s="302">
        <v>403.09251899999998</v>
      </c>
      <c r="R67" s="629"/>
      <c r="S67" s="629"/>
      <c r="T67" s="304">
        <f t="shared" si="3"/>
        <v>102.5680709923664</v>
      </c>
      <c r="U67" s="626"/>
    </row>
    <row r="68" spans="1:21" s="198" customFormat="1" ht="24.95" customHeight="1">
      <c r="A68" s="665" t="s">
        <v>23</v>
      </c>
      <c r="B68" s="666" t="s">
        <v>1378</v>
      </c>
      <c r="C68" s="323">
        <f>C69+C70</f>
        <v>32248</v>
      </c>
      <c r="D68" s="667">
        <f>D69+D70</f>
        <v>36842.5</v>
      </c>
      <c r="E68" s="667">
        <f t="shared" ref="E68:U68" si="9">E69+E70</f>
        <v>6239</v>
      </c>
      <c r="F68" s="667"/>
      <c r="G68" s="667">
        <f t="shared" si="9"/>
        <v>19642</v>
      </c>
      <c r="H68" s="667">
        <f t="shared" si="9"/>
        <v>10761.5</v>
      </c>
      <c r="I68" s="667">
        <f t="shared" si="9"/>
        <v>0</v>
      </c>
      <c r="J68" s="667">
        <f t="shared" si="9"/>
        <v>0</v>
      </c>
      <c r="K68" s="667">
        <f t="shared" si="9"/>
        <v>0</v>
      </c>
      <c r="L68" s="667">
        <f t="shared" si="9"/>
        <v>0</v>
      </c>
      <c r="M68" s="667">
        <f t="shared" si="9"/>
        <v>200</v>
      </c>
      <c r="N68" s="667">
        <f t="shared" si="9"/>
        <v>0</v>
      </c>
      <c r="O68" s="667">
        <f t="shared" si="9"/>
        <v>0</v>
      </c>
      <c r="P68" s="667">
        <f t="shared" si="9"/>
        <v>0</v>
      </c>
      <c r="Q68" s="667">
        <f t="shared" si="9"/>
        <v>0</v>
      </c>
      <c r="R68" s="667">
        <f t="shared" si="9"/>
        <v>0</v>
      </c>
      <c r="S68" s="667">
        <f t="shared" si="9"/>
        <v>0</v>
      </c>
      <c r="T68" s="307">
        <f t="shared" si="3"/>
        <v>114.24739518729842</v>
      </c>
      <c r="U68" s="660">
        <f t="shared" si="9"/>
        <v>0</v>
      </c>
    </row>
    <row r="69" spans="1:21" s="194" customFormat="1" ht="24.95" customHeight="1">
      <c r="A69" s="630">
        <v>1</v>
      </c>
      <c r="B69" s="657" t="s">
        <v>1379</v>
      </c>
      <c r="C69" s="629">
        <v>8928</v>
      </c>
      <c r="D69" s="302">
        <f t="shared" si="8"/>
        <v>12043.5</v>
      </c>
      <c r="E69" s="629">
        <v>1082</v>
      </c>
      <c r="F69" s="629"/>
      <c r="G69" s="629"/>
      <c r="H69" s="629">
        <v>10761.5</v>
      </c>
      <c r="I69" s="629"/>
      <c r="J69" s="629"/>
      <c r="K69" s="629"/>
      <c r="L69" s="629"/>
      <c r="M69" s="629">
        <v>200</v>
      </c>
      <c r="N69" s="629"/>
      <c r="O69" s="629"/>
      <c r="P69" s="629"/>
      <c r="Q69" s="629"/>
      <c r="R69" s="629"/>
      <c r="S69" s="629"/>
      <c r="T69" s="304">
        <f t="shared" si="3"/>
        <v>134.89583333333331</v>
      </c>
      <c r="U69" s="626"/>
    </row>
    <row r="70" spans="1:21" s="194" customFormat="1" ht="24.95" customHeight="1">
      <c r="A70" s="668">
        <v>2</v>
      </c>
      <c r="B70" s="669" t="s">
        <v>1380</v>
      </c>
      <c r="C70" s="670">
        <v>23320</v>
      </c>
      <c r="D70" s="302">
        <f t="shared" si="8"/>
        <v>24799</v>
      </c>
      <c r="E70" s="670">
        <v>5157</v>
      </c>
      <c r="F70" s="670"/>
      <c r="G70" s="670">
        <v>19642</v>
      </c>
      <c r="H70" s="670"/>
      <c r="I70" s="670"/>
      <c r="J70" s="670"/>
      <c r="K70" s="670"/>
      <c r="L70" s="670"/>
      <c r="M70" s="670"/>
      <c r="N70" s="670"/>
      <c r="O70" s="670"/>
      <c r="P70" s="670"/>
      <c r="Q70" s="670"/>
      <c r="R70" s="670"/>
      <c r="S70" s="670"/>
      <c r="T70" s="308">
        <f t="shared" si="3"/>
        <v>106.34219554030875</v>
      </c>
      <c r="U70" s="626"/>
    </row>
    <row r="71" spans="1:21" s="194" customFormat="1" ht="24.95" customHeight="1">
      <c r="A71" s="671" t="s">
        <v>96</v>
      </c>
      <c r="B71" s="672" t="s">
        <v>1521</v>
      </c>
      <c r="C71" s="643">
        <f>SUM(C72:C87)</f>
        <v>145448</v>
      </c>
      <c r="D71" s="643">
        <f>SUM(D72:D87)</f>
        <v>163723.28583099999</v>
      </c>
      <c r="E71" s="643">
        <f t="shared" ref="E71:S71" si="10">SUM(E72:E87)</f>
        <v>0</v>
      </c>
      <c r="F71" s="643">
        <f t="shared" si="10"/>
        <v>0</v>
      </c>
      <c r="G71" s="643">
        <f t="shared" si="10"/>
        <v>0</v>
      </c>
      <c r="H71" s="643">
        <f t="shared" si="10"/>
        <v>0</v>
      </c>
      <c r="I71" s="643">
        <f t="shared" si="10"/>
        <v>136707.221831</v>
      </c>
      <c r="J71" s="643">
        <f t="shared" si="10"/>
        <v>0</v>
      </c>
      <c r="K71" s="643">
        <f t="shared" si="10"/>
        <v>0</v>
      </c>
      <c r="L71" s="643">
        <f t="shared" si="10"/>
        <v>0</v>
      </c>
      <c r="M71" s="643">
        <f t="shared" si="10"/>
        <v>0</v>
      </c>
      <c r="N71" s="643">
        <f t="shared" si="10"/>
        <v>0</v>
      </c>
      <c r="O71" s="643">
        <f t="shared" si="10"/>
        <v>0</v>
      </c>
      <c r="P71" s="643">
        <f t="shared" si="10"/>
        <v>22147.064000000002</v>
      </c>
      <c r="Q71" s="643">
        <f t="shared" si="10"/>
        <v>909</v>
      </c>
      <c r="R71" s="643">
        <f t="shared" si="10"/>
        <v>0</v>
      </c>
      <c r="S71" s="643">
        <f t="shared" si="10"/>
        <v>3960</v>
      </c>
      <c r="T71" s="308">
        <f t="shared" si="3"/>
        <v>112.56482442591165</v>
      </c>
      <c r="U71" s="673"/>
    </row>
    <row r="72" spans="1:21" s="194" customFormat="1" ht="30" customHeight="1">
      <c r="A72" s="674" t="s">
        <v>1585</v>
      </c>
      <c r="B72" s="675" t="s">
        <v>1306</v>
      </c>
      <c r="C72" s="625">
        <v>0</v>
      </c>
      <c r="D72" s="345">
        <f t="shared" ref="D72:D88" si="11">SUM(E72:S72)</f>
        <v>2369.52</v>
      </c>
      <c r="E72" s="625"/>
      <c r="F72" s="625"/>
      <c r="G72" s="625"/>
      <c r="H72" s="625"/>
      <c r="I72" s="625"/>
      <c r="J72" s="625"/>
      <c r="K72" s="625"/>
      <c r="L72" s="625"/>
      <c r="M72" s="625"/>
      <c r="N72" s="625"/>
      <c r="O72" s="625"/>
      <c r="P72" s="625">
        <f>2201.52-659</f>
        <v>1542.52</v>
      </c>
      <c r="Q72" s="625"/>
      <c r="R72" s="625"/>
      <c r="S72" s="625">
        <f>168+659</f>
        <v>827</v>
      </c>
      <c r="T72" s="308"/>
      <c r="U72" s="673"/>
    </row>
    <row r="73" spans="1:21" s="194" customFormat="1" ht="33.75" customHeight="1">
      <c r="A73" s="630" t="s">
        <v>1586</v>
      </c>
      <c r="B73" s="598" t="s">
        <v>1576</v>
      </c>
      <c r="C73" s="629">
        <v>1500</v>
      </c>
      <c r="D73" s="345">
        <f t="shared" si="11"/>
        <v>3000</v>
      </c>
      <c r="E73" s="629"/>
      <c r="F73" s="629"/>
      <c r="G73" s="629"/>
      <c r="H73" s="629"/>
      <c r="I73" s="629"/>
      <c r="J73" s="629"/>
      <c r="K73" s="629"/>
      <c r="L73" s="629"/>
      <c r="M73" s="629"/>
      <c r="N73" s="629"/>
      <c r="O73" s="629"/>
      <c r="P73" s="629"/>
      <c r="Q73" s="629"/>
      <c r="R73" s="629"/>
      <c r="S73" s="629">
        <v>3000</v>
      </c>
      <c r="T73" s="304">
        <f t="shared" si="3"/>
        <v>200</v>
      </c>
      <c r="U73" s="673"/>
    </row>
    <row r="74" spans="1:21" s="194" customFormat="1" ht="28.5" customHeight="1">
      <c r="A74" s="630" t="s">
        <v>1587</v>
      </c>
      <c r="B74" s="598" t="s">
        <v>1577</v>
      </c>
      <c r="C74" s="629">
        <v>133283</v>
      </c>
      <c r="D74" s="345">
        <f t="shared" si="11"/>
        <v>136707.221831</v>
      </c>
      <c r="E74" s="629"/>
      <c r="F74" s="629"/>
      <c r="G74" s="629"/>
      <c r="H74" s="629"/>
      <c r="I74" s="629">
        <v>136707.221831</v>
      </c>
      <c r="J74" s="629"/>
      <c r="K74" s="629"/>
      <c r="L74" s="629"/>
      <c r="M74" s="629"/>
      <c r="N74" s="629"/>
      <c r="O74" s="629"/>
      <c r="P74" s="629"/>
      <c r="Q74" s="629"/>
      <c r="R74" s="629"/>
      <c r="S74" s="629"/>
      <c r="T74" s="304">
        <f t="shared" si="3"/>
        <v>102.56913622217387</v>
      </c>
      <c r="U74" s="673"/>
    </row>
    <row r="75" spans="1:21" s="194" customFormat="1" ht="34.5" customHeight="1">
      <c r="A75" s="630" t="s">
        <v>1588</v>
      </c>
      <c r="B75" s="598" t="s">
        <v>1575</v>
      </c>
      <c r="C75" s="629">
        <v>10628</v>
      </c>
      <c r="D75" s="345">
        <f t="shared" si="11"/>
        <v>20604.544000000002</v>
      </c>
      <c r="E75" s="629"/>
      <c r="F75" s="629"/>
      <c r="G75" s="629"/>
      <c r="H75" s="629"/>
      <c r="I75" s="629"/>
      <c r="J75" s="629"/>
      <c r="K75" s="629"/>
      <c r="L75" s="629"/>
      <c r="M75" s="629"/>
      <c r="N75" s="629"/>
      <c r="O75" s="629"/>
      <c r="P75" s="629">
        <f>21604.544-1000</f>
        <v>20604.544000000002</v>
      </c>
      <c r="Q75" s="629"/>
      <c r="R75" s="629"/>
      <c r="S75" s="629"/>
      <c r="T75" s="304">
        <f t="shared" si="3"/>
        <v>193.8703801279639</v>
      </c>
      <c r="U75" s="673"/>
    </row>
    <row r="76" spans="1:21" s="194" customFormat="1" ht="24.95" customHeight="1">
      <c r="A76" s="630" t="s">
        <v>1589</v>
      </c>
      <c r="B76" s="598" t="s">
        <v>1578</v>
      </c>
      <c r="C76" s="629">
        <v>18</v>
      </c>
      <c r="D76" s="345">
        <f t="shared" si="11"/>
        <v>36</v>
      </c>
      <c r="E76" s="629"/>
      <c r="F76" s="629"/>
      <c r="G76" s="629"/>
      <c r="H76" s="629"/>
      <c r="I76" s="629"/>
      <c r="J76" s="629"/>
      <c r="K76" s="629"/>
      <c r="L76" s="629"/>
      <c r="M76" s="629"/>
      <c r="N76" s="629"/>
      <c r="O76" s="629"/>
      <c r="P76" s="629"/>
      <c r="Q76" s="629"/>
      <c r="R76" s="629"/>
      <c r="S76" s="629">
        <v>36</v>
      </c>
      <c r="T76" s="304">
        <f t="shared" ref="T76:T78" si="12">D76/C76*100</f>
        <v>200</v>
      </c>
      <c r="U76" s="673"/>
    </row>
    <row r="77" spans="1:21" s="194" customFormat="1" ht="24.95" customHeight="1">
      <c r="A77" s="630" t="s">
        <v>1590</v>
      </c>
      <c r="B77" s="598" t="s">
        <v>1579</v>
      </c>
      <c r="C77" s="629">
        <v>9</v>
      </c>
      <c r="D77" s="345">
        <f t="shared" si="11"/>
        <v>9</v>
      </c>
      <c r="E77" s="629"/>
      <c r="F77" s="629"/>
      <c r="G77" s="629"/>
      <c r="H77" s="629"/>
      <c r="I77" s="629"/>
      <c r="J77" s="629"/>
      <c r="K77" s="629"/>
      <c r="L77" s="629"/>
      <c r="M77" s="629"/>
      <c r="N77" s="629"/>
      <c r="O77" s="629"/>
      <c r="P77" s="629"/>
      <c r="Q77" s="629">
        <v>9</v>
      </c>
      <c r="R77" s="629"/>
      <c r="S77" s="629"/>
      <c r="T77" s="304">
        <f t="shared" si="12"/>
        <v>100</v>
      </c>
      <c r="U77" s="673"/>
    </row>
    <row r="78" spans="1:21" s="194" customFormat="1" ht="24.95" customHeight="1">
      <c r="A78" s="630" t="s">
        <v>1591</v>
      </c>
      <c r="B78" s="598" t="s">
        <v>1580</v>
      </c>
      <c r="C78" s="629">
        <v>10</v>
      </c>
      <c r="D78" s="345">
        <f t="shared" si="11"/>
        <v>10</v>
      </c>
      <c r="E78" s="629"/>
      <c r="F78" s="629"/>
      <c r="G78" s="629"/>
      <c r="H78" s="629"/>
      <c r="I78" s="629"/>
      <c r="J78" s="629"/>
      <c r="K78" s="629"/>
      <c r="L78" s="629"/>
      <c r="M78" s="629"/>
      <c r="N78" s="629"/>
      <c r="O78" s="629"/>
      <c r="P78" s="629"/>
      <c r="Q78" s="629"/>
      <c r="R78" s="629"/>
      <c r="S78" s="629">
        <v>10</v>
      </c>
      <c r="T78" s="304">
        <f t="shared" si="12"/>
        <v>100</v>
      </c>
      <c r="U78" s="673"/>
    </row>
    <row r="79" spans="1:21" s="194" customFormat="1" ht="24.95" customHeight="1">
      <c r="A79" s="630" t="s">
        <v>1592</v>
      </c>
      <c r="B79" s="598" t="s">
        <v>1581</v>
      </c>
      <c r="C79" s="629">
        <v>0</v>
      </c>
      <c r="D79" s="345">
        <f t="shared" si="11"/>
        <v>30</v>
      </c>
      <c r="E79" s="629"/>
      <c r="F79" s="629"/>
      <c r="G79" s="629"/>
      <c r="H79" s="629"/>
      <c r="I79" s="629"/>
      <c r="J79" s="629"/>
      <c r="K79" s="629"/>
      <c r="L79" s="629"/>
      <c r="M79" s="629"/>
      <c r="N79" s="629"/>
      <c r="O79" s="629"/>
      <c r="P79" s="629"/>
      <c r="Q79" s="629"/>
      <c r="R79" s="629"/>
      <c r="S79" s="629">
        <v>30</v>
      </c>
      <c r="T79" s="304"/>
      <c r="U79" s="673"/>
    </row>
    <row r="80" spans="1:21" s="194" customFormat="1" ht="24.95" customHeight="1">
      <c r="A80" s="630" t="s">
        <v>1593</v>
      </c>
      <c r="B80" s="598" t="s">
        <v>1582</v>
      </c>
      <c r="C80" s="629">
        <v>0</v>
      </c>
      <c r="D80" s="345">
        <f t="shared" si="11"/>
        <v>10</v>
      </c>
      <c r="E80" s="629"/>
      <c r="F80" s="629"/>
      <c r="G80" s="629"/>
      <c r="H80" s="629"/>
      <c r="I80" s="629"/>
      <c r="J80" s="629"/>
      <c r="K80" s="629"/>
      <c r="L80" s="629"/>
      <c r="M80" s="629"/>
      <c r="N80" s="629"/>
      <c r="O80" s="629"/>
      <c r="P80" s="629"/>
      <c r="Q80" s="629"/>
      <c r="R80" s="629"/>
      <c r="S80" s="629">
        <v>10</v>
      </c>
      <c r="T80" s="304"/>
      <c r="U80" s="673"/>
    </row>
    <row r="81" spans="1:21" s="194" customFormat="1" ht="24.95" customHeight="1">
      <c r="A81" s="630" t="s">
        <v>1594</v>
      </c>
      <c r="B81" s="598" t="s">
        <v>1570</v>
      </c>
      <c r="C81" s="629">
        <v>0</v>
      </c>
      <c r="D81" s="345">
        <f t="shared" si="11"/>
        <v>60</v>
      </c>
      <c r="E81" s="629"/>
      <c r="F81" s="629"/>
      <c r="G81" s="629"/>
      <c r="H81" s="629"/>
      <c r="I81" s="629"/>
      <c r="J81" s="629"/>
      <c r="K81" s="629"/>
      <c r="L81" s="629"/>
      <c r="M81" s="629"/>
      <c r="N81" s="629"/>
      <c r="O81" s="629"/>
      <c r="P81" s="629"/>
      <c r="Q81" s="629">
        <v>60</v>
      </c>
      <c r="R81" s="629"/>
      <c r="S81" s="629"/>
      <c r="T81" s="304"/>
      <c r="U81" s="673"/>
    </row>
    <row r="82" spans="1:21" s="194" customFormat="1" ht="24.95" customHeight="1">
      <c r="A82" s="630" t="s">
        <v>1595</v>
      </c>
      <c r="B82" s="598" t="s">
        <v>1571</v>
      </c>
      <c r="C82" s="629">
        <v>0</v>
      </c>
      <c r="D82" s="345">
        <f t="shared" si="11"/>
        <v>2</v>
      </c>
      <c r="E82" s="629"/>
      <c r="F82" s="629"/>
      <c r="G82" s="629"/>
      <c r="H82" s="629"/>
      <c r="I82" s="629"/>
      <c r="J82" s="629"/>
      <c r="K82" s="629"/>
      <c r="L82" s="629"/>
      <c r="M82" s="629"/>
      <c r="N82" s="629"/>
      <c r="O82" s="629"/>
      <c r="P82" s="629"/>
      <c r="Q82" s="629"/>
      <c r="R82" s="629"/>
      <c r="S82" s="629">
        <v>2</v>
      </c>
      <c r="T82" s="304"/>
      <c r="U82" s="673"/>
    </row>
    <row r="83" spans="1:21" s="194" customFormat="1" ht="24.95" customHeight="1">
      <c r="A83" s="630" t="s">
        <v>1596</v>
      </c>
      <c r="B83" s="598" t="s">
        <v>1583</v>
      </c>
      <c r="C83" s="629">
        <v>0</v>
      </c>
      <c r="D83" s="345">
        <f t="shared" si="11"/>
        <v>11</v>
      </c>
      <c r="E83" s="629"/>
      <c r="F83" s="629"/>
      <c r="G83" s="629"/>
      <c r="H83" s="629"/>
      <c r="I83" s="629"/>
      <c r="J83" s="629"/>
      <c r="K83" s="629"/>
      <c r="L83" s="629"/>
      <c r="M83" s="629"/>
      <c r="N83" s="629"/>
      <c r="O83" s="629"/>
      <c r="P83" s="629"/>
      <c r="Q83" s="629"/>
      <c r="R83" s="629"/>
      <c r="S83" s="629">
        <v>11</v>
      </c>
      <c r="T83" s="304"/>
      <c r="U83" s="673"/>
    </row>
    <row r="84" spans="1:21" s="194" customFormat="1" ht="24.95" customHeight="1">
      <c r="A84" s="630" t="s">
        <v>1597</v>
      </c>
      <c r="B84" s="598" t="s">
        <v>1572</v>
      </c>
      <c r="C84" s="629">
        <v>0</v>
      </c>
      <c r="D84" s="345">
        <f t="shared" si="11"/>
        <v>4</v>
      </c>
      <c r="E84" s="629"/>
      <c r="F84" s="629"/>
      <c r="G84" s="629"/>
      <c r="H84" s="629"/>
      <c r="I84" s="629"/>
      <c r="J84" s="629"/>
      <c r="K84" s="629"/>
      <c r="L84" s="629"/>
      <c r="M84" s="629"/>
      <c r="N84" s="629"/>
      <c r="O84" s="629"/>
      <c r="P84" s="629"/>
      <c r="Q84" s="629"/>
      <c r="R84" s="629"/>
      <c r="S84" s="629">
        <v>4</v>
      </c>
      <c r="T84" s="304"/>
      <c r="U84" s="673"/>
    </row>
    <row r="85" spans="1:21" s="194" customFormat="1" ht="29.25" customHeight="1">
      <c r="A85" s="630" t="s">
        <v>1598</v>
      </c>
      <c r="B85" s="598" t="s">
        <v>1584</v>
      </c>
      <c r="C85" s="629">
        <v>0</v>
      </c>
      <c r="D85" s="345">
        <f t="shared" si="11"/>
        <v>14</v>
      </c>
      <c r="E85" s="629"/>
      <c r="F85" s="629"/>
      <c r="G85" s="629"/>
      <c r="H85" s="629"/>
      <c r="I85" s="629"/>
      <c r="J85" s="629"/>
      <c r="K85" s="629"/>
      <c r="L85" s="629"/>
      <c r="M85" s="629"/>
      <c r="N85" s="629"/>
      <c r="O85" s="629"/>
      <c r="P85" s="629"/>
      <c r="Q85" s="629"/>
      <c r="R85" s="629"/>
      <c r="S85" s="629">
        <v>14</v>
      </c>
      <c r="T85" s="304"/>
      <c r="U85" s="673"/>
    </row>
    <row r="86" spans="1:21" s="194" customFormat="1" ht="24.95" customHeight="1">
      <c r="A86" s="630" t="s">
        <v>1599</v>
      </c>
      <c r="B86" s="598" t="s">
        <v>1573</v>
      </c>
      <c r="C86" s="629">
        <v>0</v>
      </c>
      <c r="D86" s="345">
        <f t="shared" si="11"/>
        <v>16</v>
      </c>
      <c r="E86" s="629"/>
      <c r="F86" s="629"/>
      <c r="G86" s="629"/>
      <c r="H86" s="629"/>
      <c r="I86" s="629"/>
      <c r="J86" s="629"/>
      <c r="K86" s="629"/>
      <c r="L86" s="629"/>
      <c r="M86" s="629"/>
      <c r="N86" s="629"/>
      <c r="O86" s="629"/>
      <c r="P86" s="629"/>
      <c r="Q86" s="629"/>
      <c r="R86" s="629"/>
      <c r="S86" s="629">
        <v>16</v>
      </c>
      <c r="T86" s="304"/>
      <c r="U86" s="673"/>
    </row>
    <row r="87" spans="1:21" s="194" customFormat="1" ht="27" customHeight="1">
      <c r="A87" s="676" t="s">
        <v>1600</v>
      </c>
      <c r="B87" s="677" t="s">
        <v>1574</v>
      </c>
      <c r="C87" s="670">
        <v>0</v>
      </c>
      <c r="D87" s="345">
        <f t="shared" si="11"/>
        <v>840</v>
      </c>
      <c r="E87" s="670"/>
      <c r="F87" s="670"/>
      <c r="G87" s="670"/>
      <c r="H87" s="670"/>
      <c r="I87" s="670"/>
      <c r="J87" s="670"/>
      <c r="K87" s="670"/>
      <c r="L87" s="670"/>
      <c r="M87" s="670"/>
      <c r="N87" s="670"/>
      <c r="O87" s="670"/>
      <c r="P87" s="670"/>
      <c r="Q87" s="670">
        <v>840</v>
      </c>
      <c r="R87" s="670"/>
      <c r="S87" s="670"/>
      <c r="T87" s="309"/>
      <c r="U87" s="673"/>
    </row>
    <row r="88" spans="1:21" s="194" customFormat="1" ht="37.5" customHeight="1">
      <c r="A88" s="622" t="s">
        <v>139</v>
      </c>
      <c r="B88" s="642" t="s">
        <v>1617</v>
      </c>
      <c r="C88" s="678">
        <v>0</v>
      </c>
      <c r="D88" s="301">
        <f t="shared" si="11"/>
        <v>1951</v>
      </c>
      <c r="E88" s="643"/>
      <c r="F88" s="643"/>
      <c r="G88" s="643"/>
      <c r="H88" s="643"/>
      <c r="I88" s="643"/>
      <c r="J88" s="643"/>
      <c r="K88" s="643"/>
      <c r="L88" s="643"/>
      <c r="M88" s="643"/>
      <c r="N88" s="643"/>
      <c r="O88" s="643"/>
      <c r="P88" s="643"/>
      <c r="Q88" s="643"/>
      <c r="R88" s="643"/>
      <c r="S88" s="643">
        <v>1951</v>
      </c>
      <c r="T88" s="310"/>
      <c r="U88" s="673"/>
    </row>
    <row r="89" spans="1:21" s="194" customFormat="1" ht="15.75">
      <c r="A89" s="679"/>
      <c r="B89" s="1079" t="s">
        <v>1388</v>
      </c>
      <c r="C89" s="1080"/>
      <c r="D89" s="1081"/>
      <c r="E89" s="1082"/>
      <c r="F89" s="681"/>
      <c r="G89" s="680"/>
      <c r="H89" s="680"/>
      <c r="I89" s="680"/>
      <c r="J89" s="680"/>
      <c r="K89" s="680"/>
      <c r="L89" s="680"/>
      <c r="M89" s="680"/>
      <c r="N89" s="680"/>
      <c r="O89" s="680"/>
      <c r="P89" s="682"/>
      <c r="Q89" s="682"/>
      <c r="R89" s="682"/>
      <c r="S89" s="682"/>
      <c r="T89" s="682"/>
      <c r="U89" s="610"/>
    </row>
    <row r="90" spans="1:21" ht="15.75" customHeight="1">
      <c r="A90" s="683"/>
      <c r="B90" s="684"/>
      <c r="C90" s="685"/>
      <c r="D90" s="608"/>
      <c r="E90" s="608"/>
      <c r="F90" s="608"/>
      <c r="G90" s="608"/>
      <c r="H90" s="608"/>
      <c r="I90" s="608"/>
      <c r="J90" s="608"/>
      <c r="K90" s="608"/>
      <c r="L90" s="608"/>
      <c r="M90" s="608"/>
      <c r="N90" s="608"/>
      <c r="O90" s="1693" t="s">
        <v>2052</v>
      </c>
      <c r="P90" s="1693"/>
      <c r="Q90" s="1693"/>
      <c r="R90" s="1693"/>
      <c r="S90" s="1693"/>
      <c r="T90" s="686"/>
      <c r="U90" s="686"/>
    </row>
    <row r="91" spans="1:21" ht="18.75" customHeight="1">
      <c r="A91" s="683"/>
      <c r="B91" s="684"/>
      <c r="C91" s="685"/>
      <c r="D91" s="608"/>
      <c r="E91" s="608"/>
      <c r="F91" s="608"/>
      <c r="G91" s="608"/>
      <c r="H91" s="608"/>
      <c r="I91" s="608"/>
      <c r="J91" s="608"/>
      <c r="K91" s="608"/>
      <c r="L91" s="1003"/>
      <c r="M91" s="608"/>
      <c r="N91" s="608"/>
      <c r="O91" s="1650" t="s">
        <v>222</v>
      </c>
      <c r="P91" s="1650"/>
      <c r="Q91" s="1650"/>
      <c r="R91" s="1650"/>
      <c r="S91" s="1650"/>
      <c r="T91" s="687"/>
      <c r="U91" s="684"/>
    </row>
    <row r="92" spans="1:21" ht="18.75" customHeight="1">
      <c r="A92" s="683"/>
      <c r="B92" s="684"/>
      <c r="C92" s="685"/>
      <c r="D92" s="608"/>
      <c r="E92" s="608"/>
      <c r="F92" s="608"/>
      <c r="G92" s="608"/>
      <c r="H92" s="608"/>
      <c r="I92" s="608"/>
      <c r="J92" s="608"/>
      <c r="K92" s="608"/>
      <c r="L92" s="608"/>
      <c r="M92" s="608"/>
      <c r="N92" s="608"/>
      <c r="O92" s="1650" t="s">
        <v>223</v>
      </c>
      <c r="P92" s="1650"/>
      <c r="Q92" s="1650"/>
      <c r="R92" s="1650"/>
      <c r="S92" s="1650"/>
      <c r="T92" s="688"/>
      <c r="U92" s="684"/>
    </row>
    <row r="93" spans="1:21" ht="15.75" customHeight="1">
      <c r="A93" s="683"/>
      <c r="B93" s="684"/>
      <c r="C93" s="685"/>
      <c r="D93" s="608"/>
      <c r="E93" s="608"/>
      <c r="F93" s="608"/>
      <c r="G93" s="608"/>
      <c r="H93" s="608"/>
      <c r="I93" s="608"/>
      <c r="J93" s="608"/>
      <c r="K93" s="608"/>
      <c r="L93" s="608"/>
      <c r="M93" s="608"/>
      <c r="N93" s="608"/>
      <c r="O93" s="1648" t="s">
        <v>224</v>
      </c>
      <c r="P93" s="1648"/>
      <c r="Q93" s="1648"/>
      <c r="R93" s="1648"/>
      <c r="S93" s="1648"/>
      <c r="T93" s="688"/>
      <c r="U93" s="684"/>
    </row>
    <row r="94" spans="1:21" ht="15.75">
      <c r="O94"/>
      <c r="P94"/>
      <c r="Q94"/>
      <c r="R94"/>
    </row>
  </sheetData>
  <mergeCells count="30">
    <mergeCell ref="A3:T3"/>
    <mergeCell ref="A5:A7"/>
    <mergeCell ref="B5:B7"/>
    <mergeCell ref="C5:C7"/>
    <mergeCell ref="D5:U5"/>
    <mergeCell ref="D6:D7"/>
    <mergeCell ref="E6:E7"/>
    <mergeCell ref="F6:F7"/>
    <mergeCell ref="G6:G7"/>
    <mergeCell ref="H6:H7"/>
    <mergeCell ref="I6:I7"/>
    <mergeCell ref="J6:J7"/>
    <mergeCell ref="O6:O7"/>
    <mergeCell ref="P6:P7"/>
    <mergeCell ref="O90:S90"/>
    <mergeCell ref="O91:S91"/>
    <mergeCell ref="O92:S92"/>
    <mergeCell ref="O93:S93"/>
    <mergeCell ref="A1:B1"/>
    <mergeCell ref="R1:T1"/>
    <mergeCell ref="R4:T4"/>
    <mergeCell ref="S6:S7"/>
    <mergeCell ref="T6:T7"/>
    <mergeCell ref="L6:L7"/>
    <mergeCell ref="M6:M7"/>
    <mergeCell ref="N6:N7"/>
    <mergeCell ref="Q6:Q7"/>
    <mergeCell ref="R6:R7"/>
    <mergeCell ref="K6:K7"/>
    <mergeCell ref="A2:U2"/>
  </mergeCells>
  <pageMargins left="0.52" right="0.35" top="0.35" bottom="0.41" header="0.37" footer="0.2"/>
  <pageSetup paperSize="9" scale="69" firstPageNumber="28" fitToHeight="0" orientation="landscape" useFirstPageNumber="1" horizontalDpi="300" verticalDpi="300" r:id="rId1"/>
  <headerFooter>
    <oddFooter>&amp;C&amp;P</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L91"/>
  <sheetViews>
    <sheetView zoomScale="90" zoomScaleNormal="90" workbookViewId="0">
      <pane xSplit="2" ySplit="9" topLeftCell="C10" activePane="bottomRight" state="frozen"/>
      <selection pane="topRight" activeCell="C1" sqref="C1"/>
      <selection pane="bottomLeft" activeCell="A9" sqref="A9"/>
      <selection pane="bottomRight" activeCell="O86" sqref="O86"/>
    </sheetView>
  </sheetViews>
  <sheetFormatPr defaultRowHeight="15"/>
  <cols>
    <col min="1" max="1" width="5.5703125" style="762" customWidth="1"/>
    <col min="2" max="2" width="26.5703125" style="684" customWidth="1"/>
    <col min="3" max="3" width="11.85546875" style="763" customWidth="1"/>
    <col min="4" max="4" width="11.5703125" style="684" customWidth="1"/>
    <col min="5" max="5" width="10.7109375" style="684" customWidth="1"/>
    <col min="6" max="6" width="10.5703125" style="684" customWidth="1"/>
    <col min="7" max="7" width="10.7109375" style="684" customWidth="1"/>
    <col min="8" max="8" width="11.5703125" style="684" customWidth="1"/>
    <col min="9" max="9" width="10.42578125" style="684" customWidth="1"/>
    <col min="10" max="10" width="11.28515625" style="764" customWidth="1"/>
    <col min="11" max="11" width="10.140625" style="684" customWidth="1"/>
    <col min="12" max="12" width="10" style="684" customWidth="1"/>
    <col min="13" max="256" width="9.140625" style="684"/>
    <col min="257" max="257" width="5.5703125" style="684" customWidth="1"/>
    <col min="258" max="258" width="26" style="684" customWidth="1"/>
    <col min="259" max="259" width="14" style="684" customWidth="1"/>
    <col min="260" max="260" width="14.28515625" style="684" customWidth="1"/>
    <col min="261" max="261" width="10.7109375" style="684" customWidth="1"/>
    <col min="262" max="262" width="11.85546875" style="684" customWidth="1"/>
    <col min="263" max="263" width="10.7109375" style="684" customWidth="1"/>
    <col min="264" max="264" width="15.42578125" style="684" customWidth="1"/>
    <col min="265" max="265" width="10.42578125" style="684" customWidth="1"/>
    <col min="266" max="266" width="11.28515625" style="684" customWidth="1"/>
    <col min="267" max="267" width="11.140625" style="684" customWidth="1"/>
    <col min="268" max="268" width="10.7109375" style="684" bestFit="1" customWidth="1"/>
    <col min="269" max="512" width="9.140625" style="684"/>
    <col min="513" max="513" width="5.5703125" style="684" customWidth="1"/>
    <col min="514" max="514" width="26" style="684" customWidth="1"/>
    <col min="515" max="515" width="14" style="684" customWidth="1"/>
    <col min="516" max="516" width="14.28515625" style="684" customWidth="1"/>
    <col min="517" max="517" width="10.7109375" style="684" customWidth="1"/>
    <col min="518" max="518" width="11.85546875" style="684" customWidth="1"/>
    <col min="519" max="519" width="10.7109375" style="684" customWidth="1"/>
    <col min="520" max="520" width="15.42578125" style="684" customWidth="1"/>
    <col min="521" max="521" width="10.42578125" style="684" customWidth="1"/>
    <col min="522" max="522" width="11.28515625" style="684" customWidth="1"/>
    <col min="523" max="523" width="11.140625" style="684" customWidth="1"/>
    <col min="524" max="524" width="10.7109375" style="684" bestFit="1" customWidth="1"/>
    <col min="525" max="768" width="9.140625" style="684"/>
    <col min="769" max="769" width="5.5703125" style="684" customWidth="1"/>
    <col min="770" max="770" width="26" style="684" customWidth="1"/>
    <col min="771" max="771" width="14" style="684" customWidth="1"/>
    <col min="772" max="772" width="14.28515625" style="684" customWidth="1"/>
    <col min="773" max="773" width="10.7109375" style="684" customWidth="1"/>
    <col min="774" max="774" width="11.85546875" style="684" customWidth="1"/>
    <col min="775" max="775" width="10.7109375" style="684" customWidth="1"/>
    <col min="776" max="776" width="15.42578125" style="684" customWidth="1"/>
    <col min="777" max="777" width="10.42578125" style="684" customWidth="1"/>
    <col min="778" max="778" width="11.28515625" style="684" customWidth="1"/>
    <col min="779" max="779" width="11.140625" style="684" customWidth="1"/>
    <col min="780" max="780" width="10.7109375" style="684" bestFit="1" customWidth="1"/>
    <col min="781" max="1024" width="9.140625" style="684"/>
    <col min="1025" max="1025" width="5.5703125" style="684" customWidth="1"/>
    <col min="1026" max="1026" width="26" style="684" customWidth="1"/>
    <col min="1027" max="1027" width="14" style="684" customWidth="1"/>
    <col min="1028" max="1028" width="14.28515625" style="684" customWidth="1"/>
    <col min="1029" max="1029" width="10.7109375" style="684" customWidth="1"/>
    <col min="1030" max="1030" width="11.85546875" style="684" customWidth="1"/>
    <col min="1031" max="1031" width="10.7109375" style="684" customWidth="1"/>
    <col min="1032" max="1032" width="15.42578125" style="684" customWidth="1"/>
    <col min="1033" max="1033" width="10.42578125" style="684" customWidth="1"/>
    <col min="1034" max="1034" width="11.28515625" style="684" customWidth="1"/>
    <col min="1035" max="1035" width="11.140625" style="684" customWidth="1"/>
    <col min="1036" max="1036" width="10.7109375" style="684" bestFit="1" customWidth="1"/>
    <col min="1037" max="1280" width="9.140625" style="684"/>
    <col min="1281" max="1281" width="5.5703125" style="684" customWidth="1"/>
    <col min="1282" max="1282" width="26" style="684" customWidth="1"/>
    <col min="1283" max="1283" width="14" style="684" customWidth="1"/>
    <col min="1284" max="1284" width="14.28515625" style="684" customWidth="1"/>
    <col min="1285" max="1285" width="10.7109375" style="684" customWidth="1"/>
    <col min="1286" max="1286" width="11.85546875" style="684" customWidth="1"/>
    <col min="1287" max="1287" width="10.7109375" style="684" customWidth="1"/>
    <col min="1288" max="1288" width="15.42578125" style="684" customWidth="1"/>
    <col min="1289" max="1289" width="10.42578125" style="684" customWidth="1"/>
    <col min="1290" max="1290" width="11.28515625" style="684" customWidth="1"/>
    <col min="1291" max="1291" width="11.140625" style="684" customWidth="1"/>
    <col min="1292" max="1292" width="10.7109375" style="684" bestFit="1" customWidth="1"/>
    <col min="1293" max="1536" width="9.140625" style="684"/>
    <col min="1537" max="1537" width="5.5703125" style="684" customWidth="1"/>
    <col min="1538" max="1538" width="26" style="684" customWidth="1"/>
    <col min="1539" max="1539" width="14" style="684" customWidth="1"/>
    <col min="1540" max="1540" width="14.28515625" style="684" customWidth="1"/>
    <col min="1541" max="1541" width="10.7109375" style="684" customWidth="1"/>
    <col min="1542" max="1542" width="11.85546875" style="684" customWidth="1"/>
    <col min="1543" max="1543" width="10.7109375" style="684" customWidth="1"/>
    <col min="1544" max="1544" width="15.42578125" style="684" customWidth="1"/>
    <col min="1545" max="1545" width="10.42578125" style="684" customWidth="1"/>
    <col min="1546" max="1546" width="11.28515625" style="684" customWidth="1"/>
    <col min="1547" max="1547" width="11.140625" style="684" customWidth="1"/>
    <col min="1548" max="1548" width="10.7109375" style="684" bestFit="1" customWidth="1"/>
    <col min="1549" max="1792" width="9.140625" style="684"/>
    <col min="1793" max="1793" width="5.5703125" style="684" customWidth="1"/>
    <col min="1794" max="1794" width="26" style="684" customWidth="1"/>
    <col min="1795" max="1795" width="14" style="684" customWidth="1"/>
    <col min="1796" max="1796" width="14.28515625" style="684" customWidth="1"/>
    <col min="1797" max="1797" width="10.7109375" style="684" customWidth="1"/>
    <col min="1798" max="1798" width="11.85546875" style="684" customWidth="1"/>
    <col min="1799" max="1799" width="10.7109375" style="684" customWidth="1"/>
    <col min="1800" max="1800" width="15.42578125" style="684" customWidth="1"/>
    <col min="1801" max="1801" width="10.42578125" style="684" customWidth="1"/>
    <col min="1802" max="1802" width="11.28515625" style="684" customWidth="1"/>
    <col min="1803" max="1803" width="11.140625" style="684" customWidth="1"/>
    <col min="1804" max="1804" width="10.7109375" style="684" bestFit="1" customWidth="1"/>
    <col min="1805" max="2048" width="9.140625" style="684"/>
    <col min="2049" max="2049" width="5.5703125" style="684" customWidth="1"/>
    <col min="2050" max="2050" width="26" style="684" customWidth="1"/>
    <col min="2051" max="2051" width="14" style="684" customWidth="1"/>
    <col min="2052" max="2052" width="14.28515625" style="684" customWidth="1"/>
    <col min="2053" max="2053" width="10.7109375" style="684" customWidth="1"/>
    <col min="2054" max="2054" width="11.85546875" style="684" customWidth="1"/>
    <col min="2055" max="2055" width="10.7109375" style="684" customWidth="1"/>
    <col min="2056" max="2056" width="15.42578125" style="684" customWidth="1"/>
    <col min="2057" max="2057" width="10.42578125" style="684" customWidth="1"/>
    <col min="2058" max="2058" width="11.28515625" style="684" customWidth="1"/>
    <col min="2059" max="2059" width="11.140625" style="684" customWidth="1"/>
    <col min="2060" max="2060" width="10.7109375" style="684" bestFit="1" customWidth="1"/>
    <col min="2061" max="2304" width="9.140625" style="684"/>
    <col min="2305" max="2305" width="5.5703125" style="684" customWidth="1"/>
    <col min="2306" max="2306" width="26" style="684" customWidth="1"/>
    <col min="2307" max="2307" width="14" style="684" customWidth="1"/>
    <col min="2308" max="2308" width="14.28515625" style="684" customWidth="1"/>
    <col min="2309" max="2309" width="10.7109375" style="684" customWidth="1"/>
    <col min="2310" max="2310" width="11.85546875" style="684" customWidth="1"/>
    <col min="2311" max="2311" width="10.7109375" style="684" customWidth="1"/>
    <col min="2312" max="2312" width="15.42578125" style="684" customWidth="1"/>
    <col min="2313" max="2313" width="10.42578125" style="684" customWidth="1"/>
    <col min="2314" max="2314" width="11.28515625" style="684" customWidth="1"/>
    <col min="2315" max="2315" width="11.140625" style="684" customWidth="1"/>
    <col min="2316" max="2316" width="10.7109375" style="684" bestFit="1" customWidth="1"/>
    <col min="2317" max="2560" width="9.140625" style="684"/>
    <col min="2561" max="2561" width="5.5703125" style="684" customWidth="1"/>
    <col min="2562" max="2562" width="26" style="684" customWidth="1"/>
    <col min="2563" max="2563" width="14" style="684" customWidth="1"/>
    <col min="2564" max="2564" width="14.28515625" style="684" customWidth="1"/>
    <col min="2565" max="2565" width="10.7109375" style="684" customWidth="1"/>
    <col min="2566" max="2566" width="11.85546875" style="684" customWidth="1"/>
    <col min="2567" max="2567" width="10.7109375" style="684" customWidth="1"/>
    <col min="2568" max="2568" width="15.42578125" style="684" customWidth="1"/>
    <col min="2569" max="2569" width="10.42578125" style="684" customWidth="1"/>
    <col min="2570" max="2570" width="11.28515625" style="684" customWidth="1"/>
    <col min="2571" max="2571" width="11.140625" style="684" customWidth="1"/>
    <col min="2572" max="2572" width="10.7109375" style="684" bestFit="1" customWidth="1"/>
    <col min="2573" max="2816" width="9.140625" style="684"/>
    <col min="2817" max="2817" width="5.5703125" style="684" customWidth="1"/>
    <col min="2818" max="2818" width="26" style="684" customWidth="1"/>
    <col min="2819" max="2819" width="14" style="684" customWidth="1"/>
    <col min="2820" max="2820" width="14.28515625" style="684" customWidth="1"/>
    <col min="2821" max="2821" width="10.7109375" style="684" customWidth="1"/>
    <col min="2822" max="2822" width="11.85546875" style="684" customWidth="1"/>
    <col min="2823" max="2823" width="10.7109375" style="684" customWidth="1"/>
    <col min="2824" max="2824" width="15.42578125" style="684" customWidth="1"/>
    <col min="2825" max="2825" width="10.42578125" style="684" customWidth="1"/>
    <col min="2826" max="2826" width="11.28515625" style="684" customWidth="1"/>
    <col min="2827" max="2827" width="11.140625" style="684" customWidth="1"/>
    <col min="2828" max="2828" width="10.7109375" style="684" bestFit="1" customWidth="1"/>
    <col min="2829" max="3072" width="9.140625" style="684"/>
    <col min="3073" max="3073" width="5.5703125" style="684" customWidth="1"/>
    <col min="3074" max="3074" width="26" style="684" customWidth="1"/>
    <col min="3075" max="3075" width="14" style="684" customWidth="1"/>
    <col min="3076" max="3076" width="14.28515625" style="684" customWidth="1"/>
    <col min="3077" max="3077" width="10.7109375" style="684" customWidth="1"/>
    <col min="3078" max="3078" width="11.85546875" style="684" customWidth="1"/>
    <col min="3079" max="3079" width="10.7109375" style="684" customWidth="1"/>
    <col min="3080" max="3080" width="15.42578125" style="684" customWidth="1"/>
    <col min="3081" max="3081" width="10.42578125" style="684" customWidth="1"/>
    <col min="3082" max="3082" width="11.28515625" style="684" customWidth="1"/>
    <col min="3083" max="3083" width="11.140625" style="684" customWidth="1"/>
    <col min="3084" max="3084" width="10.7109375" style="684" bestFit="1" customWidth="1"/>
    <col min="3085" max="3328" width="9.140625" style="684"/>
    <col min="3329" max="3329" width="5.5703125" style="684" customWidth="1"/>
    <col min="3330" max="3330" width="26" style="684" customWidth="1"/>
    <col min="3331" max="3331" width="14" style="684" customWidth="1"/>
    <col min="3332" max="3332" width="14.28515625" style="684" customWidth="1"/>
    <col min="3333" max="3333" width="10.7109375" style="684" customWidth="1"/>
    <col min="3334" max="3334" width="11.85546875" style="684" customWidth="1"/>
    <col min="3335" max="3335" width="10.7109375" style="684" customWidth="1"/>
    <col min="3336" max="3336" width="15.42578125" style="684" customWidth="1"/>
    <col min="3337" max="3337" width="10.42578125" style="684" customWidth="1"/>
    <col min="3338" max="3338" width="11.28515625" style="684" customWidth="1"/>
    <col min="3339" max="3339" width="11.140625" style="684" customWidth="1"/>
    <col min="3340" max="3340" width="10.7109375" style="684" bestFit="1" customWidth="1"/>
    <col min="3341" max="3584" width="9.140625" style="684"/>
    <col min="3585" max="3585" width="5.5703125" style="684" customWidth="1"/>
    <col min="3586" max="3586" width="26" style="684" customWidth="1"/>
    <col min="3587" max="3587" width="14" style="684" customWidth="1"/>
    <col min="3588" max="3588" width="14.28515625" style="684" customWidth="1"/>
    <col min="3589" max="3589" width="10.7109375" style="684" customWidth="1"/>
    <col min="3590" max="3590" width="11.85546875" style="684" customWidth="1"/>
    <col min="3591" max="3591" width="10.7109375" style="684" customWidth="1"/>
    <col min="3592" max="3592" width="15.42578125" style="684" customWidth="1"/>
    <col min="3593" max="3593" width="10.42578125" style="684" customWidth="1"/>
    <col min="3594" max="3594" width="11.28515625" style="684" customWidth="1"/>
    <col min="3595" max="3595" width="11.140625" style="684" customWidth="1"/>
    <col min="3596" max="3596" width="10.7109375" style="684" bestFit="1" customWidth="1"/>
    <col min="3597" max="3840" width="9.140625" style="684"/>
    <col min="3841" max="3841" width="5.5703125" style="684" customWidth="1"/>
    <col min="3842" max="3842" width="26" style="684" customWidth="1"/>
    <col min="3843" max="3843" width="14" style="684" customWidth="1"/>
    <col min="3844" max="3844" width="14.28515625" style="684" customWidth="1"/>
    <col min="3845" max="3845" width="10.7109375" style="684" customWidth="1"/>
    <col min="3846" max="3846" width="11.85546875" style="684" customWidth="1"/>
    <col min="3847" max="3847" width="10.7109375" style="684" customWidth="1"/>
    <col min="3848" max="3848" width="15.42578125" style="684" customWidth="1"/>
    <col min="3849" max="3849" width="10.42578125" style="684" customWidth="1"/>
    <col min="3850" max="3850" width="11.28515625" style="684" customWidth="1"/>
    <col min="3851" max="3851" width="11.140625" style="684" customWidth="1"/>
    <col min="3852" max="3852" width="10.7109375" style="684" bestFit="1" customWidth="1"/>
    <col min="3853" max="4096" width="9.140625" style="684"/>
    <col min="4097" max="4097" width="5.5703125" style="684" customWidth="1"/>
    <col min="4098" max="4098" width="26" style="684" customWidth="1"/>
    <col min="4099" max="4099" width="14" style="684" customWidth="1"/>
    <col min="4100" max="4100" width="14.28515625" style="684" customWidth="1"/>
    <col min="4101" max="4101" width="10.7109375" style="684" customWidth="1"/>
    <col min="4102" max="4102" width="11.85546875" style="684" customWidth="1"/>
    <col min="4103" max="4103" width="10.7109375" style="684" customWidth="1"/>
    <col min="4104" max="4104" width="15.42578125" style="684" customWidth="1"/>
    <col min="4105" max="4105" width="10.42578125" style="684" customWidth="1"/>
    <col min="4106" max="4106" width="11.28515625" style="684" customWidth="1"/>
    <col min="4107" max="4107" width="11.140625" style="684" customWidth="1"/>
    <col min="4108" max="4108" width="10.7109375" style="684" bestFit="1" customWidth="1"/>
    <col min="4109" max="4352" width="9.140625" style="684"/>
    <col min="4353" max="4353" width="5.5703125" style="684" customWidth="1"/>
    <col min="4354" max="4354" width="26" style="684" customWidth="1"/>
    <col min="4355" max="4355" width="14" style="684" customWidth="1"/>
    <col min="4356" max="4356" width="14.28515625" style="684" customWidth="1"/>
    <col min="4357" max="4357" width="10.7109375" style="684" customWidth="1"/>
    <col min="4358" max="4358" width="11.85546875" style="684" customWidth="1"/>
    <col min="4359" max="4359" width="10.7109375" style="684" customWidth="1"/>
    <col min="4360" max="4360" width="15.42578125" style="684" customWidth="1"/>
    <col min="4361" max="4361" width="10.42578125" style="684" customWidth="1"/>
    <col min="4362" max="4362" width="11.28515625" style="684" customWidth="1"/>
    <col min="4363" max="4363" width="11.140625" style="684" customWidth="1"/>
    <col min="4364" max="4364" width="10.7109375" style="684" bestFit="1" customWidth="1"/>
    <col min="4365" max="4608" width="9.140625" style="684"/>
    <col min="4609" max="4609" width="5.5703125" style="684" customWidth="1"/>
    <col min="4610" max="4610" width="26" style="684" customWidth="1"/>
    <col min="4611" max="4611" width="14" style="684" customWidth="1"/>
    <col min="4612" max="4612" width="14.28515625" style="684" customWidth="1"/>
    <col min="4613" max="4613" width="10.7109375" style="684" customWidth="1"/>
    <col min="4614" max="4614" width="11.85546875" style="684" customWidth="1"/>
    <col min="4615" max="4615" width="10.7109375" style="684" customWidth="1"/>
    <col min="4616" max="4616" width="15.42578125" style="684" customWidth="1"/>
    <col min="4617" max="4617" width="10.42578125" style="684" customWidth="1"/>
    <col min="4618" max="4618" width="11.28515625" style="684" customWidth="1"/>
    <col min="4619" max="4619" width="11.140625" style="684" customWidth="1"/>
    <col min="4620" max="4620" width="10.7109375" style="684" bestFit="1" customWidth="1"/>
    <col min="4621" max="4864" width="9.140625" style="684"/>
    <col min="4865" max="4865" width="5.5703125" style="684" customWidth="1"/>
    <col min="4866" max="4866" width="26" style="684" customWidth="1"/>
    <col min="4867" max="4867" width="14" style="684" customWidth="1"/>
    <col min="4868" max="4868" width="14.28515625" style="684" customWidth="1"/>
    <col min="4869" max="4869" width="10.7109375" style="684" customWidth="1"/>
    <col min="4870" max="4870" width="11.85546875" style="684" customWidth="1"/>
    <col min="4871" max="4871" width="10.7109375" style="684" customWidth="1"/>
    <col min="4872" max="4872" width="15.42578125" style="684" customWidth="1"/>
    <col min="4873" max="4873" width="10.42578125" style="684" customWidth="1"/>
    <col min="4874" max="4874" width="11.28515625" style="684" customWidth="1"/>
    <col min="4875" max="4875" width="11.140625" style="684" customWidth="1"/>
    <col min="4876" max="4876" width="10.7109375" style="684" bestFit="1" customWidth="1"/>
    <col min="4877" max="5120" width="9.140625" style="684"/>
    <col min="5121" max="5121" width="5.5703125" style="684" customWidth="1"/>
    <col min="5122" max="5122" width="26" style="684" customWidth="1"/>
    <col min="5123" max="5123" width="14" style="684" customWidth="1"/>
    <col min="5124" max="5124" width="14.28515625" style="684" customWidth="1"/>
    <col min="5125" max="5125" width="10.7109375" style="684" customWidth="1"/>
    <col min="5126" max="5126" width="11.85546875" style="684" customWidth="1"/>
    <col min="5127" max="5127" width="10.7109375" style="684" customWidth="1"/>
    <col min="5128" max="5128" width="15.42578125" style="684" customWidth="1"/>
    <col min="5129" max="5129" width="10.42578125" style="684" customWidth="1"/>
    <col min="5130" max="5130" width="11.28515625" style="684" customWidth="1"/>
    <col min="5131" max="5131" width="11.140625" style="684" customWidth="1"/>
    <col min="5132" max="5132" width="10.7109375" style="684" bestFit="1" customWidth="1"/>
    <col min="5133" max="5376" width="9.140625" style="684"/>
    <col min="5377" max="5377" width="5.5703125" style="684" customWidth="1"/>
    <col min="5378" max="5378" width="26" style="684" customWidth="1"/>
    <col min="5379" max="5379" width="14" style="684" customWidth="1"/>
    <col min="5380" max="5380" width="14.28515625" style="684" customWidth="1"/>
    <col min="5381" max="5381" width="10.7109375" style="684" customWidth="1"/>
    <col min="5382" max="5382" width="11.85546875" style="684" customWidth="1"/>
    <col min="5383" max="5383" width="10.7109375" style="684" customWidth="1"/>
    <col min="5384" max="5384" width="15.42578125" style="684" customWidth="1"/>
    <col min="5385" max="5385" width="10.42578125" style="684" customWidth="1"/>
    <col min="5386" max="5386" width="11.28515625" style="684" customWidth="1"/>
    <col min="5387" max="5387" width="11.140625" style="684" customWidth="1"/>
    <col min="5388" max="5388" width="10.7109375" style="684" bestFit="1" customWidth="1"/>
    <col min="5389" max="5632" width="9.140625" style="684"/>
    <col min="5633" max="5633" width="5.5703125" style="684" customWidth="1"/>
    <col min="5634" max="5634" width="26" style="684" customWidth="1"/>
    <col min="5635" max="5635" width="14" style="684" customWidth="1"/>
    <col min="5636" max="5636" width="14.28515625" style="684" customWidth="1"/>
    <col min="5637" max="5637" width="10.7109375" style="684" customWidth="1"/>
    <col min="5638" max="5638" width="11.85546875" style="684" customWidth="1"/>
    <col min="5639" max="5639" width="10.7109375" style="684" customWidth="1"/>
    <col min="5640" max="5640" width="15.42578125" style="684" customWidth="1"/>
    <col min="5641" max="5641" width="10.42578125" style="684" customWidth="1"/>
    <col min="5642" max="5642" width="11.28515625" style="684" customWidth="1"/>
    <col min="5643" max="5643" width="11.140625" style="684" customWidth="1"/>
    <col min="5644" max="5644" width="10.7109375" style="684" bestFit="1" customWidth="1"/>
    <col min="5645" max="5888" width="9.140625" style="684"/>
    <col min="5889" max="5889" width="5.5703125" style="684" customWidth="1"/>
    <col min="5890" max="5890" width="26" style="684" customWidth="1"/>
    <col min="5891" max="5891" width="14" style="684" customWidth="1"/>
    <col min="5892" max="5892" width="14.28515625" style="684" customWidth="1"/>
    <col min="5893" max="5893" width="10.7109375" style="684" customWidth="1"/>
    <col min="5894" max="5894" width="11.85546875" style="684" customWidth="1"/>
    <col min="5895" max="5895" width="10.7109375" style="684" customWidth="1"/>
    <col min="5896" max="5896" width="15.42578125" style="684" customWidth="1"/>
    <col min="5897" max="5897" width="10.42578125" style="684" customWidth="1"/>
    <col min="5898" max="5898" width="11.28515625" style="684" customWidth="1"/>
    <col min="5899" max="5899" width="11.140625" style="684" customWidth="1"/>
    <col min="5900" max="5900" width="10.7109375" style="684" bestFit="1" customWidth="1"/>
    <col min="5901" max="6144" width="9.140625" style="684"/>
    <col min="6145" max="6145" width="5.5703125" style="684" customWidth="1"/>
    <col min="6146" max="6146" width="26" style="684" customWidth="1"/>
    <col min="6147" max="6147" width="14" style="684" customWidth="1"/>
    <col min="6148" max="6148" width="14.28515625" style="684" customWidth="1"/>
    <col min="6149" max="6149" width="10.7109375" style="684" customWidth="1"/>
    <col min="6150" max="6150" width="11.85546875" style="684" customWidth="1"/>
    <col min="6151" max="6151" width="10.7109375" style="684" customWidth="1"/>
    <col min="6152" max="6152" width="15.42578125" style="684" customWidth="1"/>
    <col min="6153" max="6153" width="10.42578125" style="684" customWidth="1"/>
    <col min="6154" max="6154" width="11.28515625" style="684" customWidth="1"/>
    <col min="6155" max="6155" width="11.140625" style="684" customWidth="1"/>
    <col min="6156" max="6156" width="10.7109375" style="684" bestFit="1" customWidth="1"/>
    <col min="6157" max="6400" width="9.140625" style="684"/>
    <col min="6401" max="6401" width="5.5703125" style="684" customWidth="1"/>
    <col min="6402" max="6402" width="26" style="684" customWidth="1"/>
    <col min="6403" max="6403" width="14" style="684" customWidth="1"/>
    <col min="6404" max="6404" width="14.28515625" style="684" customWidth="1"/>
    <col min="6405" max="6405" width="10.7109375" style="684" customWidth="1"/>
    <col min="6406" max="6406" width="11.85546875" style="684" customWidth="1"/>
    <col min="6407" max="6407" width="10.7109375" style="684" customWidth="1"/>
    <col min="6408" max="6408" width="15.42578125" style="684" customWidth="1"/>
    <col min="6409" max="6409" width="10.42578125" style="684" customWidth="1"/>
    <col min="6410" max="6410" width="11.28515625" style="684" customWidth="1"/>
    <col min="6411" max="6411" width="11.140625" style="684" customWidth="1"/>
    <col min="6412" max="6412" width="10.7109375" style="684" bestFit="1" customWidth="1"/>
    <col min="6413" max="6656" width="9.140625" style="684"/>
    <col min="6657" max="6657" width="5.5703125" style="684" customWidth="1"/>
    <col min="6658" max="6658" width="26" style="684" customWidth="1"/>
    <col min="6659" max="6659" width="14" style="684" customWidth="1"/>
    <col min="6660" max="6660" width="14.28515625" style="684" customWidth="1"/>
    <col min="6661" max="6661" width="10.7109375" style="684" customWidth="1"/>
    <col min="6662" max="6662" width="11.85546875" style="684" customWidth="1"/>
    <col min="6663" max="6663" width="10.7109375" style="684" customWidth="1"/>
    <col min="6664" max="6664" width="15.42578125" style="684" customWidth="1"/>
    <col min="6665" max="6665" width="10.42578125" style="684" customWidth="1"/>
    <col min="6666" max="6666" width="11.28515625" style="684" customWidth="1"/>
    <col min="6667" max="6667" width="11.140625" style="684" customWidth="1"/>
    <col min="6668" max="6668" width="10.7109375" style="684" bestFit="1" customWidth="1"/>
    <col min="6669" max="6912" width="9.140625" style="684"/>
    <col min="6913" max="6913" width="5.5703125" style="684" customWidth="1"/>
    <col min="6914" max="6914" width="26" style="684" customWidth="1"/>
    <col min="6915" max="6915" width="14" style="684" customWidth="1"/>
    <col min="6916" max="6916" width="14.28515625" style="684" customWidth="1"/>
    <col min="6917" max="6917" width="10.7109375" style="684" customWidth="1"/>
    <col min="6918" max="6918" width="11.85546875" style="684" customWidth="1"/>
    <col min="6919" max="6919" width="10.7109375" style="684" customWidth="1"/>
    <col min="6920" max="6920" width="15.42578125" style="684" customWidth="1"/>
    <col min="6921" max="6921" width="10.42578125" style="684" customWidth="1"/>
    <col min="6922" max="6922" width="11.28515625" style="684" customWidth="1"/>
    <col min="6923" max="6923" width="11.140625" style="684" customWidth="1"/>
    <col min="6924" max="6924" width="10.7109375" style="684" bestFit="1" customWidth="1"/>
    <col min="6925" max="7168" width="9.140625" style="684"/>
    <col min="7169" max="7169" width="5.5703125" style="684" customWidth="1"/>
    <col min="7170" max="7170" width="26" style="684" customWidth="1"/>
    <col min="7171" max="7171" width="14" style="684" customWidth="1"/>
    <col min="7172" max="7172" width="14.28515625" style="684" customWidth="1"/>
    <col min="7173" max="7173" width="10.7109375" style="684" customWidth="1"/>
    <col min="7174" max="7174" width="11.85546875" style="684" customWidth="1"/>
    <col min="7175" max="7175" width="10.7109375" style="684" customWidth="1"/>
    <col min="7176" max="7176" width="15.42578125" style="684" customWidth="1"/>
    <col min="7177" max="7177" width="10.42578125" style="684" customWidth="1"/>
    <col min="7178" max="7178" width="11.28515625" style="684" customWidth="1"/>
    <col min="7179" max="7179" width="11.140625" style="684" customWidth="1"/>
    <col min="7180" max="7180" width="10.7109375" style="684" bestFit="1" customWidth="1"/>
    <col min="7181" max="7424" width="9.140625" style="684"/>
    <col min="7425" max="7425" width="5.5703125" style="684" customWidth="1"/>
    <col min="7426" max="7426" width="26" style="684" customWidth="1"/>
    <col min="7427" max="7427" width="14" style="684" customWidth="1"/>
    <col min="7428" max="7428" width="14.28515625" style="684" customWidth="1"/>
    <col min="7429" max="7429" width="10.7109375" style="684" customWidth="1"/>
    <col min="7430" max="7430" width="11.85546875" style="684" customWidth="1"/>
    <col min="7431" max="7431" width="10.7109375" style="684" customWidth="1"/>
    <col min="7432" max="7432" width="15.42578125" style="684" customWidth="1"/>
    <col min="7433" max="7433" width="10.42578125" style="684" customWidth="1"/>
    <col min="7434" max="7434" width="11.28515625" style="684" customWidth="1"/>
    <col min="7435" max="7435" width="11.140625" style="684" customWidth="1"/>
    <col min="7436" max="7436" width="10.7109375" style="684" bestFit="1" customWidth="1"/>
    <col min="7437" max="7680" width="9.140625" style="684"/>
    <col min="7681" max="7681" width="5.5703125" style="684" customWidth="1"/>
    <col min="7682" max="7682" width="26" style="684" customWidth="1"/>
    <col min="7683" max="7683" width="14" style="684" customWidth="1"/>
    <col min="7684" max="7684" width="14.28515625" style="684" customWidth="1"/>
    <col min="7685" max="7685" width="10.7109375" style="684" customWidth="1"/>
    <col min="7686" max="7686" width="11.85546875" style="684" customWidth="1"/>
    <col min="7687" max="7687" width="10.7109375" style="684" customWidth="1"/>
    <col min="7688" max="7688" width="15.42578125" style="684" customWidth="1"/>
    <col min="7689" max="7689" width="10.42578125" style="684" customWidth="1"/>
    <col min="7690" max="7690" width="11.28515625" style="684" customWidth="1"/>
    <col min="7691" max="7691" width="11.140625" style="684" customWidth="1"/>
    <col min="7692" max="7692" width="10.7109375" style="684" bestFit="1" customWidth="1"/>
    <col min="7693" max="7936" width="9.140625" style="684"/>
    <col min="7937" max="7937" width="5.5703125" style="684" customWidth="1"/>
    <col min="7938" max="7938" width="26" style="684" customWidth="1"/>
    <col min="7939" max="7939" width="14" style="684" customWidth="1"/>
    <col min="7940" max="7940" width="14.28515625" style="684" customWidth="1"/>
    <col min="7941" max="7941" width="10.7109375" style="684" customWidth="1"/>
    <col min="7942" max="7942" width="11.85546875" style="684" customWidth="1"/>
    <col min="7943" max="7943" width="10.7109375" style="684" customWidth="1"/>
    <col min="7944" max="7944" width="15.42578125" style="684" customWidth="1"/>
    <col min="7945" max="7945" width="10.42578125" style="684" customWidth="1"/>
    <col min="7946" max="7946" width="11.28515625" style="684" customWidth="1"/>
    <col min="7947" max="7947" width="11.140625" style="684" customWidth="1"/>
    <col min="7948" max="7948" width="10.7109375" style="684" bestFit="1" customWidth="1"/>
    <col min="7949" max="8192" width="9.140625" style="684"/>
    <col min="8193" max="8193" width="5.5703125" style="684" customWidth="1"/>
    <col min="8194" max="8194" width="26" style="684" customWidth="1"/>
    <col min="8195" max="8195" width="14" style="684" customWidth="1"/>
    <col min="8196" max="8196" width="14.28515625" style="684" customWidth="1"/>
    <col min="8197" max="8197" width="10.7109375" style="684" customWidth="1"/>
    <col min="8198" max="8198" width="11.85546875" style="684" customWidth="1"/>
    <col min="8199" max="8199" width="10.7109375" style="684" customWidth="1"/>
    <col min="8200" max="8200" width="15.42578125" style="684" customWidth="1"/>
    <col min="8201" max="8201" width="10.42578125" style="684" customWidth="1"/>
    <col min="8202" max="8202" width="11.28515625" style="684" customWidth="1"/>
    <col min="8203" max="8203" width="11.140625" style="684" customWidth="1"/>
    <col min="8204" max="8204" width="10.7109375" style="684" bestFit="1" customWidth="1"/>
    <col min="8205" max="8448" width="9.140625" style="684"/>
    <col min="8449" max="8449" width="5.5703125" style="684" customWidth="1"/>
    <col min="8450" max="8450" width="26" style="684" customWidth="1"/>
    <col min="8451" max="8451" width="14" style="684" customWidth="1"/>
    <col min="8452" max="8452" width="14.28515625" style="684" customWidth="1"/>
    <col min="8453" max="8453" width="10.7109375" style="684" customWidth="1"/>
    <col min="8454" max="8454" width="11.85546875" style="684" customWidth="1"/>
    <col min="8455" max="8455" width="10.7109375" style="684" customWidth="1"/>
    <col min="8456" max="8456" width="15.42578125" style="684" customWidth="1"/>
    <col min="8457" max="8457" width="10.42578125" style="684" customWidth="1"/>
    <col min="8458" max="8458" width="11.28515625" style="684" customWidth="1"/>
    <col min="8459" max="8459" width="11.140625" style="684" customWidth="1"/>
    <col min="8460" max="8460" width="10.7109375" style="684" bestFit="1" customWidth="1"/>
    <col min="8461" max="8704" width="9.140625" style="684"/>
    <col min="8705" max="8705" width="5.5703125" style="684" customWidth="1"/>
    <col min="8706" max="8706" width="26" style="684" customWidth="1"/>
    <col min="8707" max="8707" width="14" style="684" customWidth="1"/>
    <col min="8708" max="8708" width="14.28515625" style="684" customWidth="1"/>
    <col min="8709" max="8709" width="10.7109375" style="684" customWidth="1"/>
    <col min="8710" max="8710" width="11.85546875" style="684" customWidth="1"/>
    <col min="8711" max="8711" width="10.7109375" style="684" customWidth="1"/>
    <col min="8712" max="8712" width="15.42578125" style="684" customWidth="1"/>
    <col min="8713" max="8713" width="10.42578125" style="684" customWidth="1"/>
    <col min="8714" max="8714" width="11.28515625" style="684" customWidth="1"/>
    <col min="8715" max="8715" width="11.140625" style="684" customWidth="1"/>
    <col min="8716" max="8716" width="10.7109375" style="684" bestFit="1" customWidth="1"/>
    <col min="8717" max="8960" width="9.140625" style="684"/>
    <col min="8961" max="8961" width="5.5703125" style="684" customWidth="1"/>
    <col min="8962" max="8962" width="26" style="684" customWidth="1"/>
    <col min="8963" max="8963" width="14" style="684" customWidth="1"/>
    <col min="8964" max="8964" width="14.28515625" style="684" customWidth="1"/>
    <col min="8965" max="8965" width="10.7109375" style="684" customWidth="1"/>
    <col min="8966" max="8966" width="11.85546875" style="684" customWidth="1"/>
    <col min="8967" max="8967" width="10.7109375" style="684" customWidth="1"/>
    <col min="8968" max="8968" width="15.42578125" style="684" customWidth="1"/>
    <col min="8969" max="8969" width="10.42578125" style="684" customWidth="1"/>
    <col min="8970" max="8970" width="11.28515625" style="684" customWidth="1"/>
    <col min="8971" max="8971" width="11.140625" style="684" customWidth="1"/>
    <col min="8972" max="8972" width="10.7109375" style="684" bestFit="1" customWidth="1"/>
    <col min="8973" max="9216" width="9.140625" style="684"/>
    <col min="9217" max="9217" width="5.5703125" style="684" customWidth="1"/>
    <col min="9218" max="9218" width="26" style="684" customWidth="1"/>
    <col min="9219" max="9219" width="14" style="684" customWidth="1"/>
    <col min="9220" max="9220" width="14.28515625" style="684" customWidth="1"/>
    <col min="9221" max="9221" width="10.7109375" style="684" customWidth="1"/>
    <col min="9222" max="9222" width="11.85546875" style="684" customWidth="1"/>
    <col min="9223" max="9223" width="10.7109375" style="684" customWidth="1"/>
    <col min="9224" max="9224" width="15.42578125" style="684" customWidth="1"/>
    <col min="9225" max="9225" width="10.42578125" style="684" customWidth="1"/>
    <col min="9226" max="9226" width="11.28515625" style="684" customWidth="1"/>
    <col min="9227" max="9227" width="11.140625" style="684" customWidth="1"/>
    <col min="9228" max="9228" width="10.7109375" style="684" bestFit="1" customWidth="1"/>
    <col min="9229" max="9472" width="9.140625" style="684"/>
    <col min="9473" max="9473" width="5.5703125" style="684" customWidth="1"/>
    <col min="9474" max="9474" width="26" style="684" customWidth="1"/>
    <col min="9475" max="9475" width="14" style="684" customWidth="1"/>
    <col min="9476" max="9476" width="14.28515625" style="684" customWidth="1"/>
    <col min="9477" max="9477" width="10.7109375" style="684" customWidth="1"/>
    <col min="9478" max="9478" width="11.85546875" style="684" customWidth="1"/>
    <col min="9479" max="9479" width="10.7109375" style="684" customWidth="1"/>
    <col min="9480" max="9480" width="15.42578125" style="684" customWidth="1"/>
    <col min="9481" max="9481" width="10.42578125" style="684" customWidth="1"/>
    <col min="9482" max="9482" width="11.28515625" style="684" customWidth="1"/>
    <col min="9483" max="9483" width="11.140625" style="684" customWidth="1"/>
    <col min="9484" max="9484" width="10.7109375" style="684" bestFit="1" customWidth="1"/>
    <col min="9485" max="9728" width="9.140625" style="684"/>
    <col min="9729" max="9729" width="5.5703125" style="684" customWidth="1"/>
    <col min="9730" max="9730" width="26" style="684" customWidth="1"/>
    <col min="9731" max="9731" width="14" style="684" customWidth="1"/>
    <col min="9732" max="9732" width="14.28515625" style="684" customWidth="1"/>
    <col min="9733" max="9733" width="10.7109375" style="684" customWidth="1"/>
    <col min="9734" max="9734" width="11.85546875" style="684" customWidth="1"/>
    <col min="9735" max="9735" width="10.7109375" style="684" customWidth="1"/>
    <col min="9736" max="9736" width="15.42578125" style="684" customWidth="1"/>
    <col min="9737" max="9737" width="10.42578125" style="684" customWidth="1"/>
    <col min="9738" max="9738" width="11.28515625" style="684" customWidth="1"/>
    <col min="9739" max="9739" width="11.140625" style="684" customWidth="1"/>
    <col min="9740" max="9740" width="10.7109375" style="684" bestFit="1" customWidth="1"/>
    <col min="9741" max="9984" width="9.140625" style="684"/>
    <col min="9985" max="9985" width="5.5703125" style="684" customWidth="1"/>
    <col min="9986" max="9986" width="26" style="684" customWidth="1"/>
    <col min="9987" max="9987" width="14" style="684" customWidth="1"/>
    <col min="9988" max="9988" width="14.28515625" style="684" customWidth="1"/>
    <col min="9989" max="9989" width="10.7109375" style="684" customWidth="1"/>
    <col min="9990" max="9990" width="11.85546875" style="684" customWidth="1"/>
    <col min="9991" max="9991" width="10.7109375" style="684" customWidth="1"/>
    <col min="9992" max="9992" width="15.42578125" style="684" customWidth="1"/>
    <col min="9993" max="9993" width="10.42578125" style="684" customWidth="1"/>
    <col min="9994" max="9994" width="11.28515625" style="684" customWidth="1"/>
    <col min="9995" max="9995" width="11.140625" style="684" customWidth="1"/>
    <col min="9996" max="9996" width="10.7109375" style="684" bestFit="1" customWidth="1"/>
    <col min="9997" max="10240" width="9.140625" style="684"/>
    <col min="10241" max="10241" width="5.5703125" style="684" customWidth="1"/>
    <col min="10242" max="10242" width="26" style="684" customWidth="1"/>
    <col min="10243" max="10243" width="14" style="684" customWidth="1"/>
    <col min="10244" max="10244" width="14.28515625" style="684" customWidth="1"/>
    <col min="10245" max="10245" width="10.7109375" style="684" customWidth="1"/>
    <col min="10246" max="10246" width="11.85546875" style="684" customWidth="1"/>
    <col min="10247" max="10247" width="10.7109375" style="684" customWidth="1"/>
    <col min="10248" max="10248" width="15.42578125" style="684" customWidth="1"/>
    <col min="10249" max="10249" width="10.42578125" style="684" customWidth="1"/>
    <col min="10250" max="10250" width="11.28515625" style="684" customWidth="1"/>
    <col min="10251" max="10251" width="11.140625" style="684" customWidth="1"/>
    <col min="10252" max="10252" width="10.7109375" style="684" bestFit="1" customWidth="1"/>
    <col min="10253" max="10496" width="9.140625" style="684"/>
    <col min="10497" max="10497" width="5.5703125" style="684" customWidth="1"/>
    <col min="10498" max="10498" width="26" style="684" customWidth="1"/>
    <col min="10499" max="10499" width="14" style="684" customWidth="1"/>
    <col min="10500" max="10500" width="14.28515625" style="684" customWidth="1"/>
    <col min="10501" max="10501" width="10.7109375" style="684" customWidth="1"/>
    <col min="10502" max="10502" width="11.85546875" style="684" customWidth="1"/>
    <col min="10503" max="10503" width="10.7109375" style="684" customWidth="1"/>
    <col min="10504" max="10504" width="15.42578125" style="684" customWidth="1"/>
    <col min="10505" max="10505" width="10.42578125" style="684" customWidth="1"/>
    <col min="10506" max="10506" width="11.28515625" style="684" customWidth="1"/>
    <col min="10507" max="10507" width="11.140625" style="684" customWidth="1"/>
    <col min="10508" max="10508" width="10.7109375" style="684" bestFit="1" customWidth="1"/>
    <col min="10509" max="10752" width="9.140625" style="684"/>
    <col min="10753" max="10753" width="5.5703125" style="684" customWidth="1"/>
    <col min="10754" max="10754" width="26" style="684" customWidth="1"/>
    <col min="10755" max="10755" width="14" style="684" customWidth="1"/>
    <col min="10756" max="10756" width="14.28515625" style="684" customWidth="1"/>
    <col min="10757" max="10757" width="10.7109375" style="684" customWidth="1"/>
    <col min="10758" max="10758" width="11.85546875" style="684" customWidth="1"/>
    <col min="10759" max="10759" width="10.7109375" style="684" customWidth="1"/>
    <col min="10760" max="10760" width="15.42578125" style="684" customWidth="1"/>
    <col min="10761" max="10761" width="10.42578125" style="684" customWidth="1"/>
    <col min="10762" max="10762" width="11.28515625" style="684" customWidth="1"/>
    <col min="10763" max="10763" width="11.140625" style="684" customWidth="1"/>
    <col min="10764" max="10764" width="10.7109375" style="684" bestFit="1" customWidth="1"/>
    <col min="10765" max="11008" width="9.140625" style="684"/>
    <col min="11009" max="11009" width="5.5703125" style="684" customWidth="1"/>
    <col min="11010" max="11010" width="26" style="684" customWidth="1"/>
    <col min="11011" max="11011" width="14" style="684" customWidth="1"/>
    <col min="11012" max="11012" width="14.28515625" style="684" customWidth="1"/>
    <col min="11013" max="11013" width="10.7109375" style="684" customWidth="1"/>
    <col min="11014" max="11014" width="11.85546875" style="684" customWidth="1"/>
    <col min="11015" max="11015" width="10.7109375" style="684" customWidth="1"/>
    <col min="11016" max="11016" width="15.42578125" style="684" customWidth="1"/>
    <col min="11017" max="11017" width="10.42578125" style="684" customWidth="1"/>
    <col min="11018" max="11018" width="11.28515625" style="684" customWidth="1"/>
    <col min="11019" max="11019" width="11.140625" style="684" customWidth="1"/>
    <col min="11020" max="11020" width="10.7109375" style="684" bestFit="1" customWidth="1"/>
    <col min="11021" max="11264" width="9.140625" style="684"/>
    <col min="11265" max="11265" width="5.5703125" style="684" customWidth="1"/>
    <col min="11266" max="11266" width="26" style="684" customWidth="1"/>
    <col min="11267" max="11267" width="14" style="684" customWidth="1"/>
    <col min="11268" max="11268" width="14.28515625" style="684" customWidth="1"/>
    <col min="11269" max="11269" width="10.7109375" style="684" customWidth="1"/>
    <col min="11270" max="11270" width="11.85546875" style="684" customWidth="1"/>
    <col min="11271" max="11271" width="10.7109375" style="684" customWidth="1"/>
    <col min="11272" max="11272" width="15.42578125" style="684" customWidth="1"/>
    <col min="11273" max="11273" width="10.42578125" style="684" customWidth="1"/>
    <col min="11274" max="11274" width="11.28515625" style="684" customWidth="1"/>
    <col min="11275" max="11275" width="11.140625" style="684" customWidth="1"/>
    <col min="11276" max="11276" width="10.7109375" style="684" bestFit="1" customWidth="1"/>
    <col min="11277" max="11520" width="9.140625" style="684"/>
    <col min="11521" max="11521" width="5.5703125" style="684" customWidth="1"/>
    <col min="11522" max="11522" width="26" style="684" customWidth="1"/>
    <col min="11523" max="11523" width="14" style="684" customWidth="1"/>
    <col min="11524" max="11524" width="14.28515625" style="684" customWidth="1"/>
    <col min="11525" max="11525" width="10.7109375" style="684" customWidth="1"/>
    <col min="11526" max="11526" width="11.85546875" style="684" customWidth="1"/>
    <col min="11527" max="11527" width="10.7109375" style="684" customWidth="1"/>
    <col min="11528" max="11528" width="15.42578125" style="684" customWidth="1"/>
    <col min="11529" max="11529" width="10.42578125" style="684" customWidth="1"/>
    <col min="11530" max="11530" width="11.28515625" style="684" customWidth="1"/>
    <col min="11531" max="11531" width="11.140625" style="684" customWidth="1"/>
    <col min="11532" max="11532" width="10.7109375" style="684" bestFit="1" customWidth="1"/>
    <col min="11533" max="11776" width="9.140625" style="684"/>
    <col min="11777" max="11777" width="5.5703125" style="684" customWidth="1"/>
    <col min="11778" max="11778" width="26" style="684" customWidth="1"/>
    <col min="11779" max="11779" width="14" style="684" customWidth="1"/>
    <col min="11780" max="11780" width="14.28515625" style="684" customWidth="1"/>
    <col min="11781" max="11781" width="10.7109375" style="684" customWidth="1"/>
    <col min="11782" max="11782" width="11.85546875" style="684" customWidth="1"/>
    <col min="11783" max="11783" width="10.7109375" style="684" customWidth="1"/>
    <col min="11784" max="11784" width="15.42578125" style="684" customWidth="1"/>
    <col min="11785" max="11785" width="10.42578125" style="684" customWidth="1"/>
    <col min="11786" max="11786" width="11.28515625" style="684" customWidth="1"/>
    <col min="11787" max="11787" width="11.140625" style="684" customWidth="1"/>
    <col min="11788" max="11788" width="10.7109375" style="684" bestFit="1" customWidth="1"/>
    <col min="11789" max="12032" width="9.140625" style="684"/>
    <col min="12033" max="12033" width="5.5703125" style="684" customWidth="1"/>
    <col min="12034" max="12034" width="26" style="684" customWidth="1"/>
    <col min="12035" max="12035" width="14" style="684" customWidth="1"/>
    <col min="12036" max="12036" width="14.28515625" style="684" customWidth="1"/>
    <col min="12037" max="12037" width="10.7109375" style="684" customWidth="1"/>
    <col min="12038" max="12038" width="11.85546875" style="684" customWidth="1"/>
    <col min="12039" max="12039" width="10.7109375" style="684" customWidth="1"/>
    <col min="12040" max="12040" width="15.42578125" style="684" customWidth="1"/>
    <col min="12041" max="12041" width="10.42578125" style="684" customWidth="1"/>
    <col min="12042" max="12042" width="11.28515625" style="684" customWidth="1"/>
    <col min="12043" max="12043" width="11.140625" style="684" customWidth="1"/>
    <col min="12044" max="12044" width="10.7109375" style="684" bestFit="1" customWidth="1"/>
    <col min="12045" max="12288" width="9.140625" style="684"/>
    <col min="12289" max="12289" width="5.5703125" style="684" customWidth="1"/>
    <col min="12290" max="12290" width="26" style="684" customWidth="1"/>
    <col min="12291" max="12291" width="14" style="684" customWidth="1"/>
    <col min="12292" max="12292" width="14.28515625" style="684" customWidth="1"/>
    <col min="12293" max="12293" width="10.7109375" style="684" customWidth="1"/>
    <col min="12294" max="12294" width="11.85546875" style="684" customWidth="1"/>
    <col min="12295" max="12295" width="10.7109375" style="684" customWidth="1"/>
    <col min="12296" max="12296" width="15.42578125" style="684" customWidth="1"/>
    <col min="12297" max="12297" width="10.42578125" style="684" customWidth="1"/>
    <col min="12298" max="12298" width="11.28515625" style="684" customWidth="1"/>
    <col min="12299" max="12299" width="11.140625" style="684" customWidth="1"/>
    <col min="12300" max="12300" width="10.7109375" style="684" bestFit="1" customWidth="1"/>
    <col min="12301" max="12544" width="9.140625" style="684"/>
    <col min="12545" max="12545" width="5.5703125" style="684" customWidth="1"/>
    <col min="12546" max="12546" width="26" style="684" customWidth="1"/>
    <col min="12547" max="12547" width="14" style="684" customWidth="1"/>
    <col min="12548" max="12548" width="14.28515625" style="684" customWidth="1"/>
    <col min="12549" max="12549" width="10.7109375" style="684" customWidth="1"/>
    <col min="12550" max="12550" width="11.85546875" style="684" customWidth="1"/>
    <col min="12551" max="12551" width="10.7109375" style="684" customWidth="1"/>
    <col min="12552" max="12552" width="15.42578125" style="684" customWidth="1"/>
    <col min="12553" max="12553" width="10.42578125" style="684" customWidth="1"/>
    <col min="12554" max="12554" width="11.28515625" style="684" customWidth="1"/>
    <col min="12555" max="12555" width="11.140625" style="684" customWidth="1"/>
    <col min="12556" max="12556" width="10.7109375" style="684" bestFit="1" customWidth="1"/>
    <col min="12557" max="12800" width="9.140625" style="684"/>
    <col min="12801" max="12801" width="5.5703125" style="684" customWidth="1"/>
    <col min="12802" max="12802" width="26" style="684" customWidth="1"/>
    <col min="12803" max="12803" width="14" style="684" customWidth="1"/>
    <col min="12804" max="12804" width="14.28515625" style="684" customWidth="1"/>
    <col min="12805" max="12805" width="10.7109375" style="684" customWidth="1"/>
    <col min="12806" max="12806" width="11.85546875" style="684" customWidth="1"/>
    <col min="12807" max="12807" width="10.7109375" style="684" customWidth="1"/>
    <col min="12808" max="12808" width="15.42578125" style="684" customWidth="1"/>
    <col min="12809" max="12809" width="10.42578125" style="684" customWidth="1"/>
    <col min="12810" max="12810" width="11.28515625" style="684" customWidth="1"/>
    <col min="12811" max="12811" width="11.140625" style="684" customWidth="1"/>
    <col min="12812" max="12812" width="10.7109375" style="684" bestFit="1" customWidth="1"/>
    <col min="12813" max="13056" width="9.140625" style="684"/>
    <col min="13057" max="13057" width="5.5703125" style="684" customWidth="1"/>
    <col min="13058" max="13058" width="26" style="684" customWidth="1"/>
    <col min="13059" max="13059" width="14" style="684" customWidth="1"/>
    <col min="13060" max="13060" width="14.28515625" style="684" customWidth="1"/>
    <col min="13061" max="13061" width="10.7109375" style="684" customWidth="1"/>
    <col min="13062" max="13062" width="11.85546875" style="684" customWidth="1"/>
    <col min="13063" max="13063" width="10.7109375" style="684" customWidth="1"/>
    <col min="13064" max="13064" width="15.42578125" style="684" customWidth="1"/>
    <col min="13065" max="13065" width="10.42578125" style="684" customWidth="1"/>
    <col min="13066" max="13066" width="11.28515625" style="684" customWidth="1"/>
    <col min="13067" max="13067" width="11.140625" style="684" customWidth="1"/>
    <col min="13068" max="13068" width="10.7109375" style="684" bestFit="1" customWidth="1"/>
    <col min="13069" max="13312" width="9.140625" style="684"/>
    <col min="13313" max="13313" width="5.5703125" style="684" customWidth="1"/>
    <col min="13314" max="13314" width="26" style="684" customWidth="1"/>
    <col min="13315" max="13315" width="14" style="684" customWidth="1"/>
    <col min="13316" max="13316" width="14.28515625" style="684" customWidth="1"/>
    <col min="13317" max="13317" width="10.7109375" style="684" customWidth="1"/>
    <col min="13318" max="13318" width="11.85546875" style="684" customWidth="1"/>
    <col min="13319" max="13319" width="10.7109375" style="684" customWidth="1"/>
    <col min="13320" max="13320" width="15.42578125" style="684" customWidth="1"/>
    <col min="13321" max="13321" width="10.42578125" style="684" customWidth="1"/>
    <col min="13322" max="13322" width="11.28515625" style="684" customWidth="1"/>
    <col min="13323" max="13323" width="11.140625" style="684" customWidth="1"/>
    <col min="13324" max="13324" width="10.7109375" style="684" bestFit="1" customWidth="1"/>
    <col min="13325" max="13568" width="9.140625" style="684"/>
    <col min="13569" max="13569" width="5.5703125" style="684" customWidth="1"/>
    <col min="13570" max="13570" width="26" style="684" customWidth="1"/>
    <col min="13571" max="13571" width="14" style="684" customWidth="1"/>
    <col min="13572" max="13572" width="14.28515625" style="684" customWidth="1"/>
    <col min="13573" max="13573" width="10.7109375" style="684" customWidth="1"/>
    <col min="13574" max="13574" width="11.85546875" style="684" customWidth="1"/>
    <col min="13575" max="13575" width="10.7109375" style="684" customWidth="1"/>
    <col min="13576" max="13576" width="15.42578125" style="684" customWidth="1"/>
    <col min="13577" max="13577" width="10.42578125" style="684" customWidth="1"/>
    <col min="13578" max="13578" width="11.28515625" style="684" customWidth="1"/>
    <col min="13579" max="13579" width="11.140625" style="684" customWidth="1"/>
    <col min="13580" max="13580" width="10.7109375" style="684" bestFit="1" customWidth="1"/>
    <col min="13581" max="13824" width="9.140625" style="684"/>
    <col min="13825" max="13825" width="5.5703125" style="684" customWidth="1"/>
    <col min="13826" max="13826" width="26" style="684" customWidth="1"/>
    <col min="13827" max="13827" width="14" style="684" customWidth="1"/>
    <col min="13828" max="13828" width="14.28515625" style="684" customWidth="1"/>
    <col min="13829" max="13829" width="10.7109375" style="684" customWidth="1"/>
    <col min="13830" max="13830" width="11.85546875" style="684" customWidth="1"/>
    <col min="13831" max="13831" width="10.7109375" style="684" customWidth="1"/>
    <col min="13832" max="13832" width="15.42578125" style="684" customWidth="1"/>
    <col min="13833" max="13833" width="10.42578125" style="684" customWidth="1"/>
    <col min="13834" max="13834" width="11.28515625" style="684" customWidth="1"/>
    <col min="13835" max="13835" width="11.140625" style="684" customWidth="1"/>
    <col min="13836" max="13836" width="10.7109375" style="684" bestFit="1" customWidth="1"/>
    <col min="13837" max="14080" width="9.140625" style="684"/>
    <col min="14081" max="14081" width="5.5703125" style="684" customWidth="1"/>
    <col min="14082" max="14082" width="26" style="684" customWidth="1"/>
    <col min="14083" max="14083" width="14" style="684" customWidth="1"/>
    <col min="14084" max="14084" width="14.28515625" style="684" customWidth="1"/>
    <col min="14085" max="14085" width="10.7109375" style="684" customWidth="1"/>
    <col min="14086" max="14086" width="11.85546875" style="684" customWidth="1"/>
    <col min="14087" max="14087" width="10.7109375" style="684" customWidth="1"/>
    <col min="14088" max="14088" width="15.42578125" style="684" customWidth="1"/>
    <col min="14089" max="14089" width="10.42578125" style="684" customWidth="1"/>
    <col min="14090" max="14090" width="11.28515625" style="684" customWidth="1"/>
    <col min="14091" max="14091" width="11.140625" style="684" customWidth="1"/>
    <col min="14092" max="14092" width="10.7109375" style="684" bestFit="1" customWidth="1"/>
    <col min="14093" max="14336" width="9.140625" style="684"/>
    <col min="14337" max="14337" width="5.5703125" style="684" customWidth="1"/>
    <col min="14338" max="14338" width="26" style="684" customWidth="1"/>
    <col min="14339" max="14339" width="14" style="684" customWidth="1"/>
    <col min="14340" max="14340" width="14.28515625" style="684" customWidth="1"/>
    <col min="14341" max="14341" width="10.7109375" style="684" customWidth="1"/>
    <col min="14342" max="14342" width="11.85546875" style="684" customWidth="1"/>
    <col min="14343" max="14343" width="10.7109375" style="684" customWidth="1"/>
    <col min="14344" max="14344" width="15.42578125" style="684" customWidth="1"/>
    <col min="14345" max="14345" width="10.42578125" style="684" customWidth="1"/>
    <col min="14346" max="14346" width="11.28515625" style="684" customWidth="1"/>
    <col min="14347" max="14347" width="11.140625" style="684" customWidth="1"/>
    <col min="14348" max="14348" width="10.7109375" style="684" bestFit="1" customWidth="1"/>
    <col min="14349" max="14592" width="9.140625" style="684"/>
    <col min="14593" max="14593" width="5.5703125" style="684" customWidth="1"/>
    <col min="14594" max="14594" width="26" style="684" customWidth="1"/>
    <col min="14595" max="14595" width="14" style="684" customWidth="1"/>
    <col min="14596" max="14596" width="14.28515625" style="684" customWidth="1"/>
    <col min="14597" max="14597" width="10.7109375" style="684" customWidth="1"/>
    <col min="14598" max="14598" width="11.85546875" style="684" customWidth="1"/>
    <col min="14599" max="14599" width="10.7109375" style="684" customWidth="1"/>
    <col min="14600" max="14600" width="15.42578125" style="684" customWidth="1"/>
    <col min="14601" max="14601" width="10.42578125" style="684" customWidth="1"/>
    <col min="14602" max="14602" width="11.28515625" style="684" customWidth="1"/>
    <col min="14603" max="14603" width="11.140625" style="684" customWidth="1"/>
    <col min="14604" max="14604" width="10.7109375" style="684" bestFit="1" customWidth="1"/>
    <col min="14605" max="14848" width="9.140625" style="684"/>
    <col min="14849" max="14849" width="5.5703125" style="684" customWidth="1"/>
    <col min="14850" max="14850" width="26" style="684" customWidth="1"/>
    <col min="14851" max="14851" width="14" style="684" customWidth="1"/>
    <col min="14852" max="14852" width="14.28515625" style="684" customWidth="1"/>
    <col min="14853" max="14853" width="10.7109375" style="684" customWidth="1"/>
    <col min="14854" max="14854" width="11.85546875" style="684" customWidth="1"/>
    <col min="14855" max="14855" width="10.7109375" style="684" customWidth="1"/>
    <col min="14856" max="14856" width="15.42578125" style="684" customWidth="1"/>
    <col min="14857" max="14857" width="10.42578125" style="684" customWidth="1"/>
    <col min="14858" max="14858" width="11.28515625" style="684" customWidth="1"/>
    <col min="14859" max="14859" width="11.140625" style="684" customWidth="1"/>
    <col min="14860" max="14860" width="10.7109375" style="684" bestFit="1" customWidth="1"/>
    <col min="14861" max="15104" width="9.140625" style="684"/>
    <col min="15105" max="15105" width="5.5703125" style="684" customWidth="1"/>
    <col min="15106" max="15106" width="26" style="684" customWidth="1"/>
    <col min="15107" max="15107" width="14" style="684" customWidth="1"/>
    <col min="15108" max="15108" width="14.28515625" style="684" customWidth="1"/>
    <col min="15109" max="15109" width="10.7109375" style="684" customWidth="1"/>
    <col min="15110" max="15110" width="11.85546875" style="684" customWidth="1"/>
    <col min="15111" max="15111" width="10.7109375" style="684" customWidth="1"/>
    <col min="15112" max="15112" width="15.42578125" style="684" customWidth="1"/>
    <col min="15113" max="15113" width="10.42578125" style="684" customWidth="1"/>
    <col min="15114" max="15114" width="11.28515625" style="684" customWidth="1"/>
    <col min="15115" max="15115" width="11.140625" style="684" customWidth="1"/>
    <col min="15116" max="15116" width="10.7109375" style="684" bestFit="1" customWidth="1"/>
    <col min="15117" max="15360" width="9.140625" style="684"/>
    <col min="15361" max="15361" width="5.5703125" style="684" customWidth="1"/>
    <col min="15362" max="15362" width="26" style="684" customWidth="1"/>
    <col min="15363" max="15363" width="14" style="684" customWidth="1"/>
    <col min="15364" max="15364" width="14.28515625" style="684" customWidth="1"/>
    <col min="15365" max="15365" width="10.7109375" style="684" customWidth="1"/>
    <col min="15366" max="15366" width="11.85546875" style="684" customWidth="1"/>
    <col min="15367" max="15367" width="10.7109375" style="684" customWidth="1"/>
    <col min="15368" max="15368" width="15.42578125" style="684" customWidth="1"/>
    <col min="15369" max="15369" width="10.42578125" style="684" customWidth="1"/>
    <col min="15370" max="15370" width="11.28515625" style="684" customWidth="1"/>
    <col min="15371" max="15371" width="11.140625" style="684" customWidth="1"/>
    <col min="15372" max="15372" width="10.7109375" style="684" bestFit="1" customWidth="1"/>
    <col min="15373" max="15616" width="9.140625" style="684"/>
    <col min="15617" max="15617" width="5.5703125" style="684" customWidth="1"/>
    <col min="15618" max="15618" width="26" style="684" customWidth="1"/>
    <col min="15619" max="15619" width="14" style="684" customWidth="1"/>
    <col min="15620" max="15620" width="14.28515625" style="684" customWidth="1"/>
    <col min="15621" max="15621" width="10.7109375" style="684" customWidth="1"/>
    <col min="15622" max="15622" width="11.85546875" style="684" customWidth="1"/>
    <col min="15623" max="15623" width="10.7109375" style="684" customWidth="1"/>
    <col min="15624" max="15624" width="15.42578125" style="684" customWidth="1"/>
    <col min="15625" max="15625" width="10.42578125" style="684" customWidth="1"/>
    <col min="15626" max="15626" width="11.28515625" style="684" customWidth="1"/>
    <col min="15627" max="15627" width="11.140625" style="684" customWidth="1"/>
    <col min="15628" max="15628" width="10.7109375" style="684" bestFit="1" customWidth="1"/>
    <col min="15629" max="15872" width="9.140625" style="684"/>
    <col min="15873" max="15873" width="5.5703125" style="684" customWidth="1"/>
    <col min="15874" max="15874" width="26" style="684" customWidth="1"/>
    <col min="15875" max="15875" width="14" style="684" customWidth="1"/>
    <col min="15876" max="15876" width="14.28515625" style="684" customWidth="1"/>
    <col min="15877" max="15877" width="10.7109375" style="684" customWidth="1"/>
    <col min="15878" max="15878" width="11.85546875" style="684" customWidth="1"/>
    <col min="15879" max="15879" width="10.7109375" style="684" customWidth="1"/>
    <col min="15880" max="15880" width="15.42578125" style="684" customWidth="1"/>
    <col min="15881" max="15881" width="10.42578125" style="684" customWidth="1"/>
    <col min="15882" max="15882" width="11.28515625" style="684" customWidth="1"/>
    <col min="15883" max="15883" width="11.140625" style="684" customWidth="1"/>
    <col min="15884" max="15884" width="10.7109375" style="684" bestFit="1" customWidth="1"/>
    <col min="15885" max="16128" width="9.140625" style="684"/>
    <col min="16129" max="16129" width="5.5703125" style="684" customWidth="1"/>
    <col min="16130" max="16130" width="26" style="684" customWidth="1"/>
    <col min="16131" max="16131" width="14" style="684" customWidth="1"/>
    <col min="16132" max="16132" width="14.28515625" style="684" customWidth="1"/>
    <col min="16133" max="16133" width="10.7109375" style="684" customWidth="1"/>
    <col min="16134" max="16134" width="11.85546875" style="684" customWidth="1"/>
    <col min="16135" max="16135" width="10.7109375" style="684" customWidth="1"/>
    <col min="16136" max="16136" width="15.42578125" style="684" customWidth="1"/>
    <col min="16137" max="16137" width="10.42578125" style="684" customWidth="1"/>
    <col min="16138" max="16138" width="11.28515625" style="684" customWidth="1"/>
    <col min="16139" max="16139" width="11.140625" style="684" customWidth="1"/>
    <col min="16140" max="16140" width="10.7109375" style="684" bestFit="1" customWidth="1"/>
    <col min="16141" max="16384" width="9.140625" style="684"/>
  </cols>
  <sheetData>
    <row r="1" spans="1:12" ht="22.5" customHeight="1">
      <c r="A1" s="1729" t="s">
        <v>221</v>
      </c>
      <c r="B1" s="1729"/>
      <c r="C1" s="393"/>
      <c r="D1" s="700"/>
      <c r="E1" s="700"/>
      <c r="F1" s="700"/>
      <c r="G1" s="700"/>
      <c r="H1" s="700"/>
      <c r="I1" s="700"/>
      <c r="J1" s="1755" t="s">
        <v>1385</v>
      </c>
      <c r="K1" s="1755"/>
      <c r="L1" s="1755"/>
    </row>
    <row r="2" spans="1:12" ht="44.25" customHeight="1">
      <c r="A2" s="1746" t="s">
        <v>1386</v>
      </c>
      <c r="B2" s="1746"/>
      <c r="C2" s="1746"/>
      <c r="D2" s="1746"/>
      <c r="E2" s="1746"/>
      <c r="F2" s="1746"/>
      <c r="G2" s="1746"/>
      <c r="H2" s="1746"/>
      <c r="I2" s="1746"/>
      <c r="J2" s="1746"/>
      <c r="K2" s="1746"/>
      <c r="L2" s="1746"/>
    </row>
    <row r="3" spans="1:12" ht="22.5" customHeight="1">
      <c r="A3" s="1756" t="e">
        <f>#REF!</f>
        <v>#REF!</v>
      </c>
      <c r="B3" s="1756"/>
      <c r="C3" s="1756"/>
      <c r="D3" s="1756"/>
      <c r="E3" s="1756"/>
      <c r="F3" s="1756"/>
      <c r="G3" s="1756"/>
      <c r="H3" s="1756"/>
      <c r="I3" s="1756"/>
      <c r="J3" s="1756"/>
      <c r="K3" s="1756"/>
      <c r="L3" s="1756"/>
    </row>
    <row r="4" spans="1:12" ht="23.25" customHeight="1">
      <c r="A4" s="701"/>
      <c r="B4" s="700"/>
      <c r="C4" s="393"/>
      <c r="D4" s="700"/>
      <c r="E4" s="700"/>
      <c r="F4" s="700"/>
      <c r="G4" s="700"/>
      <c r="H4" s="700"/>
      <c r="I4" s="700"/>
      <c r="J4" s="1747" t="s">
        <v>5</v>
      </c>
      <c r="K4" s="1747"/>
      <c r="L4" s="1747"/>
    </row>
    <row r="5" spans="1:12" ht="25.5" customHeight="1">
      <c r="A5" s="1748" t="s">
        <v>0</v>
      </c>
      <c r="B5" s="1748" t="s">
        <v>32</v>
      </c>
      <c r="C5" s="1750" t="s">
        <v>179</v>
      </c>
      <c r="D5" s="1752" t="s">
        <v>101</v>
      </c>
      <c r="E5" s="1753"/>
      <c r="F5" s="1753"/>
      <c r="G5" s="1754"/>
      <c r="H5" s="1748" t="s">
        <v>180</v>
      </c>
      <c r="I5" s="1748" t="s">
        <v>181</v>
      </c>
      <c r="J5" s="1748" t="s">
        <v>33</v>
      </c>
      <c r="K5" s="1748"/>
      <c r="L5" s="1748"/>
    </row>
    <row r="6" spans="1:12" ht="91.5" customHeight="1">
      <c r="A6" s="1749"/>
      <c r="B6" s="1749"/>
      <c r="C6" s="1751"/>
      <c r="D6" s="690" t="s">
        <v>1383</v>
      </c>
      <c r="E6" s="690" t="s">
        <v>182</v>
      </c>
      <c r="F6" s="690" t="s">
        <v>1968</v>
      </c>
      <c r="G6" s="690" t="s">
        <v>1969</v>
      </c>
      <c r="H6" s="1749"/>
      <c r="I6" s="1749"/>
      <c r="J6" s="689" t="s">
        <v>183</v>
      </c>
      <c r="K6" s="690" t="s">
        <v>184</v>
      </c>
      <c r="L6" s="690" t="s">
        <v>1387</v>
      </c>
    </row>
    <row r="7" spans="1:12" s="706" customFormat="1" ht="18.75" customHeight="1">
      <c r="A7" s="702" t="s">
        <v>2</v>
      </c>
      <c r="B7" s="702" t="s">
        <v>3</v>
      </c>
      <c r="C7" s="703">
        <v>1</v>
      </c>
      <c r="D7" s="702">
        <v>2</v>
      </c>
      <c r="E7" s="702">
        <v>3</v>
      </c>
      <c r="F7" s="702">
        <v>4</v>
      </c>
      <c r="G7" s="702">
        <v>5</v>
      </c>
      <c r="H7" s="702">
        <v>6</v>
      </c>
      <c r="I7" s="702" t="s">
        <v>1384</v>
      </c>
      <c r="J7" s="704">
        <v>8</v>
      </c>
      <c r="K7" s="702">
        <v>9</v>
      </c>
      <c r="L7" s="705">
        <v>10</v>
      </c>
    </row>
    <row r="8" spans="1:12" ht="25.5" customHeight="1">
      <c r="A8" s="707"/>
      <c r="B8" s="707" t="s">
        <v>27</v>
      </c>
      <c r="C8" s="691" t="e">
        <f t="shared" ref="C8:H8" si="0">C9+C43+C46+C52+C67+C70</f>
        <v>#REF!</v>
      </c>
      <c r="D8" s="691">
        <f t="shared" si="0"/>
        <v>69644.940892000013</v>
      </c>
      <c r="E8" s="691" t="e">
        <f t="shared" si="0"/>
        <v>#REF!</v>
      </c>
      <c r="F8" s="691">
        <f t="shared" si="0"/>
        <v>177272.8553</v>
      </c>
      <c r="G8" s="708">
        <f t="shared" si="0"/>
        <v>-10632.69</v>
      </c>
      <c r="H8" s="691">
        <f t="shared" si="0"/>
        <v>1139921.1690840002</v>
      </c>
      <c r="I8" s="691" t="e">
        <f>C8-H8</f>
        <v>#REF!</v>
      </c>
      <c r="J8" s="691">
        <f>J9+J43+J46+J52+J67+J70</f>
        <v>50661</v>
      </c>
      <c r="K8" s="691" t="e">
        <f>K9+K43+K46+K52+K67+K70</f>
        <v>#REF!</v>
      </c>
      <c r="L8" s="691">
        <f>L9+L43+L46+L52+L67+L70</f>
        <v>965</v>
      </c>
    </row>
    <row r="9" spans="1:12" ht="24" customHeight="1">
      <c r="A9" s="705" t="s">
        <v>11</v>
      </c>
      <c r="B9" s="705" t="s">
        <v>1329</v>
      </c>
      <c r="C9" s="709">
        <f>SUM(C10:C42)</f>
        <v>926971.60805700009</v>
      </c>
      <c r="D9" s="709">
        <f>SUM(D10:D42)</f>
        <v>51164.318057000004</v>
      </c>
      <c r="E9" s="709">
        <f t="shared" ref="E9:L9" si="1">SUM(E10:E42)</f>
        <v>733639</v>
      </c>
      <c r="F9" s="709">
        <f t="shared" si="1"/>
        <v>151871.67999999999</v>
      </c>
      <c r="G9" s="710">
        <f t="shared" si="1"/>
        <v>-9703.3900000000012</v>
      </c>
      <c r="H9" s="709">
        <f t="shared" si="1"/>
        <v>842525.74335400027</v>
      </c>
      <c r="I9" s="709">
        <f t="shared" si="1"/>
        <v>84445.864702999985</v>
      </c>
      <c r="J9" s="709">
        <f t="shared" si="1"/>
        <v>47736</v>
      </c>
      <c r="K9" s="709">
        <f t="shared" si="1"/>
        <v>35744.864702999985</v>
      </c>
      <c r="L9" s="709">
        <f t="shared" si="1"/>
        <v>965</v>
      </c>
    </row>
    <row r="10" spans="1:12" ht="21.95" customHeight="1">
      <c r="A10" s="711">
        <v>1</v>
      </c>
      <c r="B10" s="712" t="s">
        <v>1330</v>
      </c>
      <c r="C10" s="713">
        <f>SUM(D10:G10)</f>
        <v>9136.7000000000007</v>
      </c>
      <c r="D10" s="694"/>
      <c r="E10" s="713">
        <v>9058</v>
      </c>
      <c r="F10" s="694">
        <v>78.7</v>
      </c>
      <c r="G10" s="694"/>
      <c r="H10" s="713">
        <v>8695.7020549999997</v>
      </c>
      <c r="I10" s="694">
        <f>C10-H10</f>
        <v>440.99794500000098</v>
      </c>
      <c r="J10" s="713">
        <v>355</v>
      </c>
      <c r="K10" s="694">
        <f t="shared" ref="K10:K42" si="2">I10-J10-L10</f>
        <v>85.997945000000982</v>
      </c>
      <c r="L10" s="713"/>
    </row>
    <row r="11" spans="1:12" ht="21.95" customHeight="1">
      <c r="A11" s="375">
        <v>2</v>
      </c>
      <c r="B11" s="387" t="s">
        <v>1331</v>
      </c>
      <c r="C11" s="204">
        <f t="shared" ref="C11:C69" si="3">SUM(D11:G11)</f>
        <v>15226</v>
      </c>
      <c r="D11" s="204">
        <v>643</v>
      </c>
      <c r="E11" s="204">
        <f>13433+2026</f>
        <v>15459</v>
      </c>
      <c r="F11" s="692">
        <v>1071</v>
      </c>
      <c r="G11" s="692">
        <v>-1947</v>
      </c>
      <c r="H11" s="204">
        <v>14740.579061</v>
      </c>
      <c r="I11" s="692">
        <f t="shared" ref="I11:I69" si="4">C11-H11</f>
        <v>485.42093899999963</v>
      </c>
      <c r="J11" s="204">
        <v>152</v>
      </c>
      <c r="K11" s="692">
        <f t="shared" si="2"/>
        <v>333.42093899999963</v>
      </c>
      <c r="L11" s="204"/>
    </row>
    <row r="12" spans="1:12" ht="21.95" customHeight="1">
      <c r="A12" s="714">
        <v>3</v>
      </c>
      <c r="B12" s="715" t="s">
        <v>245</v>
      </c>
      <c r="C12" s="204">
        <f t="shared" si="3"/>
        <v>16010.5</v>
      </c>
      <c r="D12" s="204">
        <v>73</v>
      </c>
      <c r="E12" s="204">
        <v>11242</v>
      </c>
      <c r="F12" s="692">
        <v>4695.5</v>
      </c>
      <c r="G12" s="692"/>
      <c r="H12" s="204">
        <v>15820.944815999999</v>
      </c>
      <c r="I12" s="692">
        <f t="shared" si="4"/>
        <v>189.55518400000074</v>
      </c>
      <c r="J12" s="204">
        <v>91</v>
      </c>
      <c r="K12" s="692">
        <f>I12-J12-L12</f>
        <v>98.555184000000736</v>
      </c>
      <c r="L12" s="204"/>
    </row>
    <row r="13" spans="1:12" ht="21.95" customHeight="1">
      <c r="A13" s="375">
        <v>4</v>
      </c>
      <c r="B13" s="715" t="s">
        <v>788</v>
      </c>
      <c r="C13" s="204">
        <f t="shared" si="3"/>
        <v>5837.5</v>
      </c>
      <c r="D13" s="204">
        <v>268</v>
      </c>
      <c r="E13" s="204">
        <f>5750-250</f>
        <v>5500</v>
      </c>
      <c r="F13" s="692">
        <v>69.5</v>
      </c>
      <c r="G13" s="716"/>
      <c r="H13" s="204">
        <v>5774.0069999999996</v>
      </c>
      <c r="I13" s="692">
        <f t="shared" si="4"/>
        <v>63.493000000000393</v>
      </c>
      <c r="J13" s="204">
        <v>0</v>
      </c>
      <c r="K13" s="692">
        <f t="shared" si="2"/>
        <v>63.493000000000393</v>
      </c>
      <c r="L13" s="204"/>
    </row>
    <row r="14" spans="1:12" ht="21.95" customHeight="1">
      <c r="A14" s="714">
        <v>5</v>
      </c>
      <c r="B14" s="715" t="s">
        <v>1327</v>
      </c>
      <c r="C14" s="204">
        <f t="shared" si="3"/>
        <v>8617.6</v>
      </c>
      <c r="D14" s="204">
        <v>0</v>
      </c>
      <c r="E14" s="204">
        <v>7979</v>
      </c>
      <c r="F14" s="692">
        <v>638.6</v>
      </c>
      <c r="G14" s="692"/>
      <c r="H14" s="204">
        <v>8607.6</v>
      </c>
      <c r="I14" s="692">
        <f t="shared" si="4"/>
        <v>10</v>
      </c>
      <c r="J14" s="204">
        <v>0</v>
      </c>
      <c r="K14" s="692">
        <f t="shared" si="2"/>
        <v>0</v>
      </c>
      <c r="L14" s="204">
        <v>10</v>
      </c>
    </row>
    <row r="15" spans="1:12" ht="21.95" customHeight="1">
      <c r="A15" s="375">
        <v>6</v>
      </c>
      <c r="B15" s="715" t="s">
        <v>1332</v>
      </c>
      <c r="C15" s="204">
        <f t="shared" si="3"/>
        <v>11042.970000000001</v>
      </c>
      <c r="D15" s="204">
        <v>4</v>
      </c>
      <c r="E15" s="204">
        <f>9287+428</f>
        <v>9715</v>
      </c>
      <c r="F15" s="692">
        <v>1381.1</v>
      </c>
      <c r="G15" s="692">
        <v>-57.13</v>
      </c>
      <c r="H15" s="204">
        <v>10289.401145</v>
      </c>
      <c r="I15" s="692">
        <f t="shared" si="4"/>
        <v>753.56885500000135</v>
      </c>
      <c r="J15" s="204">
        <v>0</v>
      </c>
      <c r="K15" s="692">
        <f t="shared" si="2"/>
        <v>745.56885500000135</v>
      </c>
      <c r="L15" s="204">
        <v>8</v>
      </c>
    </row>
    <row r="16" spans="1:12" ht="21.95" customHeight="1">
      <c r="A16" s="714">
        <v>7</v>
      </c>
      <c r="B16" s="715" t="s">
        <v>750</v>
      </c>
      <c r="C16" s="204">
        <f t="shared" si="3"/>
        <v>46480</v>
      </c>
      <c r="D16" s="204">
        <v>148</v>
      </c>
      <c r="E16" s="204">
        <v>31920</v>
      </c>
      <c r="F16" s="692">
        <v>14412</v>
      </c>
      <c r="G16" s="692"/>
      <c r="H16" s="204">
        <v>45621.129772</v>
      </c>
      <c r="I16" s="692">
        <f t="shared" si="4"/>
        <v>858.87022799999977</v>
      </c>
      <c r="J16" s="204">
        <v>222</v>
      </c>
      <c r="K16" s="692">
        <f t="shared" si="2"/>
        <v>636.87022799999977</v>
      </c>
      <c r="L16" s="204"/>
    </row>
    <row r="17" spans="1:12" ht="21.95" customHeight="1">
      <c r="A17" s="375">
        <v>8</v>
      </c>
      <c r="B17" s="715" t="s">
        <v>453</v>
      </c>
      <c r="C17" s="204">
        <f t="shared" si="3"/>
        <v>7100</v>
      </c>
      <c r="D17" s="204">
        <v>843</v>
      </c>
      <c r="E17" s="204">
        <v>5784</v>
      </c>
      <c r="F17" s="692">
        <v>473</v>
      </c>
      <c r="G17" s="692"/>
      <c r="H17" s="204">
        <v>6955.7330000000002</v>
      </c>
      <c r="I17" s="692">
        <f t="shared" si="4"/>
        <v>144.26699999999983</v>
      </c>
      <c r="J17" s="204">
        <v>100</v>
      </c>
      <c r="K17" s="692">
        <f t="shared" si="2"/>
        <v>44.266999999999825</v>
      </c>
      <c r="L17" s="204"/>
    </row>
    <row r="18" spans="1:12" ht="21.95" customHeight="1">
      <c r="A18" s="714">
        <v>9</v>
      </c>
      <c r="B18" s="715" t="s">
        <v>1333</v>
      </c>
      <c r="C18" s="204">
        <f t="shared" si="3"/>
        <v>7723</v>
      </c>
      <c r="D18" s="204">
        <v>0</v>
      </c>
      <c r="E18" s="204">
        <v>7033</v>
      </c>
      <c r="F18" s="692">
        <v>690</v>
      </c>
      <c r="G18" s="716"/>
      <c r="H18" s="204">
        <v>7409.3312539999997</v>
      </c>
      <c r="I18" s="692">
        <f t="shared" si="4"/>
        <v>313.66874600000028</v>
      </c>
      <c r="J18" s="204">
        <v>14</v>
      </c>
      <c r="K18" s="692">
        <f t="shared" si="2"/>
        <v>299.66874600000028</v>
      </c>
      <c r="L18" s="204"/>
    </row>
    <row r="19" spans="1:12" ht="21.95" customHeight="1">
      <c r="A19" s="375">
        <v>10</v>
      </c>
      <c r="B19" s="715" t="s">
        <v>1334</v>
      </c>
      <c r="C19" s="204">
        <f t="shared" si="3"/>
        <v>32931.599999999999</v>
      </c>
      <c r="D19" s="204">
        <v>284</v>
      </c>
      <c r="E19" s="204">
        <f>24489+722+403</f>
        <v>25614</v>
      </c>
      <c r="F19" s="692">
        <v>7033.6</v>
      </c>
      <c r="G19" s="692">
        <v>0</v>
      </c>
      <c r="H19" s="204">
        <v>30735.891621999999</v>
      </c>
      <c r="I19" s="692">
        <f t="shared" si="4"/>
        <v>2195.7083779999994</v>
      </c>
      <c r="J19" s="204">
        <v>1547</v>
      </c>
      <c r="K19" s="692">
        <f t="shared" si="2"/>
        <v>648.70837799999936</v>
      </c>
      <c r="L19" s="204"/>
    </row>
    <row r="20" spans="1:12" s="717" customFormat="1" ht="21.95" customHeight="1">
      <c r="A20" s="714">
        <v>11</v>
      </c>
      <c r="B20" s="715" t="s">
        <v>1335</v>
      </c>
      <c r="C20" s="204">
        <f t="shared" si="3"/>
        <v>23691</v>
      </c>
      <c r="D20" s="204">
        <v>1876</v>
      </c>
      <c r="E20" s="204">
        <v>17000</v>
      </c>
      <c r="F20" s="692">
        <v>5369</v>
      </c>
      <c r="G20" s="692">
        <v>-554</v>
      </c>
      <c r="H20" s="204">
        <v>20287.286992000001</v>
      </c>
      <c r="I20" s="692">
        <f t="shared" si="4"/>
        <v>3403.7130079999988</v>
      </c>
      <c r="J20" s="204">
        <v>1659</v>
      </c>
      <c r="K20" s="692">
        <f t="shared" si="2"/>
        <v>1744.7130079999988</v>
      </c>
      <c r="L20" s="204"/>
    </row>
    <row r="21" spans="1:12" s="717" customFormat="1" ht="21.95" customHeight="1">
      <c r="A21" s="375">
        <v>12</v>
      </c>
      <c r="B21" s="715" t="s">
        <v>1336</v>
      </c>
      <c r="C21" s="204">
        <f t="shared" si="3"/>
        <v>20961</v>
      </c>
      <c r="D21" s="204">
        <v>6566</v>
      </c>
      <c r="E21" s="204">
        <v>11719</v>
      </c>
      <c r="F21" s="692">
        <v>2676</v>
      </c>
      <c r="G21" s="692"/>
      <c r="H21" s="204">
        <v>13007.710732</v>
      </c>
      <c r="I21" s="692">
        <f t="shared" si="4"/>
        <v>7953.2892680000004</v>
      </c>
      <c r="J21" s="204">
        <v>7537</v>
      </c>
      <c r="K21" s="692">
        <f t="shared" si="2"/>
        <v>165.28926800000045</v>
      </c>
      <c r="L21" s="204">
        <v>251</v>
      </c>
    </row>
    <row r="22" spans="1:12" s="717" customFormat="1" ht="21.95" customHeight="1">
      <c r="A22" s="714">
        <v>13</v>
      </c>
      <c r="B22" s="715" t="s">
        <v>1337</v>
      </c>
      <c r="C22" s="204">
        <f t="shared" si="3"/>
        <v>100268.70000000001</v>
      </c>
      <c r="D22" s="204">
        <v>8670</v>
      </c>
      <c r="E22" s="204">
        <v>76908</v>
      </c>
      <c r="F22" s="692">
        <v>18596.599999999999</v>
      </c>
      <c r="G22" s="692">
        <v>-3905.9</v>
      </c>
      <c r="H22" s="204">
        <f>85489.709371+96.40506</f>
        <v>85586.114431000009</v>
      </c>
      <c r="I22" s="692">
        <f t="shared" si="4"/>
        <v>14682.585569000003</v>
      </c>
      <c r="J22" s="204">
        <v>9516</v>
      </c>
      <c r="K22" s="692">
        <f t="shared" si="2"/>
        <v>5166.5855690000026</v>
      </c>
      <c r="L22" s="204"/>
    </row>
    <row r="23" spans="1:12" s="717" customFormat="1" ht="21.95" customHeight="1">
      <c r="A23" s="375">
        <v>14</v>
      </c>
      <c r="B23" s="715" t="s">
        <v>1338</v>
      </c>
      <c r="C23" s="204">
        <f t="shared" si="3"/>
        <v>62657</v>
      </c>
      <c r="D23" s="204">
        <v>11234</v>
      </c>
      <c r="E23" s="204">
        <v>36955</v>
      </c>
      <c r="F23" s="692">
        <v>14718</v>
      </c>
      <c r="G23" s="692">
        <v>-250</v>
      </c>
      <c r="H23" s="204">
        <v>59030.800219999997</v>
      </c>
      <c r="I23" s="692">
        <f t="shared" si="4"/>
        <v>3626.1997800000026</v>
      </c>
      <c r="J23" s="204">
        <v>0</v>
      </c>
      <c r="K23" s="692">
        <f t="shared" si="2"/>
        <v>3626.1997800000026</v>
      </c>
      <c r="L23" s="204"/>
    </row>
    <row r="24" spans="1:12" s="717" customFormat="1" ht="21.95" customHeight="1">
      <c r="A24" s="714">
        <v>15</v>
      </c>
      <c r="B24" s="715" t="s">
        <v>1295</v>
      </c>
      <c r="C24" s="204">
        <f t="shared" si="3"/>
        <v>219173.03999999998</v>
      </c>
      <c r="D24" s="204">
        <v>2340</v>
      </c>
      <c r="E24" s="204">
        <v>199695</v>
      </c>
      <c r="F24" s="204">
        <v>17259.8</v>
      </c>
      <c r="G24" s="204">
        <v>-121.76</v>
      </c>
      <c r="H24" s="204">
        <f>194278.841923+1105.19985</f>
        <v>195384.041773</v>
      </c>
      <c r="I24" s="692">
        <f t="shared" si="4"/>
        <v>23788.998226999975</v>
      </c>
      <c r="J24" s="204">
        <v>12335</v>
      </c>
      <c r="K24" s="692">
        <f t="shared" si="2"/>
        <v>11453.998226999975</v>
      </c>
      <c r="L24" s="204"/>
    </row>
    <row r="25" spans="1:12" ht="21.95" customHeight="1">
      <c r="A25" s="375">
        <v>16</v>
      </c>
      <c r="B25" s="715" t="s">
        <v>1339</v>
      </c>
      <c r="C25" s="204">
        <f t="shared" si="3"/>
        <v>203715</v>
      </c>
      <c r="D25" s="204">
        <v>9563</v>
      </c>
      <c r="E25" s="204">
        <v>181443</v>
      </c>
      <c r="F25" s="692">
        <v>14109</v>
      </c>
      <c r="G25" s="692">
        <v>-1400</v>
      </c>
      <c r="H25" s="204">
        <f>194460.359488+375.804</f>
        <v>194836.16348799999</v>
      </c>
      <c r="I25" s="692">
        <f t="shared" si="4"/>
        <v>8878.836512000009</v>
      </c>
      <c r="J25" s="204">
        <v>3290</v>
      </c>
      <c r="K25" s="692">
        <f t="shared" si="2"/>
        <v>5587.836512000009</v>
      </c>
      <c r="L25" s="204">
        <v>1</v>
      </c>
    </row>
    <row r="26" spans="1:12" ht="21.95" customHeight="1">
      <c r="A26" s="714">
        <v>17</v>
      </c>
      <c r="B26" s="715" t="s">
        <v>1039</v>
      </c>
      <c r="C26" s="204">
        <f t="shared" si="3"/>
        <v>12222</v>
      </c>
      <c r="D26" s="204">
        <v>1319</v>
      </c>
      <c r="E26" s="204">
        <v>8644</v>
      </c>
      <c r="F26" s="692">
        <v>2484</v>
      </c>
      <c r="G26" s="692">
        <v>-225</v>
      </c>
      <c r="H26" s="204">
        <v>10970.008578999999</v>
      </c>
      <c r="I26" s="692">
        <f t="shared" si="4"/>
        <v>1251.9914210000006</v>
      </c>
      <c r="J26" s="204">
        <v>415</v>
      </c>
      <c r="K26" s="692">
        <f t="shared" si="2"/>
        <v>141.99142100000063</v>
      </c>
      <c r="L26" s="204">
        <v>695</v>
      </c>
    </row>
    <row r="27" spans="1:12" ht="21.95" customHeight="1">
      <c r="A27" s="375">
        <v>18</v>
      </c>
      <c r="B27" s="715" t="s">
        <v>1340</v>
      </c>
      <c r="C27" s="204">
        <f t="shared" si="3"/>
        <v>5888</v>
      </c>
      <c r="D27" s="204">
        <v>0</v>
      </c>
      <c r="E27" s="204">
        <v>4426</v>
      </c>
      <c r="F27" s="692">
        <v>1621</v>
      </c>
      <c r="G27" s="692">
        <v>-159</v>
      </c>
      <c r="H27" s="204">
        <v>5888</v>
      </c>
      <c r="I27" s="692">
        <f t="shared" si="4"/>
        <v>0</v>
      </c>
      <c r="J27" s="204">
        <v>0</v>
      </c>
      <c r="K27" s="692">
        <f t="shared" si="2"/>
        <v>0</v>
      </c>
      <c r="L27" s="204"/>
    </row>
    <row r="28" spans="1:12" ht="21.95" customHeight="1">
      <c r="A28" s="714">
        <v>19</v>
      </c>
      <c r="B28" s="715" t="s">
        <v>1341</v>
      </c>
      <c r="C28" s="204">
        <f t="shared" si="3"/>
        <v>8379</v>
      </c>
      <c r="D28" s="204">
        <v>192</v>
      </c>
      <c r="E28" s="204">
        <v>8038</v>
      </c>
      <c r="F28" s="692">
        <v>149</v>
      </c>
      <c r="G28" s="204"/>
      <c r="H28" s="204">
        <v>8282.9308079999992</v>
      </c>
      <c r="I28" s="692">
        <f t="shared" si="4"/>
        <v>96.069192000000839</v>
      </c>
      <c r="J28" s="204">
        <v>96</v>
      </c>
      <c r="K28" s="692">
        <f t="shared" si="2"/>
        <v>6.9192000000839471E-2</v>
      </c>
      <c r="L28" s="204"/>
    </row>
    <row r="29" spans="1:12" ht="21.95" customHeight="1">
      <c r="A29" s="375">
        <v>20</v>
      </c>
      <c r="B29" s="715" t="s">
        <v>1023</v>
      </c>
      <c r="C29" s="204">
        <f t="shared" si="3"/>
        <v>16621.400000000001</v>
      </c>
      <c r="D29" s="204">
        <v>0</v>
      </c>
      <c r="E29" s="204">
        <v>16556</v>
      </c>
      <c r="F29" s="692">
        <v>65.400000000000006</v>
      </c>
      <c r="G29" s="204"/>
      <c r="H29" s="204">
        <v>16621.400000000001</v>
      </c>
      <c r="I29" s="692">
        <f t="shared" si="4"/>
        <v>0</v>
      </c>
      <c r="J29" s="204">
        <v>0</v>
      </c>
      <c r="K29" s="692">
        <f t="shared" si="2"/>
        <v>0</v>
      </c>
      <c r="L29" s="204"/>
    </row>
    <row r="30" spans="1:12" ht="21.95" customHeight="1">
      <c r="A30" s="714">
        <v>21</v>
      </c>
      <c r="B30" s="715" t="s">
        <v>1342</v>
      </c>
      <c r="C30" s="204">
        <f t="shared" si="3"/>
        <v>18360.5</v>
      </c>
      <c r="D30" s="204">
        <v>1717</v>
      </c>
      <c r="E30" s="204">
        <v>13462</v>
      </c>
      <c r="F30" s="692">
        <v>4066.4</v>
      </c>
      <c r="G30" s="692">
        <v>-884.9</v>
      </c>
      <c r="H30" s="204">
        <v>18350</v>
      </c>
      <c r="I30" s="692">
        <f t="shared" si="4"/>
        <v>10.5</v>
      </c>
      <c r="J30" s="204">
        <v>0</v>
      </c>
      <c r="K30" s="692">
        <f t="shared" si="2"/>
        <v>10.5</v>
      </c>
      <c r="L30" s="204"/>
    </row>
    <row r="31" spans="1:12" ht="21.95" customHeight="1">
      <c r="A31" s="375">
        <v>22</v>
      </c>
      <c r="B31" s="715" t="s">
        <v>1343</v>
      </c>
      <c r="C31" s="204">
        <f t="shared" si="3"/>
        <v>14345</v>
      </c>
      <c r="D31" s="204">
        <v>531</v>
      </c>
      <c r="E31" s="204">
        <f>12447+83</f>
        <v>12530</v>
      </c>
      <c r="F31" s="692">
        <v>1307</v>
      </c>
      <c r="G31" s="692">
        <v>-23</v>
      </c>
      <c r="H31" s="204">
        <v>13487.089298999999</v>
      </c>
      <c r="I31" s="692">
        <f t="shared" si="4"/>
        <v>857.9107010000007</v>
      </c>
      <c r="J31" s="204">
        <v>681</v>
      </c>
      <c r="K31" s="692">
        <f t="shared" si="2"/>
        <v>176.9107010000007</v>
      </c>
      <c r="L31" s="204"/>
    </row>
    <row r="32" spans="1:12" ht="21.95" customHeight="1">
      <c r="A32" s="714">
        <v>23</v>
      </c>
      <c r="B32" s="715" t="s">
        <v>1344</v>
      </c>
      <c r="C32" s="204">
        <f t="shared" si="3"/>
        <v>6311</v>
      </c>
      <c r="D32" s="204">
        <v>68</v>
      </c>
      <c r="E32" s="204">
        <v>3941</v>
      </c>
      <c r="F32" s="692">
        <v>2302</v>
      </c>
      <c r="G32" s="204"/>
      <c r="H32" s="204">
        <v>5587.2936300000001</v>
      </c>
      <c r="I32" s="692">
        <f t="shared" si="4"/>
        <v>723.70636999999988</v>
      </c>
      <c r="J32" s="204">
        <v>0</v>
      </c>
      <c r="K32" s="692">
        <f t="shared" si="2"/>
        <v>723.70636999999988</v>
      </c>
      <c r="L32" s="204"/>
    </row>
    <row r="33" spans="1:12" ht="33" customHeight="1">
      <c r="A33" s="375">
        <v>24</v>
      </c>
      <c r="B33" s="718" t="s">
        <v>1345</v>
      </c>
      <c r="C33" s="204">
        <f>SUM(D33:G33)</f>
        <v>2650.5</v>
      </c>
      <c r="D33" s="204">
        <v>0</v>
      </c>
      <c r="E33" s="204">
        <v>2602</v>
      </c>
      <c r="F33" s="204">
        <v>48.5</v>
      </c>
      <c r="G33" s="204"/>
      <c r="H33" s="204">
        <v>2650.5</v>
      </c>
      <c r="I33" s="692">
        <f t="shared" si="4"/>
        <v>0</v>
      </c>
      <c r="J33" s="204">
        <v>0</v>
      </c>
      <c r="K33" s="692">
        <f t="shared" si="2"/>
        <v>0</v>
      </c>
      <c r="L33" s="204"/>
    </row>
    <row r="34" spans="1:12" ht="21.95" customHeight="1">
      <c r="A34" s="375">
        <v>26</v>
      </c>
      <c r="B34" s="718" t="s">
        <v>1346</v>
      </c>
      <c r="C34" s="204">
        <f t="shared" si="3"/>
        <v>1399.58</v>
      </c>
      <c r="D34" s="204">
        <v>0</v>
      </c>
      <c r="E34" s="204">
        <v>1393</v>
      </c>
      <c r="F34" s="692">
        <v>6.58</v>
      </c>
      <c r="G34" s="204"/>
      <c r="H34" s="204">
        <v>1399.58</v>
      </c>
      <c r="I34" s="692">
        <f t="shared" si="4"/>
        <v>0</v>
      </c>
      <c r="J34" s="204">
        <v>0</v>
      </c>
      <c r="K34" s="692">
        <f t="shared" si="2"/>
        <v>0</v>
      </c>
      <c r="L34" s="204"/>
    </row>
    <row r="35" spans="1:12" ht="21.95" customHeight="1">
      <c r="A35" s="714">
        <v>27</v>
      </c>
      <c r="B35" s="718" t="s">
        <v>1347</v>
      </c>
      <c r="C35" s="204">
        <f t="shared" si="3"/>
        <v>250</v>
      </c>
      <c r="D35" s="204">
        <v>0</v>
      </c>
      <c r="E35" s="204">
        <v>250</v>
      </c>
      <c r="F35" s="204"/>
      <c r="G35" s="204"/>
      <c r="H35" s="204">
        <v>250</v>
      </c>
      <c r="I35" s="692">
        <f t="shared" si="4"/>
        <v>0</v>
      </c>
      <c r="J35" s="204">
        <v>0</v>
      </c>
      <c r="K35" s="692">
        <f t="shared" si="2"/>
        <v>0</v>
      </c>
      <c r="L35" s="204"/>
    </row>
    <row r="36" spans="1:12" ht="21.95" customHeight="1">
      <c r="A36" s="375">
        <v>28</v>
      </c>
      <c r="B36" s="718" t="s">
        <v>1348</v>
      </c>
      <c r="C36" s="204">
        <f t="shared" si="3"/>
        <v>483.3</v>
      </c>
      <c r="D36" s="204">
        <v>0</v>
      </c>
      <c r="E36" s="204">
        <v>603</v>
      </c>
      <c r="F36" s="204"/>
      <c r="G36" s="204">
        <v>-119.7</v>
      </c>
      <c r="H36" s="204">
        <v>483</v>
      </c>
      <c r="I36" s="692">
        <f t="shared" si="4"/>
        <v>0.30000000000001137</v>
      </c>
      <c r="J36" s="204">
        <v>0</v>
      </c>
      <c r="K36" s="692">
        <f t="shared" si="2"/>
        <v>0.30000000000001137</v>
      </c>
      <c r="L36" s="204"/>
    </row>
    <row r="37" spans="1:12" ht="21.95" customHeight="1">
      <c r="A37" s="714">
        <v>29</v>
      </c>
      <c r="B37" s="718" t="s">
        <v>1349</v>
      </c>
      <c r="C37" s="204">
        <f t="shared" si="3"/>
        <v>262</v>
      </c>
      <c r="D37" s="204">
        <v>0</v>
      </c>
      <c r="E37" s="204">
        <v>293</v>
      </c>
      <c r="F37" s="204"/>
      <c r="G37" s="204">
        <v>-31</v>
      </c>
      <c r="H37" s="204">
        <v>262</v>
      </c>
      <c r="I37" s="692">
        <f t="shared" si="4"/>
        <v>0</v>
      </c>
      <c r="J37" s="204">
        <v>0</v>
      </c>
      <c r="K37" s="692">
        <f t="shared" si="2"/>
        <v>0</v>
      </c>
      <c r="L37" s="204"/>
    </row>
    <row r="38" spans="1:12" ht="33.75" customHeight="1">
      <c r="A38" s="375">
        <v>30</v>
      </c>
      <c r="B38" s="719" t="s">
        <v>1350</v>
      </c>
      <c r="C38" s="204">
        <f t="shared" si="3"/>
        <v>176</v>
      </c>
      <c r="D38" s="204">
        <v>0</v>
      </c>
      <c r="E38" s="204"/>
      <c r="F38" s="204">
        <v>176</v>
      </c>
      <c r="G38" s="204"/>
      <c r="H38" s="204">
        <v>176</v>
      </c>
      <c r="I38" s="692">
        <f t="shared" si="4"/>
        <v>0</v>
      </c>
      <c r="J38" s="204">
        <v>0</v>
      </c>
      <c r="K38" s="692">
        <f t="shared" si="2"/>
        <v>0</v>
      </c>
      <c r="L38" s="204"/>
    </row>
    <row r="39" spans="1:12" ht="32.25" customHeight="1">
      <c r="A39" s="714">
        <v>31</v>
      </c>
      <c r="B39" s="203" t="s">
        <v>1351</v>
      </c>
      <c r="C39" s="204">
        <f t="shared" si="3"/>
        <v>19282.572458999999</v>
      </c>
      <c r="D39" s="204">
        <v>2067.1724589999999</v>
      </c>
      <c r="E39" s="204">
        <v>7877</v>
      </c>
      <c r="F39" s="692">
        <v>9338.4</v>
      </c>
      <c r="G39" s="204"/>
      <c r="H39" s="204">
        <f>13030.827106</f>
        <v>13030.827106000001</v>
      </c>
      <c r="I39" s="692">
        <f t="shared" si="4"/>
        <v>6251.7453529999984</v>
      </c>
      <c r="J39" s="204">
        <v>6046</v>
      </c>
      <c r="K39" s="692">
        <f t="shared" si="2"/>
        <v>205.74535299999843</v>
      </c>
      <c r="L39" s="204"/>
    </row>
    <row r="40" spans="1:12" ht="21.95" customHeight="1">
      <c r="A40" s="375">
        <v>32</v>
      </c>
      <c r="B40" s="718" t="s">
        <v>1352</v>
      </c>
      <c r="C40" s="204">
        <f t="shared" si="3"/>
        <v>6139</v>
      </c>
      <c r="D40" s="204">
        <v>0</v>
      </c>
      <c r="E40" s="204"/>
      <c r="F40" s="204">
        <v>6164</v>
      </c>
      <c r="G40" s="204">
        <v>-25</v>
      </c>
      <c r="H40" s="204">
        <v>3419.658351</v>
      </c>
      <c r="I40" s="692">
        <f t="shared" si="4"/>
        <v>2719.341649</v>
      </c>
      <c r="J40" s="204">
        <v>0</v>
      </c>
      <c r="K40" s="692">
        <f t="shared" si="2"/>
        <v>2719.341649</v>
      </c>
      <c r="L40" s="204"/>
    </row>
    <row r="41" spans="1:12" ht="37.5" customHeight="1">
      <c r="A41" s="714">
        <v>33</v>
      </c>
      <c r="B41" s="718" t="s">
        <v>1353</v>
      </c>
      <c r="C41" s="204">
        <f t="shared" si="3"/>
        <v>15245</v>
      </c>
      <c r="D41" s="204">
        <v>0</v>
      </c>
      <c r="E41" s="204"/>
      <c r="F41" s="204">
        <v>15245</v>
      </c>
      <c r="G41" s="204"/>
      <c r="H41" s="204">
        <v>14979.201647</v>
      </c>
      <c r="I41" s="692">
        <f t="shared" si="4"/>
        <v>265.79835300000013</v>
      </c>
      <c r="J41" s="204">
        <v>0</v>
      </c>
      <c r="K41" s="692">
        <f t="shared" si="2"/>
        <v>265.79835300000013</v>
      </c>
      <c r="L41" s="204"/>
    </row>
    <row r="42" spans="1:12" ht="37.5" customHeight="1">
      <c r="A42" s="720">
        <v>34</v>
      </c>
      <c r="B42" s="721" t="s">
        <v>1354</v>
      </c>
      <c r="C42" s="722">
        <f t="shared" si="3"/>
        <v>8385.1455979999992</v>
      </c>
      <c r="D42" s="722">
        <v>2758.1455980000001</v>
      </c>
      <c r="E42" s="722"/>
      <c r="F42" s="722">
        <v>5627</v>
      </c>
      <c r="G42" s="722"/>
      <c r="H42" s="722">
        <v>3905.8165730000001</v>
      </c>
      <c r="I42" s="693">
        <f t="shared" si="4"/>
        <v>4479.3290249999991</v>
      </c>
      <c r="J42" s="722">
        <v>3680</v>
      </c>
      <c r="K42" s="693">
        <f t="shared" si="2"/>
        <v>799.32902499999909</v>
      </c>
      <c r="L42" s="722"/>
    </row>
    <row r="43" spans="1:12" ht="21.95" customHeight="1">
      <c r="A43" s="723" t="s">
        <v>7</v>
      </c>
      <c r="B43" s="724" t="s">
        <v>1355</v>
      </c>
      <c r="C43" s="725">
        <f>C44+C45</f>
        <v>71718.044945000001</v>
      </c>
      <c r="D43" s="725">
        <f>D44+D45</f>
        <v>3459.604945</v>
      </c>
      <c r="E43" s="725">
        <f>E44+E45</f>
        <v>60754</v>
      </c>
      <c r="F43" s="725">
        <f t="shared" ref="F43:L43" si="5">F44+F45</f>
        <v>7562.34</v>
      </c>
      <c r="G43" s="725">
        <f t="shared" si="5"/>
        <v>-57.9</v>
      </c>
      <c r="H43" s="725">
        <f t="shared" si="5"/>
        <v>66768.886461000002</v>
      </c>
      <c r="I43" s="725">
        <f t="shared" si="5"/>
        <v>4949.1584840000069</v>
      </c>
      <c r="J43" s="725">
        <f t="shared" si="5"/>
        <v>0</v>
      </c>
      <c r="K43" s="725">
        <f t="shared" si="5"/>
        <v>4949.1584840000069</v>
      </c>
      <c r="L43" s="726">
        <f t="shared" si="5"/>
        <v>0</v>
      </c>
    </row>
    <row r="44" spans="1:12" ht="21.95" customHeight="1">
      <c r="A44" s="711">
        <v>1</v>
      </c>
      <c r="B44" s="712" t="s">
        <v>1356</v>
      </c>
      <c r="C44" s="713">
        <f t="shared" si="3"/>
        <v>60479.702000000005</v>
      </c>
      <c r="D44" s="713">
        <v>87.111999999999995</v>
      </c>
      <c r="E44" s="713">
        <v>55001</v>
      </c>
      <c r="F44" s="713">
        <v>5391.59</v>
      </c>
      <c r="G44" s="713"/>
      <c r="H44" s="713">
        <v>60270.49</v>
      </c>
      <c r="I44" s="694">
        <f t="shared" si="4"/>
        <v>209.21200000000681</v>
      </c>
      <c r="J44" s="713">
        <f>'[5]Doichieu KP toan tinh 17'!AC42</f>
        <v>0</v>
      </c>
      <c r="K44" s="694">
        <f>I44-J44-L44</f>
        <v>209.21200000000681</v>
      </c>
      <c r="L44" s="713"/>
    </row>
    <row r="45" spans="1:12" ht="21.95" customHeight="1">
      <c r="A45" s="727">
        <v>2</v>
      </c>
      <c r="B45" s="728" t="s">
        <v>1357</v>
      </c>
      <c r="C45" s="722">
        <f t="shared" si="3"/>
        <v>11238.342945</v>
      </c>
      <c r="D45" s="722">
        <v>3372.492945</v>
      </c>
      <c r="E45" s="722">
        <v>5753</v>
      </c>
      <c r="F45" s="722">
        <v>2170.75</v>
      </c>
      <c r="G45" s="722">
        <v>-57.9</v>
      </c>
      <c r="H45" s="722">
        <v>6498.3964610000003</v>
      </c>
      <c r="I45" s="693">
        <f t="shared" si="4"/>
        <v>4739.9464840000001</v>
      </c>
      <c r="J45" s="722">
        <f>'[5]Doichieu KP toan tinh 17'!AC43</f>
        <v>0</v>
      </c>
      <c r="K45" s="693">
        <f>I45-J45-L45</f>
        <v>4739.9464840000001</v>
      </c>
      <c r="L45" s="722"/>
    </row>
    <row r="46" spans="1:12" ht="21.95" customHeight="1">
      <c r="A46" s="723" t="s">
        <v>8</v>
      </c>
      <c r="B46" s="729" t="s">
        <v>1358</v>
      </c>
      <c r="C46" s="725">
        <f t="shared" si="3"/>
        <v>19184.517889999999</v>
      </c>
      <c r="D46" s="725">
        <f>SUM(D47:D51)</f>
        <v>204.01788999999999</v>
      </c>
      <c r="E46" s="725">
        <f>SUM(E47:E51)</f>
        <v>18603</v>
      </c>
      <c r="F46" s="725">
        <f t="shared" ref="F46:L46" si="6">SUM(F47:F51)</f>
        <v>555.9</v>
      </c>
      <c r="G46" s="725">
        <f t="shared" si="6"/>
        <v>-178.4</v>
      </c>
      <c r="H46" s="725">
        <f t="shared" si="6"/>
        <v>18980.371599999999</v>
      </c>
      <c r="I46" s="725">
        <f t="shared" si="6"/>
        <v>204.14628999999968</v>
      </c>
      <c r="J46" s="725">
        <f t="shared" si="6"/>
        <v>4</v>
      </c>
      <c r="K46" s="725">
        <f t="shared" si="6"/>
        <v>200.14628999999968</v>
      </c>
      <c r="L46" s="726">
        <f t="shared" si="6"/>
        <v>0</v>
      </c>
    </row>
    <row r="47" spans="1:12" ht="21.95" customHeight="1">
      <c r="A47" s="711">
        <v>1</v>
      </c>
      <c r="B47" s="712" t="s">
        <v>1359</v>
      </c>
      <c r="C47" s="713">
        <f t="shared" si="3"/>
        <v>4784</v>
      </c>
      <c r="D47" s="713">
        <v>200</v>
      </c>
      <c r="E47" s="713">
        <f>4184-80+468</f>
        <v>4572</v>
      </c>
      <c r="F47" s="713">
        <v>12</v>
      </c>
      <c r="G47" s="713"/>
      <c r="H47" s="713">
        <v>4584</v>
      </c>
      <c r="I47" s="694">
        <f t="shared" si="4"/>
        <v>200</v>
      </c>
      <c r="J47" s="713">
        <v>0</v>
      </c>
      <c r="K47" s="694">
        <f>I47-J47-L47</f>
        <v>200</v>
      </c>
      <c r="L47" s="713"/>
    </row>
    <row r="48" spans="1:12" ht="21.95" customHeight="1">
      <c r="A48" s="714">
        <v>2</v>
      </c>
      <c r="B48" s="715" t="s">
        <v>1360</v>
      </c>
      <c r="C48" s="204">
        <f t="shared" si="3"/>
        <v>3718.5</v>
      </c>
      <c r="D48" s="204"/>
      <c r="E48" s="204">
        <f>3453+243</f>
        <v>3696</v>
      </c>
      <c r="F48" s="204">
        <v>66.400000000000006</v>
      </c>
      <c r="G48" s="204">
        <v>-43.9</v>
      </c>
      <c r="H48" s="204">
        <v>3718.5</v>
      </c>
      <c r="I48" s="692">
        <f t="shared" si="4"/>
        <v>0</v>
      </c>
      <c r="J48" s="204">
        <v>0</v>
      </c>
      <c r="K48" s="692">
        <f>I48-J48-L48</f>
        <v>0</v>
      </c>
      <c r="L48" s="204"/>
    </row>
    <row r="49" spans="1:12" ht="21.95" customHeight="1">
      <c r="A49" s="714">
        <v>3</v>
      </c>
      <c r="B49" s="715" t="s">
        <v>1361</v>
      </c>
      <c r="C49" s="204">
        <f t="shared" si="3"/>
        <v>4105.5178900000001</v>
      </c>
      <c r="D49" s="204">
        <v>4.0178900000000004</v>
      </c>
      <c r="E49" s="204">
        <v>3787</v>
      </c>
      <c r="F49" s="204">
        <v>361</v>
      </c>
      <c r="G49" s="204">
        <v>-46.5</v>
      </c>
      <c r="H49" s="204">
        <v>4101.3630400000002</v>
      </c>
      <c r="I49" s="692">
        <f t="shared" si="4"/>
        <v>4.1548499999998967</v>
      </c>
      <c r="J49" s="204">
        <v>4</v>
      </c>
      <c r="K49" s="692">
        <f>I49-J49-L49</f>
        <v>0.15484999999989668</v>
      </c>
      <c r="L49" s="204"/>
    </row>
    <row r="50" spans="1:12" ht="21.95" customHeight="1">
      <c r="A50" s="714">
        <v>4</v>
      </c>
      <c r="B50" s="715" t="s">
        <v>1362</v>
      </c>
      <c r="C50" s="204">
        <f>SUM(D50:G50)</f>
        <v>4364</v>
      </c>
      <c r="D50" s="204"/>
      <c r="E50" s="204">
        <f>4384-50</f>
        <v>4334</v>
      </c>
      <c r="F50" s="204">
        <v>68</v>
      </c>
      <c r="G50" s="204">
        <v>-38</v>
      </c>
      <c r="H50" s="204">
        <f>3864+500</f>
        <v>4364</v>
      </c>
      <c r="I50" s="692">
        <f t="shared" si="4"/>
        <v>0</v>
      </c>
      <c r="J50" s="204">
        <v>0</v>
      </c>
      <c r="K50" s="692"/>
      <c r="L50" s="204"/>
    </row>
    <row r="51" spans="1:12" ht="21.95" customHeight="1">
      <c r="A51" s="727">
        <v>5</v>
      </c>
      <c r="B51" s="728" t="s">
        <v>1363</v>
      </c>
      <c r="C51" s="722">
        <f t="shared" si="3"/>
        <v>2212.5</v>
      </c>
      <c r="D51" s="722"/>
      <c r="E51" s="722">
        <v>2214</v>
      </c>
      <c r="F51" s="722">
        <v>48.5</v>
      </c>
      <c r="G51" s="722">
        <v>-50</v>
      </c>
      <c r="H51" s="722">
        <v>2212.5085600000002</v>
      </c>
      <c r="I51" s="693">
        <f t="shared" si="4"/>
        <v>-8.5600000002159504E-3</v>
      </c>
      <c r="J51" s="722">
        <v>0</v>
      </c>
      <c r="K51" s="693">
        <f>I51-J51-L51</f>
        <v>-8.5600000002159504E-3</v>
      </c>
      <c r="L51" s="722"/>
    </row>
    <row r="52" spans="1:12" ht="39" customHeight="1">
      <c r="A52" s="723" t="s">
        <v>9</v>
      </c>
      <c r="B52" s="730" t="s">
        <v>1364</v>
      </c>
      <c r="C52" s="725">
        <f>SUM(C53:C66)</f>
        <v>11220.130000000001</v>
      </c>
      <c r="D52" s="725">
        <f>SUM(D53:D66)</f>
        <v>490</v>
      </c>
      <c r="E52" s="725">
        <f>SUM(E53:E66)</f>
        <v>9158</v>
      </c>
      <c r="F52" s="725">
        <f t="shared" ref="F52:K52" si="7">SUM(F53:F66)</f>
        <v>1572.1299999999999</v>
      </c>
      <c r="G52" s="725">
        <f t="shared" si="7"/>
        <v>0</v>
      </c>
      <c r="H52" s="725">
        <f t="shared" si="7"/>
        <v>11080.499919</v>
      </c>
      <c r="I52" s="725">
        <f t="shared" si="7"/>
        <v>139.63008099999968</v>
      </c>
      <c r="J52" s="725">
        <f t="shared" si="7"/>
        <v>121</v>
      </c>
      <c r="K52" s="725">
        <f t="shared" si="7"/>
        <v>18.630080999999677</v>
      </c>
      <c r="L52" s="726">
        <v>0</v>
      </c>
    </row>
    <row r="53" spans="1:12" ht="21.95" customHeight="1">
      <c r="A53" s="731">
        <v>1</v>
      </c>
      <c r="B53" s="732" t="s">
        <v>1365</v>
      </c>
      <c r="C53" s="713">
        <f t="shared" si="3"/>
        <v>1178.57</v>
      </c>
      <c r="D53" s="713"/>
      <c r="E53" s="713">
        <v>1121</v>
      </c>
      <c r="F53" s="713">
        <v>57.57</v>
      </c>
      <c r="G53" s="713"/>
      <c r="H53" s="713">
        <v>1178.57</v>
      </c>
      <c r="I53" s="694">
        <f t="shared" si="4"/>
        <v>0</v>
      </c>
      <c r="J53" s="713">
        <v>0</v>
      </c>
      <c r="K53" s="694">
        <f t="shared" ref="K53:K66" si="8">I53-J53-L53</f>
        <v>0</v>
      </c>
      <c r="L53" s="713"/>
    </row>
    <row r="54" spans="1:12" ht="21.95" customHeight="1">
      <c r="A54" s="714">
        <v>2</v>
      </c>
      <c r="B54" s="715" t="s">
        <v>1366</v>
      </c>
      <c r="C54" s="204">
        <f t="shared" si="3"/>
        <v>683.3</v>
      </c>
      <c r="D54" s="204"/>
      <c r="E54" s="204">
        <v>608</v>
      </c>
      <c r="F54" s="204">
        <v>75.3</v>
      </c>
      <c r="G54" s="204"/>
      <c r="H54" s="204">
        <v>683.32</v>
      </c>
      <c r="I54" s="692">
        <f t="shared" si="4"/>
        <v>-2.0000000000095497E-2</v>
      </c>
      <c r="J54" s="204">
        <v>0</v>
      </c>
      <c r="K54" s="692">
        <f t="shared" si="8"/>
        <v>-2.0000000000095497E-2</v>
      </c>
      <c r="L54" s="204"/>
    </row>
    <row r="55" spans="1:12" ht="21.95" customHeight="1">
      <c r="A55" s="714">
        <v>3</v>
      </c>
      <c r="B55" s="715" t="s">
        <v>1522</v>
      </c>
      <c r="C55" s="204">
        <f t="shared" si="3"/>
        <v>3320</v>
      </c>
      <c r="D55" s="204">
        <v>490</v>
      </c>
      <c r="E55" s="204">
        <v>2318</v>
      </c>
      <c r="F55" s="204">
        <v>512</v>
      </c>
      <c r="G55" s="204"/>
      <c r="H55" s="204">
        <f>2320.2584+1000</f>
        <v>3320.2584000000002</v>
      </c>
      <c r="I55" s="692">
        <f t="shared" si="4"/>
        <v>-0.25840000000016516</v>
      </c>
      <c r="J55" s="204">
        <v>0</v>
      </c>
      <c r="K55" s="692">
        <f t="shared" si="8"/>
        <v>-0.25840000000016516</v>
      </c>
      <c r="L55" s="204"/>
    </row>
    <row r="56" spans="1:12" ht="21.95" customHeight="1">
      <c r="A56" s="714">
        <v>4</v>
      </c>
      <c r="B56" s="715" t="s">
        <v>1367</v>
      </c>
      <c r="C56" s="204">
        <f t="shared" si="3"/>
        <v>1902</v>
      </c>
      <c r="D56" s="204"/>
      <c r="E56" s="204">
        <v>1411</v>
      </c>
      <c r="F56" s="204">
        <v>491</v>
      </c>
      <c r="G56" s="204"/>
      <c r="H56" s="204">
        <v>1901.8</v>
      </c>
      <c r="I56" s="692">
        <f t="shared" si="4"/>
        <v>0.20000000000004547</v>
      </c>
      <c r="J56" s="204">
        <v>0</v>
      </c>
      <c r="K56" s="692">
        <f t="shared" si="8"/>
        <v>0.20000000000004547</v>
      </c>
      <c r="L56" s="204"/>
    </row>
    <row r="57" spans="1:12" ht="21.95" customHeight="1">
      <c r="A57" s="714">
        <v>5</v>
      </c>
      <c r="B57" s="715" t="s">
        <v>1368</v>
      </c>
      <c r="C57" s="204">
        <f t="shared" si="3"/>
        <v>747</v>
      </c>
      <c r="D57" s="204"/>
      <c r="E57" s="204">
        <v>648</v>
      </c>
      <c r="F57" s="204">
        <v>99</v>
      </c>
      <c r="G57" s="204"/>
      <c r="H57" s="204">
        <v>747.07</v>
      </c>
      <c r="I57" s="692">
        <f t="shared" si="4"/>
        <v>-7.0000000000050022E-2</v>
      </c>
      <c r="J57" s="204">
        <v>0</v>
      </c>
      <c r="K57" s="692">
        <f t="shared" si="8"/>
        <v>-7.0000000000050022E-2</v>
      </c>
      <c r="L57" s="204"/>
    </row>
    <row r="58" spans="1:12" ht="21.95" customHeight="1">
      <c r="A58" s="714">
        <v>6</v>
      </c>
      <c r="B58" s="715" t="s">
        <v>1369</v>
      </c>
      <c r="C58" s="204">
        <f t="shared" si="3"/>
        <v>499.9</v>
      </c>
      <c r="D58" s="204"/>
      <c r="E58" s="204">
        <v>487</v>
      </c>
      <c r="F58" s="204">
        <v>12.9</v>
      </c>
      <c r="G58" s="204"/>
      <c r="H58" s="204">
        <v>499.91</v>
      </c>
      <c r="I58" s="692">
        <f t="shared" si="4"/>
        <v>-1.0000000000047748E-2</v>
      </c>
      <c r="J58" s="204">
        <v>0</v>
      </c>
      <c r="K58" s="692">
        <f t="shared" si="8"/>
        <v>-1.0000000000047748E-2</v>
      </c>
      <c r="L58" s="204"/>
    </row>
    <row r="59" spans="1:12" ht="21.95" customHeight="1">
      <c r="A59" s="714">
        <v>7</v>
      </c>
      <c r="B59" s="715" t="s">
        <v>1370</v>
      </c>
      <c r="C59" s="204">
        <f t="shared" si="3"/>
        <v>503.68</v>
      </c>
      <c r="D59" s="204"/>
      <c r="E59" s="204">
        <v>496</v>
      </c>
      <c r="F59" s="204">
        <v>7.68</v>
      </c>
      <c r="G59" s="204"/>
      <c r="H59" s="204">
        <v>503.68</v>
      </c>
      <c r="I59" s="692">
        <f t="shared" si="4"/>
        <v>0</v>
      </c>
      <c r="J59" s="204">
        <v>0</v>
      </c>
      <c r="K59" s="692">
        <f t="shared" si="8"/>
        <v>0</v>
      </c>
      <c r="L59" s="204"/>
    </row>
    <row r="60" spans="1:12" ht="21.95" customHeight="1">
      <c r="A60" s="714">
        <v>8</v>
      </c>
      <c r="B60" s="715" t="s">
        <v>1371</v>
      </c>
      <c r="C60" s="204">
        <f t="shared" si="3"/>
        <v>407.74</v>
      </c>
      <c r="D60" s="204"/>
      <c r="E60" s="204">
        <v>401</v>
      </c>
      <c r="F60" s="204">
        <v>6.74</v>
      </c>
      <c r="G60" s="204"/>
      <c r="H60" s="204">
        <v>407.74</v>
      </c>
      <c r="I60" s="692">
        <f t="shared" si="4"/>
        <v>0</v>
      </c>
      <c r="J60" s="204">
        <v>0</v>
      </c>
      <c r="K60" s="692">
        <f t="shared" si="8"/>
        <v>0</v>
      </c>
      <c r="L60" s="204"/>
    </row>
    <row r="61" spans="1:12" ht="33.75" customHeight="1">
      <c r="A61" s="714">
        <v>9</v>
      </c>
      <c r="B61" s="718" t="s">
        <v>1372</v>
      </c>
      <c r="C61" s="204">
        <f t="shared" si="3"/>
        <v>388.84</v>
      </c>
      <c r="D61" s="204"/>
      <c r="E61" s="204">
        <v>380</v>
      </c>
      <c r="F61" s="204">
        <v>8.84</v>
      </c>
      <c r="G61" s="204"/>
      <c r="H61" s="204">
        <v>388.84</v>
      </c>
      <c r="I61" s="692">
        <f t="shared" si="4"/>
        <v>0</v>
      </c>
      <c r="J61" s="204">
        <v>0</v>
      </c>
      <c r="K61" s="692">
        <f t="shared" si="8"/>
        <v>0</v>
      </c>
      <c r="L61" s="204"/>
    </row>
    <row r="62" spans="1:12" ht="35.25" customHeight="1">
      <c r="A62" s="714">
        <v>10</v>
      </c>
      <c r="B62" s="718" t="s">
        <v>1373</v>
      </c>
      <c r="C62" s="204">
        <f t="shared" si="3"/>
        <v>632.4</v>
      </c>
      <c r="D62" s="204"/>
      <c r="E62" s="204">
        <v>367</v>
      </c>
      <c r="F62" s="204">
        <v>265.39999999999998</v>
      </c>
      <c r="G62" s="204"/>
      <c r="H62" s="204">
        <v>511.50900000000001</v>
      </c>
      <c r="I62" s="692">
        <f t="shared" si="4"/>
        <v>120.89099999999996</v>
      </c>
      <c r="J62" s="692">
        <v>121</v>
      </c>
      <c r="K62" s="692">
        <f t="shared" si="8"/>
        <v>-0.10900000000003729</v>
      </c>
      <c r="L62" s="204"/>
    </row>
    <row r="63" spans="1:12" ht="21.95" customHeight="1">
      <c r="A63" s="381">
        <v>11</v>
      </c>
      <c r="B63" s="718" t="s">
        <v>1374</v>
      </c>
      <c r="C63" s="204">
        <f t="shared" si="3"/>
        <v>404.7</v>
      </c>
      <c r="D63" s="204"/>
      <c r="E63" s="204">
        <v>398</v>
      </c>
      <c r="F63" s="204">
        <v>6.7</v>
      </c>
      <c r="G63" s="204"/>
      <c r="H63" s="204">
        <v>404.71</v>
      </c>
      <c r="I63" s="692">
        <f t="shared" si="4"/>
        <v>-9.9999999999909051E-3</v>
      </c>
      <c r="J63" s="204">
        <v>0</v>
      </c>
      <c r="K63" s="692">
        <f t="shared" si="8"/>
        <v>-9.9999999999909051E-3</v>
      </c>
      <c r="L63" s="204"/>
    </row>
    <row r="64" spans="1:12" ht="21.95" customHeight="1">
      <c r="A64" s="714">
        <v>12</v>
      </c>
      <c r="B64" s="718" t="s">
        <v>1375</v>
      </c>
      <c r="C64" s="204">
        <f t="shared" si="3"/>
        <v>50</v>
      </c>
      <c r="D64" s="204"/>
      <c r="E64" s="204">
        <v>50</v>
      </c>
      <c r="F64" s="204"/>
      <c r="G64" s="204"/>
      <c r="H64" s="204">
        <v>50</v>
      </c>
      <c r="I64" s="692">
        <f t="shared" si="4"/>
        <v>0</v>
      </c>
      <c r="J64" s="204">
        <v>0</v>
      </c>
      <c r="K64" s="692">
        <f t="shared" si="8"/>
        <v>0</v>
      </c>
      <c r="L64" s="204"/>
    </row>
    <row r="65" spans="1:12" ht="33" customHeight="1">
      <c r="A65" s="714">
        <v>13</v>
      </c>
      <c r="B65" s="718" t="s">
        <v>1376</v>
      </c>
      <c r="C65" s="204">
        <f t="shared" si="3"/>
        <v>80</v>
      </c>
      <c r="D65" s="204"/>
      <c r="E65" s="204">
        <v>80</v>
      </c>
      <c r="F65" s="204"/>
      <c r="G65" s="204"/>
      <c r="H65" s="204">
        <v>80</v>
      </c>
      <c r="I65" s="692">
        <f t="shared" si="4"/>
        <v>0</v>
      </c>
      <c r="J65" s="204">
        <v>0</v>
      </c>
      <c r="K65" s="692">
        <f t="shared" si="8"/>
        <v>0</v>
      </c>
      <c r="L65" s="204"/>
    </row>
    <row r="66" spans="1:12" ht="21.95" customHeight="1">
      <c r="A66" s="727">
        <v>14</v>
      </c>
      <c r="B66" s="733" t="s">
        <v>1377</v>
      </c>
      <c r="C66" s="722">
        <f t="shared" si="3"/>
        <v>422</v>
      </c>
      <c r="D66" s="722"/>
      <c r="E66" s="722">
        <v>393</v>
      </c>
      <c r="F66" s="722">
        <v>29</v>
      </c>
      <c r="G66" s="722"/>
      <c r="H66" s="722">
        <v>403.09251899999998</v>
      </c>
      <c r="I66" s="693">
        <f t="shared" si="4"/>
        <v>18.907481000000018</v>
      </c>
      <c r="J66" s="722">
        <v>0</v>
      </c>
      <c r="K66" s="693">
        <f t="shared" si="8"/>
        <v>18.907481000000018</v>
      </c>
      <c r="L66" s="722"/>
    </row>
    <row r="67" spans="1:12" ht="26.25" customHeight="1">
      <c r="A67" s="723" t="s">
        <v>23</v>
      </c>
      <c r="B67" s="724" t="s">
        <v>1378</v>
      </c>
      <c r="C67" s="734">
        <f>C68+C69</f>
        <v>38659.8053</v>
      </c>
      <c r="D67" s="734">
        <f t="shared" ref="D67:L67" si="9">D68+D69</f>
        <v>0</v>
      </c>
      <c r="E67" s="734">
        <f t="shared" si="9"/>
        <v>32248</v>
      </c>
      <c r="F67" s="734">
        <f t="shared" si="9"/>
        <v>6411.8053</v>
      </c>
      <c r="G67" s="734">
        <f t="shared" si="9"/>
        <v>0</v>
      </c>
      <c r="H67" s="734">
        <f t="shared" si="9"/>
        <v>36842.603750000002</v>
      </c>
      <c r="I67" s="734">
        <f>J67+K67</f>
        <v>1818</v>
      </c>
      <c r="J67" s="734">
        <f t="shared" si="9"/>
        <v>1800</v>
      </c>
      <c r="K67" s="734">
        <f t="shared" si="9"/>
        <v>18</v>
      </c>
      <c r="L67" s="735">
        <f t="shared" si="9"/>
        <v>0</v>
      </c>
    </row>
    <row r="68" spans="1:12" ht="21.95" customHeight="1">
      <c r="A68" s="711">
        <v>1</v>
      </c>
      <c r="B68" s="712" t="s">
        <v>1379</v>
      </c>
      <c r="C68" s="713">
        <f t="shared" si="3"/>
        <v>12061.105299999999</v>
      </c>
      <c r="D68" s="736">
        <v>0</v>
      </c>
      <c r="E68" s="737">
        <v>8928</v>
      </c>
      <c r="F68" s="737">
        <v>3133.1053000000002</v>
      </c>
      <c r="G68" s="736">
        <v>0</v>
      </c>
      <c r="H68" s="737">
        <v>12043.60375</v>
      </c>
      <c r="I68" s="694">
        <f t="shared" si="4"/>
        <v>17.501549999999042</v>
      </c>
      <c r="J68" s="736">
        <v>0</v>
      </c>
      <c r="K68" s="738">
        <v>18</v>
      </c>
      <c r="L68" s="738"/>
    </row>
    <row r="69" spans="1:12" ht="21.95" customHeight="1">
      <c r="A69" s="739">
        <v>2</v>
      </c>
      <c r="B69" s="740" t="s">
        <v>1380</v>
      </c>
      <c r="C69" s="741">
        <f t="shared" si="3"/>
        <v>26598.7</v>
      </c>
      <c r="D69" s="742">
        <v>0</v>
      </c>
      <c r="E69" s="743">
        <v>23320</v>
      </c>
      <c r="F69" s="743">
        <v>3278.7</v>
      </c>
      <c r="G69" s="742">
        <v>0</v>
      </c>
      <c r="H69" s="743">
        <v>24799</v>
      </c>
      <c r="I69" s="695">
        <f t="shared" si="4"/>
        <v>1799.7000000000007</v>
      </c>
      <c r="J69" s="743">
        <v>1800</v>
      </c>
      <c r="K69" s="742">
        <v>0</v>
      </c>
      <c r="L69" s="742">
        <v>0</v>
      </c>
    </row>
    <row r="70" spans="1:12" ht="21.95" customHeight="1">
      <c r="A70" s="744" t="s">
        <v>96</v>
      </c>
      <c r="B70" s="745" t="s">
        <v>1521</v>
      </c>
      <c r="C70" s="709" t="e">
        <f>SUM(C71:C103)</f>
        <v>#REF!</v>
      </c>
      <c r="D70" s="746">
        <f t="shared" ref="D70:L70" si="10">SUM(D71:D86)</f>
        <v>14327</v>
      </c>
      <c r="E70" s="746" t="e">
        <f t="shared" si="10"/>
        <v>#REF!</v>
      </c>
      <c r="F70" s="746">
        <f t="shared" si="10"/>
        <v>9299</v>
      </c>
      <c r="G70" s="746">
        <f t="shared" si="10"/>
        <v>-693</v>
      </c>
      <c r="H70" s="746">
        <f t="shared" si="10"/>
        <v>163723.06399999998</v>
      </c>
      <c r="I70" s="746" t="e">
        <f t="shared" si="10"/>
        <v>#REF!</v>
      </c>
      <c r="J70" s="746">
        <f t="shared" si="10"/>
        <v>1000</v>
      </c>
      <c r="K70" s="746" t="e">
        <f t="shared" si="10"/>
        <v>#REF!</v>
      </c>
      <c r="L70" s="746">
        <f t="shared" si="10"/>
        <v>0</v>
      </c>
    </row>
    <row r="71" spans="1:12" ht="36" customHeight="1">
      <c r="A71" s="747" t="s">
        <v>1585</v>
      </c>
      <c r="B71" s="748" t="s">
        <v>1306</v>
      </c>
      <c r="C71" s="749">
        <f t="shared" ref="C71:C72" si="11">D71+E71+F71</f>
        <v>2370</v>
      </c>
      <c r="D71" s="750">
        <v>0</v>
      </c>
      <c r="E71" s="750">
        <v>0</v>
      </c>
      <c r="F71" s="750">
        <v>2370</v>
      </c>
      <c r="G71" s="751">
        <v>0</v>
      </c>
      <c r="H71" s="750">
        <v>2369.52</v>
      </c>
      <c r="I71" s="696" t="s">
        <v>287</v>
      </c>
      <c r="J71" s="750"/>
      <c r="K71" s="752"/>
      <c r="L71" s="752"/>
    </row>
    <row r="72" spans="1:12" ht="39.75" customHeight="1">
      <c r="A72" s="714" t="s">
        <v>1586</v>
      </c>
      <c r="B72" s="392" t="s">
        <v>1576</v>
      </c>
      <c r="C72" s="204" t="e">
        <f t="shared" si="11"/>
        <v>#REF!</v>
      </c>
      <c r="D72" s="753">
        <v>0</v>
      </c>
      <c r="E72" s="754" t="e">
        <f>#REF!</f>
        <v>#REF!</v>
      </c>
      <c r="F72" s="754">
        <v>1500</v>
      </c>
      <c r="G72" s="753">
        <v>0</v>
      </c>
      <c r="H72" s="754">
        <v>3000</v>
      </c>
      <c r="I72" s="697" t="e">
        <f t="shared" ref="I72:I73" si="12">C72-H72</f>
        <v>#REF!</v>
      </c>
      <c r="J72" s="754"/>
      <c r="K72" s="755"/>
      <c r="L72" s="755"/>
    </row>
    <row r="73" spans="1:12" ht="38.25" customHeight="1">
      <c r="A73" s="714" t="s">
        <v>1587</v>
      </c>
      <c r="B73" s="392" t="s">
        <v>1577</v>
      </c>
      <c r="C73" s="204" t="e">
        <f>D73+E73+F73</f>
        <v>#REF!</v>
      </c>
      <c r="D73" s="753">
        <v>0</v>
      </c>
      <c r="E73" s="754" t="e">
        <f>#REF!</f>
        <v>#REF!</v>
      </c>
      <c r="F73" s="754">
        <v>3424</v>
      </c>
      <c r="G73" s="753">
        <v>0</v>
      </c>
      <c r="H73" s="754">
        <v>136707</v>
      </c>
      <c r="I73" s="697" t="e">
        <f t="shared" si="12"/>
        <v>#REF!</v>
      </c>
      <c r="J73" s="754">
        <v>0</v>
      </c>
      <c r="K73" s="753">
        <v>0</v>
      </c>
      <c r="L73" s="753">
        <v>0</v>
      </c>
    </row>
    <row r="74" spans="1:12" ht="51" customHeight="1">
      <c r="A74" s="714" t="s">
        <v>1588</v>
      </c>
      <c r="B74" s="392" t="s">
        <v>1575</v>
      </c>
      <c r="C74" s="204" t="e">
        <f>SUM(D74:G74)</f>
        <v>#REF!</v>
      </c>
      <c r="D74" s="754">
        <v>14327</v>
      </c>
      <c r="E74" s="754" t="e">
        <f>#REF!</f>
        <v>#REF!</v>
      </c>
      <c r="F74" s="754">
        <v>1000</v>
      </c>
      <c r="G74" s="753">
        <v>-693</v>
      </c>
      <c r="H74" s="754">
        <f>21604.544-1000</f>
        <v>20604.544000000002</v>
      </c>
      <c r="I74" s="692" t="e">
        <f>C74-H74</f>
        <v>#REF!</v>
      </c>
      <c r="J74" s="754">
        <v>1000</v>
      </c>
      <c r="K74" s="754" t="e">
        <f>I74-J74</f>
        <v>#REF!</v>
      </c>
      <c r="L74" s="753">
        <v>0</v>
      </c>
    </row>
    <row r="75" spans="1:12" ht="27.75" customHeight="1">
      <c r="A75" s="714" t="s">
        <v>1589</v>
      </c>
      <c r="B75" s="392" t="s">
        <v>1578</v>
      </c>
      <c r="C75" s="204" t="e">
        <f t="shared" ref="C75:C86" si="13">D75+E75+F75</f>
        <v>#REF!</v>
      </c>
      <c r="D75" s="753"/>
      <c r="E75" s="754" t="e">
        <f>#REF!</f>
        <v>#REF!</v>
      </c>
      <c r="F75" s="754">
        <v>18</v>
      </c>
      <c r="G75" s="753">
        <v>0</v>
      </c>
      <c r="H75" s="754">
        <v>36</v>
      </c>
      <c r="I75" s="698" t="e">
        <f t="shared" ref="I75:I86" si="14">C75-H75</f>
        <v>#REF!</v>
      </c>
      <c r="J75" s="754"/>
      <c r="K75" s="755"/>
      <c r="L75" s="755"/>
    </row>
    <row r="76" spans="1:12" ht="35.25" customHeight="1">
      <c r="A76" s="714" t="s">
        <v>1590</v>
      </c>
      <c r="B76" s="392" t="s">
        <v>1579</v>
      </c>
      <c r="C76" s="204" t="e">
        <f t="shared" si="13"/>
        <v>#REF!</v>
      </c>
      <c r="D76" s="753"/>
      <c r="E76" s="754" t="e">
        <f>#REF!</f>
        <v>#REF!</v>
      </c>
      <c r="F76" s="754">
        <v>0</v>
      </c>
      <c r="G76" s="753">
        <v>0</v>
      </c>
      <c r="H76" s="754">
        <v>9</v>
      </c>
      <c r="I76" s="698" t="e">
        <f t="shared" si="14"/>
        <v>#REF!</v>
      </c>
      <c r="J76" s="754"/>
      <c r="K76" s="755"/>
      <c r="L76" s="755"/>
    </row>
    <row r="77" spans="1:12" ht="27.75" customHeight="1">
      <c r="A77" s="714" t="s">
        <v>1591</v>
      </c>
      <c r="B77" s="392" t="s">
        <v>1580</v>
      </c>
      <c r="C77" s="204" t="e">
        <f t="shared" si="13"/>
        <v>#REF!</v>
      </c>
      <c r="D77" s="753"/>
      <c r="E77" s="754" t="e">
        <f>#REF!</f>
        <v>#REF!</v>
      </c>
      <c r="F77" s="754">
        <v>0</v>
      </c>
      <c r="G77" s="753">
        <v>0</v>
      </c>
      <c r="H77" s="754">
        <v>10</v>
      </c>
      <c r="I77" s="698" t="e">
        <f t="shared" si="14"/>
        <v>#REF!</v>
      </c>
      <c r="J77" s="754"/>
      <c r="K77" s="755"/>
      <c r="L77" s="755"/>
    </row>
    <row r="78" spans="1:12" ht="26.25" customHeight="1">
      <c r="A78" s="714" t="s">
        <v>1592</v>
      </c>
      <c r="B78" s="392" t="s">
        <v>1581</v>
      </c>
      <c r="C78" s="204">
        <f t="shared" si="13"/>
        <v>30</v>
      </c>
      <c r="D78" s="753"/>
      <c r="E78" s="754">
        <v>0</v>
      </c>
      <c r="F78" s="754">
        <v>30</v>
      </c>
      <c r="G78" s="753">
        <v>0</v>
      </c>
      <c r="H78" s="754">
        <v>30</v>
      </c>
      <c r="I78" s="698">
        <f t="shared" si="14"/>
        <v>0</v>
      </c>
      <c r="J78" s="754"/>
      <c r="K78" s="755"/>
      <c r="L78" s="755"/>
    </row>
    <row r="79" spans="1:12" ht="24.75" customHeight="1">
      <c r="A79" s="714" t="s">
        <v>1593</v>
      </c>
      <c r="B79" s="392" t="s">
        <v>1582</v>
      </c>
      <c r="C79" s="204">
        <f t="shared" si="13"/>
        <v>10</v>
      </c>
      <c r="D79" s="753"/>
      <c r="E79" s="754">
        <v>0</v>
      </c>
      <c r="F79" s="754">
        <v>10</v>
      </c>
      <c r="G79" s="753">
        <v>0</v>
      </c>
      <c r="H79" s="754">
        <v>10</v>
      </c>
      <c r="I79" s="698">
        <f t="shared" si="14"/>
        <v>0</v>
      </c>
      <c r="J79" s="754"/>
      <c r="K79" s="755"/>
      <c r="L79" s="755"/>
    </row>
    <row r="80" spans="1:12" ht="24.75" customHeight="1">
      <c r="A80" s="714" t="s">
        <v>1594</v>
      </c>
      <c r="B80" s="392" t="s">
        <v>1570</v>
      </c>
      <c r="C80" s="204">
        <f t="shared" si="13"/>
        <v>60</v>
      </c>
      <c r="D80" s="753"/>
      <c r="E80" s="754">
        <v>0</v>
      </c>
      <c r="F80" s="754">
        <v>60</v>
      </c>
      <c r="G80" s="753">
        <v>0</v>
      </c>
      <c r="H80" s="754">
        <v>60</v>
      </c>
      <c r="I80" s="698">
        <f t="shared" si="14"/>
        <v>0</v>
      </c>
      <c r="J80" s="754"/>
      <c r="K80" s="755"/>
      <c r="L80" s="755"/>
    </row>
    <row r="81" spans="1:12" ht="27" customHeight="1">
      <c r="A81" s="714" t="s">
        <v>1595</v>
      </c>
      <c r="B81" s="392" t="s">
        <v>1571</v>
      </c>
      <c r="C81" s="204">
        <f t="shared" si="13"/>
        <v>2</v>
      </c>
      <c r="D81" s="753"/>
      <c r="E81" s="754">
        <v>0</v>
      </c>
      <c r="F81" s="754">
        <v>2</v>
      </c>
      <c r="G81" s="753">
        <v>0</v>
      </c>
      <c r="H81" s="754">
        <v>2</v>
      </c>
      <c r="I81" s="698">
        <f t="shared" si="14"/>
        <v>0</v>
      </c>
      <c r="J81" s="754"/>
      <c r="K81" s="755"/>
      <c r="L81" s="755"/>
    </row>
    <row r="82" spans="1:12" ht="24.75" customHeight="1">
      <c r="A82" s="714" t="s">
        <v>1596</v>
      </c>
      <c r="B82" s="392" t="s">
        <v>1583</v>
      </c>
      <c r="C82" s="204">
        <f t="shared" si="13"/>
        <v>11</v>
      </c>
      <c r="D82" s="753"/>
      <c r="E82" s="754">
        <v>0</v>
      </c>
      <c r="F82" s="754">
        <v>11</v>
      </c>
      <c r="G82" s="753">
        <v>0</v>
      </c>
      <c r="H82" s="754">
        <v>11</v>
      </c>
      <c r="I82" s="698">
        <f t="shared" si="14"/>
        <v>0</v>
      </c>
      <c r="J82" s="754"/>
      <c r="K82" s="755"/>
      <c r="L82" s="755"/>
    </row>
    <row r="83" spans="1:12" ht="24.75" customHeight="1">
      <c r="A83" s="714" t="s">
        <v>1597</v>
      </c>
      <c r="B83" s="392" t="s">
        <v>1572</v>
      </c>
      <c r="C83" s="204">
        <f t="shared" si="13"/>
        <v>4</v>
      </c>
      <c r="D83" s="753"/>
      <c r="E83" s="754">
        <v>0</v>
      </c>
      <c r="F83" s="754">
        <v>4</v>
      </c>
      <c r="G83" s="753">
        <v>0</v>
      </c>
      <c r="H83" s="754">
        <v>4</v>
      </c>
      <c r="I83" s="698">
        <f t="shared" si="14"/>
        <v>0</v>
      </c>
      <c r="J83" s="754"/>
      <c r="K83" s="755"/>
      <c r="L83" s="755"/>
    </row>
    <row r="84" spans="1:12" ht="35.25" customHeight="1">
      <c r="A84" s="714" t="s">
        <v>1598</v>
      </c>
      <c r="B84" s="756" t="s">
        <v>1584</v>
      </c>
      <c r="C84" s="204">
        <f t="shared" si="13"/>
        <v>14</v>
      </c>
      <c r="D84" s="753"/>
      <c r="E84" s="754">
        <v>0</v>
      </c>
      <c r="F84" s="754">
        <v>14</v>
      </c>
      <c r="G84" s="753">
        <v>0</v>
      </c>
      <c r="H84" s="754">
        <v>14</v>
      </c>
      <c r="I84" s="698">
        <f t="shared" si="14"/>
        <v>0</v>
      </c>
      <c r="J84" s="754"/>
      <c r="K84" s="755"/>
      <c r="L84" s="755"/>
    </row>
    <row r="85" spans="1:12" ht="24" customHeight="1">
      <c r="A85" s="714" t="s">
        <v>1599</v>
      </c>
      <c r="B85" s="392" t="s">
        <v>1573</v>
      </c>
      <c r="C85" s="204">
        <f t="shared" si="13"/>
        <v>16</v>
      </c>
      <c r="D85" s="753"/>
      <c r="E85" s="754">
        <v>0</v>
      </c>
      <c r="F85" s="754">
        <v>16</v>
      </c>
      <c r="G85" s="753">
        <v>0</v>
      </c>
      <c r="H85" s="754">
        <v>16</v>
      </c>
      <c r="I85" s="698">
        <f t="shared" si="14"/>
        <v>0</v>
      </c>
      <c r="J85" s="754"/>
      <c r="K85" s="755"/>
      <c r="L85" s="755"/>
    </row>
    <row r="86" spans="1:12" ht="27" customHeight="1">
      <c r="A86" s="757" t="s">
        <v>1600</v>
      </c>
      <c r="B86" s="587" t="s">
        <v>1574</v>
      </c>
      <c r="C86" s="758">
        <f t="shared" si="13"/>
        <v>840</v>
      </c>
      <c r="D86" s="759"/>
      <c r="E86" s="760">
        <v>0</v>
      </c>
      <c r="F86" s="760">
        <v>840</v>
      </c>
      <c r="G86" s="759">
        <v>0</v>
      </c>
      <c r="H86" s="760">
        <v>840</v>
      </c>
      <c r="I86" s="699">
        <f t="shared" si="14"/>
        <v>0</v>
      </c>
      <c r="J86" s="760"/>
      <c r="K86" s="761"/>
      <c r="L86" s="761"/>
    </row>
    <row r="88" spans="1:12" ht="15.75">
      <c r="I88" s="1693" t="s">
        <v>2051</v>
      </c>
      <c r="J88" s="1693"/>
      <c r="K88" s="1693"/>
      <c r="L88" s="1693"/>
    </row>
    <row r="89" spans="1:12" ht="18.75" customHeight="1">
      <c r="I89" s="1650" t="s">
        <v>222</v>
      </c>
      <c r="J89" s="1650"/>
      <c r="K89" s="1650"/>
      <c r="L89" s="1650"/>
    </row>
    <row r="90" spans="1:12" ht="21.75" customHeight="1">
      <c r="I90" s="1650" t="s">
        <v>223</v>
      </c>
      <c r="J90" s="1650"/>
      <c r="K90" s="1650"/>
      <c r="L90" s="1650"/>
    </row>
    <row r="91" spans="1:12" ht="15.75">
      <c r="I91" s="1648" t="s">
        <v>224</v>
      </c>
      <c r="J91" s="1648"/>
      <c r="K91" s="1648"/>
      <c r="L91" s="1648"/>
    </row>
  </sheetData>
  <mergeCells count="16">
    <mergeCell ref="J1:L1"/>
    <mergeCell ref="A1:B1"/>
    <mergeCell ref="I88:L88"/>
    <mergeCell ref="I89:L89"/>
    <mergeCell ref="I90:L90"/>
    <mergeCell ref="A3:L3"/>
    <mergeCell ref="I91:L91"/>
    <mergeCell ref="A2:L2"/>
    <mergeCell ref="J4:L4"/>
    <mergeCell ref="A5:A6"/>
    <mergeCell ref="B5:B6"/>
    <mergeCell ref="C5:C6"/>
    <mergeCell ref="D5:G5"/>
    <mergeCell ref="H5:H6"/>
    <mergeCell ref="I5:I6"/>
    <mergeCell ref="J5:L5"/>
  </mergeCells>
  <pageMargins left="0.32" right="0.2" top="0.37" bottom="0.46" header="0.3" footer="0.3"/>
  <pageSetup paperSize="9" firstPageNumber="32" orientation="landscape" useFirstPageNumber="1" r:id="rId1"/>
  <headerFooter>
    <oddFooter>&amp;C&amp;P</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X28"/>
  <sheetViews>
    <sheetView zoomScale="90" zoomScaleNormal="90" workbookViewId="0">
      <selection activeCell="J26" sqref="J26"/>
    </sheetView>
  </sheetViews>
  <sheetFormatPr defaultRowHeight="15"/>
  <cols>
    <col min="1" max="1" width="5.140625" style="69" customWidth="1"/>
    <col min="2" max="2" width="19.42578125" style="69" customWidth="1"/>
    <col min="3" max="3" width="10.42578125" style="69" customWidth="1"/>
    <col min="4" max="4" width="9" style="69" customWidth="1"/>
    <col min="5" max="5" width="10.42578125" style="69" customWidth="1"/>
    <col min="6" max="6" width="9.28515625" style="69" customWidth="1"/>
    <col min="7" max="7" width="8" style="69" customWidth="1"/>
    <col min="8" max="8" width="10.85546875" style="69" customWidth="1"/>
    <col min="9" max="9" width="9.140625" style="69" customWidth="1"/>
    <col min="10" max="10" width="8" style="69" customWidth="1"/>
    <col min="11" max="11" width="5.42578125" style="69" customWidth="1"/>
    <col min="12" max="12" width="10.42578125" style="69" customWidth="1"/>
    <col min="13" max="13" width="9.5703125" style="69" bestFit="1" customWidth="1"/>
    <col min="14" max="14" width="5.7109375" style="69" customWidth="1"/>
    <col min="15" max="15" width="9.28515625" style="69" customWidth="1"/>
    <col min="16" max="16" width="9.140625" style="69" customWidth="1"/>
    <col min="17" max="17" width="8" style="69" customWidth="1"/>
    <col min="18" max="18" width="9.140625" style="69" customWidth="1"/>
    <col min="19" max="19" width="8.140625" style="69" customWidth="1"/>
    <col min="20" max="20" width="6.5703125" style="69" customWidth="1"/>
    <col min="21" max="22" width="6.7109375" style="69" customWidth="1"/>
    <col min="23" max="23" width="6.85546875" style="69" customWidth="1"/>
    <col min="24" max="256" width="9.140625" style="69"/>
    <col min="257" max="257" width="2.85546875" style="69" customWidth="1"/>
    <col min="258" max="258" width="13.85546875" style="69" customWidth="1"/>
    <col min="259" max="259" width="7.7109375" style="69" customWidth="1"/>
    <col min="260" max="260" width="6.42578125" style="69" customWidth="1"/>
    <col min="261" max="261" width="7.7109375" style="69" customWidth="1"/>
    <col min="262" max="262" width="6.7109375" style="69" customWidth="1"/>
    <col min="263" max="263" width="5.7109375" style="69" customWidth="1"/>
    <col min="264" max="264" width="7.7109375" style="69" customWidth="1"/>
    <col min="265" max="265" width="6.28515625" style="69" customWidth="1"/>
    <col min="266" max="266" width="7.28515625" style="69" customWidth="1"/>
    <col min="267" max="267" width="6" style="69" customWidth="1"/>
    <col min="268" max="269" width="7.7109375" style="69" customWidth="1"/>
    <col min="270" max="270" width="5.7109375" style="69" customWidth="1"/>
    <col min="271" max="274" width="7.7109375" style="69" customWidth="1"/>
    <col min="275" max="275" width="6.7109375" style="69" customWidth="1"/>
    <col min="276" max="279" width="6.28515625" style="69" customWidth="1"/>
    <col min="280" max="512" width="9.140625" style="69"/>
    <col min="513" max="513" width="2.85546875" style="69" customWidth="1"/>
    <col min="514" max="514" width="13.85546875" style="69" customWidth="1"/>
    <col min="515" max="515" width="7.7109375" style="69" customWidth="1"/>
    <col min="516" max="516" width="6.42578125" style="69" customWidth="1"/>
    <col min="517" max="517" width="7.7109375" style="69" customWidth="1"/>
    <col min="518" max="518" width="6.7109375" style="69" customWidth="1"/>
    <col min="519" max="519" width="5.7109375" style="69" customWidth="1"/>
    <col min="520" max="520" width="7.7109375" style="69" customWidth="1"/>
    <col min="521" max="521" width="6.28515625" style="69" customWidth="1"/>
    <col min="522" max="522" width="7.28515625" style="69" customWidth="1"/>
    <col min="523" max="523" width="6" style="69" customWidth="1"/>
    <col min="524" max="525" width="7.7109375" style="69" customWidth="1"/>
    <col min="526" max="526" width="5.7109375" style="69" customWidth="1"/>
    <col min="527" max="530" width="7.7109375" style="69" customWidth="1"/>
    <col min="531" max="531" width="6.7109375" style="69" customWidth="1"/>
    <col min="532" max="535" width="6.28515625" style="69" customWidth="1"/>
    <col min="536" max="768" width="9.140625" style="69"/>
    <col min="769" max="769" width="2.85546875" style="69" customWidth="1"/>
    <col min="770" max="770" width="13.85546875" style="69" customWidth="1"/>
    <col min="771" max="771" width="7.7109375" style="69" customWidth="1"/>
    <col min="772" max="772" width="6.42578125" style="69" customWidth="1"/>
    <col min="773" max="773" width="7.7109375" style="69" customWidth="1"/>
    <col min="774" max="774" width="6.7109375" style="69" customWidth="1"/>
    <col min="775" max="775" width="5.7109375" style="69" customWidth="1"/>
    <col min="776" max="776" width="7.7109375" style="69" customWidth="1"/>
    <col min="777" max="777" width="6.28515625" style="69" customWidth="1"/>
    <col min="778" max="778" width="7.28515625" style="69" customWidth="1"/>
    <col min="779" max="779" width="6" style="69" customWidth="1"/>
    <col min="780" max="781" width="7.7109375" style="69" customWidth="1"/>
    <col min="782" max="782" width="5.7109375" style="69" customWidth="1"/>
    <col min="783" max="786" width="7.7109375" style="69" customWidth="1"/>
    <col min="787" max="787" width="6.7109375" style="69" customWidth="1"/>
    <col min="788" max="791" width="6.28515625" style="69" customWidth="1"/>
    <col min="792" max="1024" width="9.140625" style="69"/>
    <col min="1025" max="1025" width="2.85546875" style="69" customWidth="1"/>
    <col min="1026" max="1026" width="13.85546875" style="69" customWidth="1"/>
    <col min="1027" max="1027" width="7.7109375" style="69" customWidth="1"/>
    <col min="1028" max="1028" width="6.42578125" style="69" customWidth="1"/>
    <col min="1029" max="1029" width="7.7109375" style="69" customWidth="1"/>
    <col min="1030" max="1030" width="6.7109375" style="69" customWidth="1"/>
    <col min="1031" max="1031" width="5.7109375" style="69" customWidth="1"/>
    <col min="1032" max="1032" width="7.7109375" style="69" customWidth="1"/>
    <col min="1033" max="1033" width="6.28515625" style="69" customWidth="1"/>
    <col min="1034" max="1034" width="7.28515625" style="69" customWidth="1"/>
    <col min="1035" max="1035" width="6" style="69" customWidth="1"/>
    <col min="1036" max="1037" width="7.7109375" style="69" customWidth="1"/>
    <col min="1038" max="1038" width="5.7109375" style="69" customWidth="1"/>
    <col min="1039" max="1042" width="7.7109375" style="69" customWidth="1"/>
    <col min="1043" max="1043" width="6.7109375" style="69" customWidth="1"/>
    <col min="1044" max="1047" width="6.28515625" style="69" customWidth="1"/>
    <col min="1048" max="1280" width="9.140625" style="69"/>
    <col min="1281" max="1281" width="2.85546875" style="69" customWidth="1"/>
    <col min="1282" max="1282" width="13.85546875" style="69" customWidth="1"/>
    <col min="1283" max="1283" width="7.7109375" style="69" customWidth="1"/>
    <col min="1284" max="1284" width="6.42578125" style="69" customWidth="1"/>
    <col min="1285" max="1285" width="7.7109375" style="69" customWidth="1"/>
    <col min="1286" max="1286" width="6.7109375" style="69" customWidth="1"/>
    <col min="1287" max="1287" width="5.7109375" style="69" customWidth="1"/>
    <col min="1288" max="1288" width="7.7109375" style="69" customWidth="1"/>
    <col min="1289" max="1289" width="6.28515625" style="69" customWidth="1"/>
    <col min="1290" max="1290" width="7.28515625" style="69" customWidth="1"/>
    <col min="1291" max="1291" width="6" style="69" customWidth="1"/>
    <col min="1292" max="1293" width="7.7109375" style="69" customWidth="1"/>
    <col min="1294" max="1294" width="5.7109375" style="69" customWidth="1"/>
    <col min="1295" max="1298" width="7.7109375" style="69" customWidth="1"/>
    <col min="1299" max="1299" width="6.7109375" style="69" customWidth="1"/>
    <col min="1300" max="1303" width="6.28515625" style="69" customWidth="1"/>
    <col min="1304" max="1536" width="9.140625" style="69"/>
    <col min="1537" max="1537" width="2.85546875" style="69" customWidth="1"/>
    <col min="1538" max="1538" width="13.85546875" style="69" customWidth="1"/>
    <col min="1539" max="1539" width="7.7109375" style="69" customWidth="1"/>
    <col min="1540" max="1540" width="6.42578125" style="69" customWidth="1"/>
    <col min="1541" max="1541" width="7.7109375" style="69" customWidth="1"/>
    <col min="1542" max="1542" width="6.7109375" style="69" customWidth="1"/>
    <col min="1543" max="1543" width="5.7109375" style="69" customWidth="1"/>
    <col min="1544" max="1544" width="7.7109375" style="69" customWidth="1"/>
    <col min="1545" max="1545" width="6.28515625" style="69" customWidth="1"/>
    <col min="1546" max="1546" width="7.28515625" style="69" customWidth="1"/>
    <col min="1547" max="1547" width="6" style="69" customWidth="1"/>
    <col min="1548" max="1549" width="7.7109375" style="69" customWidth="1"/>
    <col min="1550" max="1550" width="5.7109375" style="69" customWidth="1"/>
    <col min="1551" max="1554" width="7.7109375" style="69" customWidth="1"/>
    <col min="1555" max="1555" width="6.7109375" style="69" customWidth="1"/>
    <col min="1556" max="1559" width="6.28515625" style="69" customWidth="1"/>
    <col min="1560" max="1792" width="9.140625" style="69"/>
    <col min="1793" max="1793" width="2.85546875" style="69" customWidth="1"/>
    <col min="1794" max="1794" width="13.85546875" style="69" customWidth="1"/>
    <col min="1795" max="1795" width="7.7109375" style="69" customWidth="1"/>
    <col min="1796" max="1796" width="6.42578125" style="69" customWidth="1"/>
    <col min="1797" max="1797" width="7.7109375" style="69" customWidth="1"/>
    <col min="1798" max="1798" width="6.7109375" style="69" customWidth="1"/>
    <col min="1799" max="1799" width="5.7109375" style="69" customWidth="1"/>
    <col min="1800" max="1800" width="7.7109375" style="69" customWidth="1"/>
    <col min="1801" max="1801" width="6.28515625" style="69" customWidth="1"/>
    <col min="1802" max="1802" width="7.28515625" style="69" customWidth="1"/>
    <col min="1803" max="1803" width="6" style="69" customWidth="1"/>
    <col min="1804" max="1805" width="7.7109375" style="69" customWidth="1"/>
    <col min="1806" max="1806" width="5.7109375" style="69" customWidth="1"/>
    <col min="1807" max="1810" width="7.7109375" style="69" customWidth="1"/>
    <col min="1811" max="1811" width="6.7109375" style="69" customWidth="1"/>
    <col min="1812" max="1815" width="6.28515625" style="69" customWidth="1"/>
    <col min="1816" max="2048" width="9.140625" style="69"/>
    <col min="2049" max="2049" width="2.85546875" style="69" customWidth="1"/>
    <col min="2050" max="2050" width="13.85546875" style="69" customWidth="1"/>
    <col min="2051" max="2051" width="7.7109375" style="69" customWidth="1"/>
    <col min="2052" max="2052" width="6.42578125" style="69" customWidth="1"/>
    <col min="2053" max="2053" width="7.7109375" style="69" customWidth="1"/>
    <col min="2054" max="2054" width="6.7109375" style="69" customWidth="1"/>
    <col min="2055" max="2055" width="5.7109375" style="69" customWidth="1"/>
    <col min="2056" max="2056" width="7.7109375" style="69" customWidth="1"/>
    <col min="2057" max="2057" width="6.28515625" style="69" customWidth="1"/>
    <col min="2058" max="2058" width="7.28515625" style="69" customWidth="1"/>
    <col min="2059" max="2059" width="6" style="69" customWidth="1"/>
    <col min="2060" max="2061" width="7.7109375" style="69" customWidth="1"/>
    <col min="2062" max="2062" width="5.7109375" style="69" customWidth="1"/>
    <col min="2063" max="2066" width="7.7109375" style="69" customWidth="1"/>
    <col min="2067" max="2067" width="6.7109375" style="69" customWidth="1"/>
    <col min="2068" max="2071" width="6.28515625" style="69" customWidth="1"/>
    <col min="2072" max="2304" width="9.140625" style="69"/>
    <col min="2305" max="2305" width="2.85546875" style="69" customWidth="1"/>
    <col min="2306" max="2306" width="13.85546875" style="69" customWidth="1"/>
    <col min="2307" max="2307" width="7.7109375" style="69" customWidth="1"/>
    <col min="2308" max="2308" width="6.42578125" style="69" customWidth="1"/>
    <col min="2309" max="2309" width="7.7109375" style="69" customWidth="1"/>
    <col min="2310" max="2310" width="6.7109375" style="69" customWidth="1"/>
    <col min="2311" max="2311" width="5.7109375" style="69" customWidth="1"/>
    <col min="2312" max="2312" width="7.7109375" style="69" customWidth="1"/>
    <col min="2313" max="2313" width="6.28515625" style="69" customWidth="1"/>
    <col min="2314" max="2314" width="7.28515625" style="69" customWidth="1"/>
    <col min="2315" max="2315" width="6" style="69" customWidth="1"/>
    <col min="2316" max="2317" width="7.7109375" style="69" customWidth="1"/>
    <col min="2318" max="2318" width="5.7109375" style="69" customWidth="1"/>
    <col min="2319" max="2322" width="7.7109375" style="69" customWidth="1"/>
    <col min="2323" max="2323" width="6.7109375" style="69" customWidth="1"/>
    <col min="2324" max="2327" width="6.28515625" style="69" customWidth="1"/>
    <col min="2328" max="2560" width="9.140625" style="69"/>
    <col min="2561" max="2561" width="2.85546875" style="69" customWidth="1"/>
    <col min="2562" max="2562" width="13.85546875" style="69" customWidth="1"/>
    <col min="2563" max="2563" width="7.7109375" style="69" customWidth="1"/>
    <col min="2564" max="2564" width="6.42578125" style="69" customWidth="1"/>
    <col min="2565" max="2565" width="7.7109375" style="69" customWidth="1"/>
    <col min="2566" max="2566" width="6.7109375" style="69" customWidth="1"/>
    <col min="2567" max="2567" width="5.7109375" style="69" customWidth="1"/>
    <col min="2568" max="2568" width="7.7109375" style="69" customWidth="1"/>
    <col min="2569" max="2569" width="6.28515625" style="69" customWidth="1"/>
    <col min="2570" max="2570" width="7.28515625" style="69" customWidth="1"/>
    <col min="2571" max="2571" width="6" style="69" customWidth="1"/>
    <col min="2572" max="2573" width="7.7109375" style="69" customWidth="1"/>
    <col min="2574" max="2574" width="5.7109375" style="69" customWidth="1"/>
    <col min="2575" max="2578" width="7.7109375" style="69" customWidth="1"/>
    <col min="2579" max="2579" width="6.7109375" style="69" customWidth="1"/>
    <col min="2580" max="2583" width="6.28515625" style="69" customWidth="1"/>
    <col min="2584" max="2816" width="9.140625" style="69"/>
    <col min="2817" max="2817" width="2.85546875" style="69" customWidth="1"/>
    <col min="2818" max="2818" width="13.85546875" style="69" customWidth="1"/>
    <col min="2819" max="2819" width="7.7109375" style="69" customWidth="1"/>
    <col min="2820" max="2820" width="6.42578125" style="69" customWidth="1"/>
    <col min="2821" max="2821" width="7.7109375" style="69" customWidth="1"/>
    <col min="2822" max="2822" width="6.7109375" style="69" customWidth="1"/>
    <col min="2823" max="2823" width="5.7109375" style="69" customWidth="1"/>
    <col min="2824" max="2824" width="7.7109375" style="69" customWidth="1"/>
    <col min="2825" max="2825" width="6.28515625" style="69" customWidth="1"/>
    <col min="2826" max="2826" width="7.28515625" style="69" customWidth="1"/>
    <col min="2827" max="2827" width="6" style="69" customWidth="1"/>
    <col min="2828" max="2829" width="7.7109375" style="69" customWidth="1"/>
    <col min="2830" max="2830" width="5.7109375" style="69" customWidth="1"/>
    <col min="2831" max="2834" width="7.7109375" style="69" customWidth="1"/>
    <col min="2835" max="2835" width="6.7109375" style="69" customWidth="1"/>
    <col min="2836" max="2839" width="6.28515625" style="69" customWidth="1"/>
    <col min="2840" max="3072" width="9.140625" style="69"/>
    <col min="3073" max="3073" width="2.85546875" style="69" customWidth="1"/>
    <col min="3074" max="3074" width="13.85546875" style="69" customWidth="1"/>
    <col min="3075" max="3075" width="7.7109375" style="69" customWidth="1"/>
    <col min="3076" max="3076" width="6.42578125" style="69" customWidth="1"/>
    <col min="3077" max="3077" width="7.7109375" style="69" customWidth="1"/>
    <col min="3078" max="3078" width="6.7109375" style="69" customWidth="1"/>
    <col min="3079" max="3079" width="5.7109375" style="69" customWidth="1"/>
    <col min="3080" max="3080" width="7.7109375" style="69" customWidth="1"/>
    <col min="3081" max="3081" width="6.28515625" style="69" customWidth="1"/>
    <col min="3082" max="3082" width="7.28515625" style="69" customWidth="1"/>
    <col min="3083" max="3083" width="6" style="69" customWidth="1"/>
    <col min="3084" max="3085" width="7.7109375" style="69" customWidth="1"/>
    <col min="3086" max="3086" width="5.7109375" style="69" customWidth="1"/>
    <col min="3087" max="3090" width="7.7109375" style="69" customWidth="1"/>
    <col min="3091" max="3091" width="6.7109375" style="69" customWidth="1"/>
    <col min="3092" max="3095" width="6.28515625" style="69" customWidth="1"/>
    <col min="3096" max="3328" width="9.140625" style="69"/>
    <col min="3329" max="3329" width="2.85546875" style="69" customWidth="1"/>
    <col min="3330" max="3330" width="13.85546875" style="69" customWidth="1"/>
    <col min="3331" max="3331" width="7.7109375" style="69" customWidth="1"/>
    <col min="3332" max="3332" width="6.42578125" style="69" customWidth="1"/>
    <col min="3333" max="3333" width="7.7109375" style="69" customWidth="1"/>
    <col min="3334" max="3334" width="6.7109375" style="69" customWidth="1"/>
    <col min="3335" max="3335" width="5.7109375" style="69" customWidth="1"/>
    <col min="3336" max="3336" width="7.7109375" style="69" customWidth="1"/>
    <col min="3337" max="3337" width="6.28515625" style="69" customWidth="1"/>
    <col min="3338" max="3338" width="7.28515625" style="69" customWidth="1"/>
    <col min="3339" max="3339" width="6" style="69" customWidth="1"/>
    <col min="3340" max="3341" width="7.7109375" style="69" customWidth="1"/>
    <col min="3342" max="3342" width="5.7109375" style="69" customWidth="1"/>
    <col min="3343" max="3346" width="7.7109375" style="69" customWidth="1"/>
    <col min="3347" max="3347" width="6.7109375" style="69" customWidth="1"/>
    <col min="3348" max="3351" width="6.28515625" style="69" customWidth="1"/>
    <col min="3352" max="3584" width="9.140625" style="69"/>
    <col min="3585" max="3585" width="2.85546875" style="69" customWidth="1"/>
    <col min="3586" max="3586" width="13.85546875" style="69" customWidth="1"/>
    <col min="3587" max="3587" width="7.7109375" style="69" customWidth="1"/>
    <col min="3588" max="3588" width="6.42578125" style="69" customWidth="1"/>
    <col min="3589" max="3589" width="7.7109375" style="69" customWidth="1"/>
    <col min="3590" max="3590" width="6.7109375" style="69" customWidth="1"/>
    <col min="3591" max="3591" width="5.7109375" style="69" customWidth="1"/>
    <col min="3592" max="3592" width="7.7109375" style="69" customWidth="1"/>
    <col min="3593" max="3593" width="6.28515625" style="69" customWidth="1"/>
    <col min="3594" max="3594" width="7.28515625" style="69" customWidth="1"/>
    <col min="3595" max="3595" width="6" style="69" customWidth="1"/>
    <col min="3596" max="3597" width="7.7109375" style="69" customWidth="1"/>
    <col min="3598" max="3598" width="5.7109375" style="69" customWidth="1"/>
    <col min="3599" max="3602" width="7.7109375" style="69" customWidth="1"/>
    <col min="3603" max="3603" width="6.7109375" style="69" customWidth="1"/>
    <col min="3604" max="3607" width="6.28515625" style="69" customWidth="1"/>
    <col min="3608" max="3840" width="9.140625" style="69"/>
    <col min="3841" max="3841" width="2.85546875" style="69" customWidth="1"/>
    <col min="3842" max="3842" width="13.85546875" style="69" customWidth="1"/>
    <col min="3843" max="3843" width="7.7109375" style="69" customWidth="1"/>
    <col min="3844" max="3844" width="6.42578125" style="69" customWidth="1"/>
    <col min="3845" max="3845" width="7.7109375" style="69" customWidth="1"/>
    <col min="3846" max="3846" width="6.7109375" style="69" customWidth="1"/>
    <col min="3847" max="3847" width="5.7109375" style="69" customWidth="1"/>
    <col min="3848" max="3848" width="7.7109375" style="69" customWidth="1"/>
    <col min="3849" max="3849" width="6.28515625" style="69" customWidth="1"/>
    <col min="3850" max="3850" width="7.28515625" style="69" customWidth="1"/>
    <col min="3851" max="3851" width="6" style="69" customWidth="1"/>
    <col min="3852" max="3853" width="7.7109375" style="69" customWidth="1"/>
    <col min="3854" max="3854" width="5.7109375" style="69" customWidth="1"/>
    <col min="3855" max="3858" width="7.7109375" style="69" customWidth="1"/>
    <col min="3859" max="3859" width="6.7109375" style="69" customWidth="1"/>
    <col min="3860" max="3863" width="6.28515625" style="69" customWidth="1"/>
    <col min="3864" max="4096" width="9.140625" style="69"/>
    <col min="4097" max="4097" width="2.85546875" style="69" customWidth="1"/>
    <col min="4098" max="4098" width="13.85546875" style="69" customWidth="1"/>
    <col min="4099" max="4099" width="7.7109375" style="69" customWidth="1"/>
    <col min="4100" max="4100" width="6.42578125" style="69" customWidth="1"/>
    <col min="4101" max="4101" width="7.7109375" style="69" customWidth="1"/>
    <col min="4102" max="4102" width="6.7109375" style="69" customWidth="1"/>
    <col min="4103" max="4103" width="5.7109375" style="69" customWidth="1"/>
    <col min="4104" max="4104" width="7.7109375" style="69" customWidth="1"/>
    <col min="4105" max="4105" width="6.28515625" style="69" customWidth="1"/>
    <col min="4106" max="4106" width="7.28515625" style="69" customWidth="1"/>
    <col min="4107" max="4107" width="6" style="69" customWidth="1"/>
    <col min="4108" max="4109" width="7.7109375" style="69" customWidth="1"/>
    <col min="4110" max="4110" width="5.7109375" style="69" customWidth="1"/>
    <col min="4111" max="4114" width="7.7109375" style="69" customWidth="1"/>
    <col min="4115" max="4115" width="6.7109375" style="69" customWidth="1"/>
    <col min="4116" max="4119" width="6.28515625" style="69" customWidth="1"/>
    <col min="4120" max="4352" width="9.140625" style="69"/>
    <col min="4353" max="4353" width="2.85546875" style="69" customWidth="1"/>
    <col min="4354" max="4354" width="13.85546875" style="69" customWidth="1"/>
    <col min="4355" max="4355" width="7.7109375" style="69" customWidth="1"/>
    <col min="4356" max="4356" width="6.42578125" style="69" customWidth="1"/>
    <col min="4357" max="4357" width="7.7109375" style="69" customWidth="1"/>
    <col min="4358" max="4358" width="6.7109375" style="69" customWidth="1"/>
    <col min="4359" max="4359" width="5.7109375" style="69" customWidth="1"/>
    <col min="4360" max="4360" width="7.7109375" style="69" customWidth="1"/>
    <col min="4361" max="4361" width="6.28515625" style="69" customWidth="1"/>
    <col min="4362" max="4362" width="7.28515625" style="69" customWidth="1"/>
    <col min="4363" max="4363" width="6" style="69" customWidth="1"/>
    <col min="4364" max="4365" width="7.7109375" style="69" customWidth="1"/>
    <col min="4366" max="4366" width="5.7109375" style="69" customWidth="1"/>
    <col min="4367" max="4370" width="7.7109375" style="69" customWidth="1"/>
    <col min="4371" max="4371" width="6.7109375" style="69" customWidth="1"/>
    <col min="4372" max="4375" width="6.28515625" style="69" customWidth="1"/>
    <col min="4376" max="4608" width="9.140625" style="69"/>
    <col min="4609" max="4609" width="2.85546875" style="69" customWidth="1"/>
    <col min="4610" max="4610" width="13.85546875" style="69" customWidth="1"/>
    <col min="4611" max="4611" width="7.7109375" style="69" customWidth="1"/>
    <col min="4612" max="4612" width="6.42578125" style="69" customWidth="1"/>
    <col min="4613" max="4613" width="7.7109375" style="69" customWidth="1"/>
    <col min="4614" max="4614" width="6.7109375" style="69" customWidth="1"/>
    <col min="4615" max="4615" width="5.7109375" style="69" customWidth="1"/>
    <col min="4616" max="4616" width="7.7109375" style="69" customWidth="1"/>
    <col min="4617" max="4617" width="6.28515625" style="69" customWidth="1"/>
    <col min="4618" max="4618" width="7.28515625" style="69" customWidth="1"/>
    <col min="4619" max="4619" width="6" style="69" customWidth="1"/>
    <col min="4620" max="4621" width="7.7109375" style="69" customWidth="1"/>
    <col min="4622" max="4622" width="5.7109375" style="69" customWidth="1"/>
    <col min="4623" max="4626" width="7.7109375" style="69" customWidth="1"/>
    <col min="4627" max="4627" width="6.7109375" style="69" customWidth="1"/>
    <col min="4628" max="4631" width="6.28515625" style="69" customWidth="1"/>
    <col min="4632" max="4864" width="9.140625" style="69"/>
    <col min="4865" max="4865" width="2.85546875" style="69" customWidth="1"/>
    <col min="4866" max="4866" width="13.85546875" style="69" customWidth="1"/>
    <col min="4867" max="4867" width="7.7109375" style="69" customWidth="1"/>
    <col min="4868" max="4868" width="6.42578125" style="69" customWidth="1"/>
    <col min="4869" max="4869" width="7.7109375" style="69" customWidth="1"/>
    <col min="4870" max="4870" width="6.7109375" style="69" customWidth="1"/>
    <col min="4871" max="4871" width="5.7109375" style="69" customWidth="1"/>
    <col min="4872" max="4872" width="7.7109375" style="69" customWidth="1"/>
    <col min="4873" max="4873" width="6.28515625" style="69" customWidth="1"/>
    <col min="4874" max="4874" width="7.28515625" style="69" customWidth="1"/>
    <col min="4875" max="4875" width="6" style="69" customWidth="1"/>
    <col min="4876" max="4877" width="7.7109375" style="69" customWidth="1"/>
    <col min="4878" max="4878" width="5.7109375" style="69" customWidth="1"/>
    <col min="4879" max="4882" width="7.7109375" style="69" customWidth="1"/>
    <col min="4883" max="4883" width="6.7109375" style="69" customWidth="1"/>
    <col min="4884" max="4887" width="6.28515625" style="69" customWidth="1"/>
    <col min="4888" max="5120" width="9.140625" style="69"/>
    <col min="5121" max="5121" width="2.85546875" style="69" customWidth="1"/>
    <col min="5122" max="5122" width="13.85546875" style="69" customWidth="1"/>
    <col min="5123" max="5123" width="7.7109375" style="69" customWidth="1"/>
    <col min="5124" max="5124" width="6.42578125" style="69" customWidth="1"/>
    <col min="5125" max="5125" width="7.7109375" style="69" customWidth="1"/>
    <col min="5126" max="5126" width="6.7109375" style="69" customWidth="1"/>
    <col min="5127" max="5127" width="5.7109375" style="69" customWidth="1"/>
    <col min="5128" max="5128" width="7.7109375" style="69" customWidth="1"/>
    <col min="5129" max="5129" width="6.28515625" style="69" customWidth="1"/>
    <col min="5130" max="5130" width="7.28515625" style="69" customWidth="1"/>
    <col min="5131" max="5131" width="6" style="69" customWidth="1"/>
    <col min="5132" max="5133" width="7.7109375" style="69" customWidth="1"/>
    <col min="5134" max="5134" width="5.7109375" style="69" customWidth="1"/>
    <col min="5135" max="5138" width="7.7109375" style="69" customWidth="1"/>
    <col min="5139" max="5139" width="6.7109375" style="69" customWidth="1"/>
    <col min="5140" max="5143" width="6.28515625" style="69" customWidth="1"/>
    <col min="5144" max="5376" width="9.140625" style="69"/>
    <col min="5377" max="5377" width="2.85546875" style="69" customWidth="1"/>
    <col min="5378" max="5378" width="13.85546875" style="69" customWidth="1"/>
    <col min="5379" max="5379" width="7.7109375" style="69" customWidth="1"/>
    <col min="5380" max="5380" width="6.42578125" style="69" customWidth="1"/>
    <col min="5381" max="5381" width="7.7109375" style="69" customWidth="1"/>
    <col min="5382" max="5382" width="6.7109375" style="69" customWidth="1"/>
    <col min="5383" max="5383" width="5.7109375" style="69" customWidth="1"/>
    <col min="5384" max="5384" width="7.7109375" style="69" customWidth="1"/>
    <col min="5385" max="5385" width="6.28515625" style="69" customWidth="1"/>
    <col min="5386" max="5386" width="7.28515625" style="69" customWidth="1"/>
    <col min="5387" max="5387" width="6" style="69" customWidth="1"/>
    <col min="5388" max="5389" width="7.7109375" style="69" customWidth="1"/>
    <col min="5390" max="5390" width="5.7109375" style="69" customWidth="1"/>
    <col min="5391" max="5394" width="7.7109375" style="69" customWidth="1"/>
    <col min="5395" max="5395" width="6.7109375" style="69" customWidth="1"/>
    <col min="5396" max="5399" width="6.28515625" style="69" customWidth="1"/>
    <col min="5400" max="5632" width="9.140625" style="69"/>
    <col min="5633" max="5633" width="2.85546875" style="69" customWidth="1"/>
    <col min="5634" max="5634" width="13.85546875" style="69" customWidth="1"/>
    <col min="5635" max="5635" width="7.7109375" style="69" customWidth="1"/>
    <col min="5636" max="5636" width="6.42578125" style="69" customWidth="1"/>
    <col min="5637" max="5637" width="7.7109375" style="69" customWidth="1"/>
    <col min="5638" max="5638" width="6.7109375" style="69" customWidth="1"/>
    <col min="5639" max="5639" width="5.7109375" style="69" customWidth="1"/>
    <col min="5640" max="5640" width="7.7109375" style="69" customWidth="1"/>
    <col min="5641" max="5641" width="6.28515625" style="69" customWidth="1"/>
    <col min="5642" max="5642" width="7.28515625" style="69" customWidth="1"/>
    <col min="5643" max="5643" width="6" style="69" customWidth="1"/>
    <col min="5644" max="5645" width="7.7109375" style="69" customWidth="1"/>
    <col min="5646" max="5646" width="5.7109375" style="69" customWidth="1"/>
    <col min="5647" max="5650" width="7.7109375" style="69" customWidth="1"/>
    <col min="5651" max="5651" width="6.7109375" style="69" customWidth="1"/>
    <col min="5652" max="5655" width="6.28515625" style="69" customWidth="1"/>
    <col min="5656" max="5888" width="9.140625" style="69"/>
    <col min="5889" max="5889" width="2.85546875" style="69" customWidth="1"/>
    <col min="5890" max="5890" width="13.85546875" style="69" customWidth="1"/>
    <col min="5891" max="5891" width="7.7109375" style="69" customWidth="1"/>
    <col min="5892" max="5892" width="6.42578125" style="69" customWidth="1"/>
    <col min="5893" max="5893" width="7.7109375" style="69" customWidth="1"/>
    <col min="5894" max="5894" width="6.7109375" style="69" customWidth="1"/>
    <col min="5895" max="5895" width="5.7109375" style="69" customWidth="1"/>
    <col min="5896" max="5896" width="7.7109375" style="69" customWidth="1"/>
    <col min="5897" max="5897" width="6.28515625" style="69" customWidth="1"/>
    <col min="5898" max="5898" width="7.28515625" style="69" customWidth="1"/>
    <col min="5899" max="5899" width="6" style="69" customWidth="1"/>
    <col min="5900" max="5901" width="7.7109375" style="69" customWidth="1"/>
    <col min="5902" max="5902" width="5.7109375" style="69" customWidth="1"/>
    <col min="5903" max="5906" width="7.7109375" style="69" customWidth="1"/>
    <col min="5907" max="5907" width="6.7109375" style="69" customWidth="1"/>
    <col min="5908" max="5911" width="6.28515625" style="69" customWidth="1"/>
    <col min="5912" max="6144" width="9.140625" style="69"/>
    <col min="6145" max="6145" width="2.85546875" style="69" customWidth="1"/>
    <col min="6146" max="6146" width="13.85546875" style="69" customWidth="1"/>
    <col min="6147" max="6147" width="7.7109375" style="69" customWidth="1"/>
    <col min="6148" max="6148" width="6.42578125" style="69" customWidth="1"/>
    <col min="6149" max="6149" width="7.7109375" style="69" customWidth="1"/>
    <col min="6150" max="6150" width="6.7109375" style="69" customWidth="1"/>
    <col min="6151" max="6151" width="5.7109375" style="69" customWidth="1"/>
    <col min="6152" max="6152" width="7.7109375" style="69" customWidth="1"/>
    <col min="6153" max="6153" width="6.28515625" style="69" customWidth="1"/>
    <col min="6154" max="6154" width="7.28515625" style="69" customWidth="1"/>
    <col min="6155" max="6155" width="6" style="69" customWidth="1"/>
    <col min="6156" max="6157" width="7.7109375" style="69" customWidth="1"/>
    <col min="6158" max="6158" width="5.7109375" style="69" customWidth="1"/>
    <col min="6159" max="6162" width="7.7109375" style="69" customWidth="1"/>
    <col min="6163" max="6163" width="6.7109375" style="69" customWidth="1"/>
    <col min="6164" max="6167" width="6.28515625" style="69" customWidth="1"/>
    <col min="6168" max="6400" width="9.140625" style="69"/>
    <col min="6401" max="6401" width="2.85546875" style="69" customWidth="1"/>
    <col min="6402" max="6402" width="13.85546875" style="69" customWidth="1"/>
    <col min="6403" max="6403" width="7.7109375" style="69" customWidth="1"/>
    <col min="6404" max="6404" width="6.42578125" style="69" customWidth="1"/>
    <col min="6405" max="6405" width="7.7109375" style="69" customWidth="1"/>
    <col min="6406" max="6406" width="6.7109375" style="69" customWidth="1"/>
    <col min="6407" max="6407" width="5.7109375" style="69" customWidth="1"/>
    <col min="6408" max="6408" width="7.7109375" style="69" customWidth="1"/>
    <col min="6409" max="6409" width="6.28515625" style="69" customWidth="1"/>
    <col min="6410" max="6410" width="7.28515625" style="69" customWidth="1"/>
    <col min="6411" max="6411" width="6" style="69" customWidth="1"/>
    <col min="6412" max="6413" width="7.7109375" style="69" customWidth="1"/>
    <col min="6414" max="6414" width="5.7109375" style="69" customWidth="1"/>
    <col min="6415" max="6418" width="7.7109375" style="69" customWidth="1"/>
    <col min="6419" max="6419" width="6.7109375" style="69" customWidth="1"/>
    <col min="6420" max="6423" width="6.28515625" style="69" customWidth="1"/>
    <col min="6424" max="6656" width="9.140625" style="69"/>
    <col min="6657" max="6657" width="2.85546875" style="69" customWidth="1"/>
    <col min="6658" max="6658" width="13.85546875" style="69" customWidth="1"/>
    <col min="6659" max="6659" width="7.7109375" style="69" customWidth="1"/>
    <col min="6660" max="6660" width="6.42578125" style="69" customWidth="1"/>
    <col min="6661" max="6661" width="7.7109375" style="69" customWidth="1"/>
    <col min="6662" max="6662" width="6.7109375" style="69" customWidth="1"/>
    <col min="6663" max="6663" width="5.7109375" style="69" customWidth="1"/>
    <col min="6664" max="6664" width="7.7109375" style="69" customWidth="1"/>
    <col min="6665" max="6665" width="6.28515625" style="69" customWidth="1"/>
    <col min="6666" max="6666" width="7.28515625" style="69" customWidth="1"/>
    <col min="6667" max="6667" width="6" style="69" customWidth="1"/>
    <col min="6668" max="6669" width="7.7109375" style="69" customWidth="1"/>
    <col min="6670" max="6670" width="5.7109375" style="69" customWidth="1"/>
    <col min="6671" max="6674" width="7.7109375" style="69" customWidth="1"/>
    <col min="6675" max="6675" width="6.7109375" style="69" customWidth="1"/>
    <col min="6676" max="6679" width="6.28515625" style="69" customWidth="1"/>
    <col min="6680" max="6912" width="9.140625" style="69"/>
    <col min="6913" max="6913" width="2.85546875" style="69" customWidth="1"/>
    <col min="6914" max="6914" width="13.85546875" style="69" customWidth="1"/>
    <col min="6915" max="6915" width="7.7109375" style="69" customWidth="1"/>
    <col min="6916" max="6916" width="6.42578125" style="69" customWidth="1"/>
    <col min="6917" max="6917" width="7.7109375" style="69" customWidth="1"/>
    <col min="6918" max="6918" width="6.7109375" style="69" customWidth="1"/>
    <col min="6919" max="6919" width="5.7109375" style="69" customWidth="1"/>
    <col min="6920" max="6920" width="7.7109375" style="69" customWidth="1"/>
    <col min="6921" max="6921" width="6.28515625" style="69" customWidth="1"/>
    <col min="6922" max="6922" width="7.28515625" style="69" customWidth="1"/>
    <col min="6923" max="6923" width="6" style="69" customWidth="1"/>
    <col min="6924" max="6925" width="7.7109375" style="69" customWidth="1"/>
    <col min="6926" max="6926" width="5.7109375" style="69" customWidth="1"/>
    <col min="6927" max="6930" width="7.7109375" style="69" customWidth="1"/>
    <col min="6931" max="6931" width="6.7109375" style="69" customWidth="1"/>
    <col min="6932" max="6935" width="6.28515625" style="69" customWidth="1"/>
    <col min="6936" max="7168" width="9.140625" style="69"/>
    <col min="7169" max="7169" width="2.85546875" style="69" customWidth="1"/>
    <col min="7170" max="7170" width="13.85546875" style="69" customWidth="1"/>
    <col min="7171" max="7171" width="7.7109375" style="69" customWidth="1"/>
    <col min="7172" max="7172" width="6.42578125" style="69" customWidth="1"/>
    <col min="7173" max="7173" width="7.7109375" style="69" customWidth="1"/>
    <col min="7174" max="7174" width="6.7109375" style="69" customWidth="1"/>
    <col min="7175" max="7175" width="5.7109375" style="69" customWidth="1"/>
    <col min="7176" max="7176" width="7.7109375" style="69" customWidth="1"/>
    <col min="7177" max="7177" width="6.28515625" style="69" customWidth="1"/>
    <col min="7178" max="7178" width="7.28515625" style="69" customWidth="1"/>
    <col min="7179" max="7179" width="6" style="69" customWidth="1"/>
    <col min="7180" max="7181" width="7.7109375" style="69" customWidth="1"/>
    <col min="7182" max="7182" width="5.7109375" style="69" customWidth="1"/>
    <col min="7183" max="7186" width="7.7109375" style="69" customWidth="1"/>
    <col min="7187" max="7187" width="6.7109375" style="69" customWidth="1"/>
    <col min="7188" max="7191" width="6.28515625" style="69" customWidth="1"/>
    <col min="7192" max="7424" width="9.140625" style="69"/>
    <col min="7425" max="7425" width="2.85546875" style="69" customWidth="1"/>
    <col min="7426" max="7426" width="13.85546875" style="69" customWidth="1"/>
    <col min="7427" max="7427" width="7.7109375" style="69" customWidth="1"/>
    <col min="7428" max="7428" width="6.42578125" style="69" customWidth="1"/>
    <col min="7429" max="7429" width="7.7109375" style="69" customWidth="1"/>
    <col min="7430" max="7430" width="6.7109375" style="69" customWidth="1"/>
    <col min="7431" max="7431" width="5.7109375" style="69" customWidth="1"/>
    <col min="7432" max="7432" width="7.7109375" style="69" customWidth="1"/>
    <col min="7433" max="7433" width="6.28515625" style="69" customWidth="1"/>
    <col min="7434" max="7434" width="7.28515625" style="69" customWidth="1"/>
    <col min="7435" max="7435" width="6" style="69" customWidth="1"/>
    <col min="7436" max="7437" width="7.7109375" style="69" customWidth="1"/>
    <col min="7438" max="7438" width="5.7109375" style="69" customWidth="1"/>
    <col min="7439" max="7442" width="7.7109375" style="69" customWidth="1"/>
    <col min="7443" max="7443" width="6.7109375" style="69" customWidth="1"/>
    <col min="7444" max="7447" width="6.28515625" style="69" customWidth="1"/>
    <col min="7448" max="7680" width="9.140625" style="69"/>
    <col min="7681" max="7681" width="2.85546875" style="69" customWidth="1"/>
    <col min="7682" max="7682" width="13.85546875" style="69" customWidth="1"/>
    <col min="7683" max="7683" width="7.7109375" style="69" customWidth="1"/>
    <col min="7684" max="7684" width="6.42578125" style="69" customWidth="1"/>
    <col min="7685" max="7685" width="7.7109375" style="69" customWidth="1"/>
    <col min="7686" max="7686" width="6.7109375" style="69" customWidth="1"/>
    <col min="7687" max="7687" width="5.7109375" style="69" customWidth="1"/>
    <col min="7688" max="7688" width="7.7109375" style="69" customWidth="1"/>
    <col min="7689" max="7689" width="6.28515625" style="69" customWidth="1"/>
    <col min="7690" max="7690" width="7.28515625" style="69" customWidth="1"/>
    <col min="7691" max="7691" width="6" style="69" customWidth="1"/>
    <col min="7692" max="7693" width="7.7109375" style="69" customWidth="1"/>
    <col min="7694" max="7694" width="5.7109375" style="69" customWidth="1"/>
    <col min="7695" max="7698" width="7.7109375" style="69" customWidth="1"/>
    <col min="7699" max="7699" width="6.7109375" style="69" customWidth="1"/>
    <col min="7700" max="7703" width="6.28515625" style="69" customWidth="1"/>
    <col min="7704" max="7936" width="9.140625" style="69"/>
    <col min="7937" max="7937" width="2.85546875" style="69" customWidth="1"/>
    <col min="7938" max="7938" width="13.85546875" style="69" customWidth="1"/>
    <col min="7939" max="7939" width="7.7109375" style="69" customWidth="1"/>
    <col min="7940" max="7940" width="6.42578125" style="69" customWidth="1"/>
    <col min="7941" max="7941" width="7.7109375" style="69" customWidth="1"/>
    <col min="7942" max="7942" width="6.7109375" style="69" customWidth="1"/>
    <col min="7943" max="7943" width="5.7109375" style="69" customWidth="1"/>
    <col min="7944" max="7944" width="7.7109375" style="69" customWidth="1"/>
    <col min="7945" max="7945" width="6.28515625" style="69" customWidth="1"/>
    <col min="7946" max="7946" width="7.28515625" style="69" customWidth="1"/>
    <col min="7947" max="7947" width="6" style="69" customWidth="1"/>
    <col min="7948" max="7949" width="7.7109375" style="69" customWidth="1"/>
    <col min="7950" max="7950" width="5.7109375" style="69" customWidth="1"/>
    <col min="7951" max="7954" width="7.7109375" style="69" customWidth="1"/>
    <col min="7955" max="7955" width="6.7109375" style="69" customWidth="1"/>
    <col min="7956" max="7959" width="6.28515625" style="69" customWidth="1"/>
    <col min="7960" max="8192" width="9.140625" style="69"/>
    <col min="8193" max="8193" width="2.85546875" style="69" customWidth="1"/>
    <col min="8194" max="8194" width="13.85546875" style="69" customWidth="1"/>
    <col min="8195" max="8195" width="7.7109375" style="69" customWidth="1"/>
    <col min="8196" max="8196" width="6.42578125" style="69" customWidth="1"/>
    <col min="8197" max="8197" width="7.7109375" style="69" customWidth="1"/>
    <col min="8198" max="8198" width="6.7109375" style="69" customWidth="1"/>
    <col min="8199" max="8199" width="5.7109375" style="69" customWidth="1"/>
    <col min="8200" max="8200" width="7.7109375" style="69" customWidth="1"/>
    <col min="8201" max="8201" width="6.28515625" style="69" customWidth="1"/>
    <col min="8202" max="8202" width="7.28515625" style="69" customWidth="1"/>
    <col min="8203" max="8203" width="6" style="69" customWidth="1"/>
    <col min="8204" max="8205" width="7.7109375" style="69" customWidth="1"/>
    <col min="8206" max="8206" width="5.7109375" style="69" customWidth="1"/>
    <col min="8207" max="8210" width="7.7109375" style="69" customWidth="1"/>
    <col min="8211" max="8211" width="6.7109375" style="69" customWidth="1"/>
    <col min="8212" max="8215" width="6.28515625" style="69" customWidth="1"/>
    <col min="8216" max="8448" width="9.140625" style="69"/>
    <col min="8449" max="8449" width="2.85546875" style="69" customWidth="1"/>
    <col min="8450" max="8450" width="13.85546875" style="69" customWidth="1"/>
    <col min="8451" max="8451" width="7.7109375" style="69" customWidth="1"/>
    <col min="8452" max="8452" width="6.42578125" style="69" customWidth="1"/>
    <col min="8453" max="8453" width="7.7109375" style="69" customWidth="1"/>
    <col min="8454" max="8454" width="6.7109375" style="69" customWidth="1"/>
    <col min="8455" max="8455" width="5.7109375" style="69" customWidth="1"/>
    <col min="8456" max="8456" width="7.7109375" style="69" customWidth="1"/>
    <col min="8457" max="8457" width="6.28515625" style="69" customWidth="1"/>
    <col min="8458" max="8458" width="7.28515625" style="69" customWidth="1"/>
    <col min="8459" max="8459" width="6" style="69" customWidth="1"/>
    <col min="8460" max="8461" width="7.7109375" style="69" customWidth="1"/>
    <col min="8462" max="8462" width="5.7109375" style="69" customWidth="1"/>
    <col min="8463" max="8466" width="7.7109375" style="69" customWidth="1"/>
    <col min="8467" max="8467" width="6.7109375" style="69" customWidth="1"/>
    <col min="8468" max="8471" width="6.28515625" style="69" customWidth="1"/>
    <col min="8472" max="8704" width="9.140625" style="69"/>
    <col min="8705" max="8705" width="2.85546875" style="69" customWidth="1"/>
    <col min="8706" max="8706" width="13.85546875" style="69" customWidth="1"/>
    <col min="8707" max="8707" width="7.7109375" style="69" customWidth="1"/>
    <col min="8708" max="8708" width="6.42578125" style="69" customWidth="1"/>
    <col min="8709" max="8709" width="7.7109375" style="69" customWidth="1"/>
    <col min="8710" max="8710" width="6.7109375" style="69" customWidth="1"/>
    <col min="8711" max="8711" width="5.7109375" style="69" customWidth="1"/>
    <col min="8712" max="8712" width="7.7109375" style="69" customWidth="1"/>
    <col min="8713" max="8713" width="6.28515625" style="69" customWidth="1"/>
    <col min="8714" max="8714" width="7.28515625" style="69" customWidth="1"/>
    <col min="8715" max="8715" width="6" style="69" customWidth="1"/>
    <col min="8716" max="8717" width="7.7109375" style="69" customWidth="1"/>
    <col min="8718" max="8718" width="5.7109375" style="69" customWidth="1"/>
    <col min="8719" max="8722" width="7.7109375" style="69" customWidth="1"/>
    <col min="8723" max="8723" width="6.7109375" style="69" customWidth="1"/>
    <col min="8724" max="8727" width="6.28515625" style="69" customWidth="1"/>
    <col min="8728" max="8960" width="9.140625" style="69"/>
    <col min="8961" max="8961" width="2.85546875" style="69" customWidth="1"/>
    <col min="8962" max="8962" width="13.85546875" style="69" customWidth="1"/>
    <col min="8963" max="8963" width="7.7109375" style="69" customWidth="1"/>
    <col min="8964" max="8964" width="6.42578125" style="69" customWidth="1"/>
    <col min="8965" max="8965" width="7.7109375" style="69" customWidth="1"/>
    <col min="8966" max="8966" width="6.7109375" style="69" customWidth="1"/>
    <col min="8967" max="8967" width="5.7109375" style="69" customWidth="1"/>
    <col min="8968" max="8968" width="7.7109375" style="69" customWidth="1"/>
    <col min="8969" max="8969" width="6.28515625" style="69" customWidth="1"/>
    <col min="8970" max="8970" width="7.28515625" style="69" customWidth="1"/>
    <col min="8971" max="8971" width="6" style="69" customWidth="1"/>
    <col min="8972" max="8973" width="7.7109375" style="69" customWidth="1"/>
    <col min="8974" max="8974" width="5.7109375" style="69" customWidth="1"/>
    <col min="8975" max="8978" width="7.7109375" style="69" customWidth="1"/>
    <col min="8979" max="8979" width="6.7109375" style="69" customWidth="1"/>
    <col min="8980" max="8983" width="6.28515625" style="69" customWidth="1"/>
    <col min="8984" max="9216" width="9.140625" style="69"/>
    <col min="9217" max="9217" width="2.85546875" style="69" customWidth="1"/>
    <col min="9218" max="9218" width="13.85546875" style="69" customWidth="1"/>
    <col min="9219" max="9219" width="7.7109375" style="69" customWidth="1"/>
    <col min="9220" max="9220" width="6.42578125" style="69" customWidth="1"/>
    <col min="9221" max="9221" width="7.7109375" style="69" customWidth="1"/>
    <col min="9222" max="9222" width="6.7109375" style="69" customWidth="1"/>
    <col min="9223" max="9223" width="5.7109375" style="69" customWidth="1"/>
    <col min="9224" max="9224" width="7.7109375" style="69" customWidth="1"/>
    <col min="9225" max="9225" width="6.28515625" style="69" customWidth="1"/>
    <col min="9226" max="9226" width="7.28515625" style="69" customWidth="1"/>
    <col min="9227" max="9227" width="6" style="69" customWidth="1"/>
    <col min="9228" max="9229" width="7.7109375" style="69" customWidth="1"/>
    <col min="9230" max="9230" width="5.7109375" style="69" customWidth="1"/>
    <col min="9231" max="9234" width="7.7109375" style="69" customWidth="1"/>
    <col min="9235" max="9235" width="6.7109375" style="69" customWidth="1"/>
    <col min="9236" max="9239" width="6.28515625" style="69" customWidth="1"/>
    <col min="9240" max="9472" width="9.140625" style="69"/>
    <col min="9473" max="9473" width="2.85546875" style="69" customWidth="1"/>
    <col min="9474" max="9474" width="13.85546875" style="69" customWidth="1"/>
    <col min="9475" max="9475" width="7.7109375" style="69" customWidth="1"/>
    <col min="9476" max="9476" width="6.42578125" style="69" customWidth="1"/>
    <col min="9477" max="9477" width="7.7109375" style="69" customWidth="1"/>
    <col min="9478" max="9478" width="6.7109375" style="69" customWidth="1"/>
    <col min="9479" max="9479" width="5.7109375" style="69" customWidth="1"/>
    <col min="9480" max="9480" width="7.7109375" style="69" customWidth="1"/>
    <col min="9481" max="9481" width="6.28515625" style="69" customWidth="1"/>
    <col min="9482" max="9482" width="7.28515625" style="69" customWidth="1"/>
    <col min="9483" max="9483" width="6" style="69" customWidth="1"/>
    <col min="9484" max="9485" width="7.7109375" style="69" customWidth="1"/>
    <col min="9486" max="9486" width="5.7109375" style="69" customWidth="1"/>
    <col min="9487" max="9490" width="7.7109375" style="69" customWidth="1"/>
    <col min="9491" max="9491" width="6.7109375" style="69" customWidth="1"/>
    <col min="9492" max="9495" width="6.28515625" style="69" customWidth="1"/>
    <col min="9496" max="9728" width="9.140625" style="69"/>
    <col min="9729" max="9729" width="2.85546875" style="69" customWidth="1"/>
    <col min="9730" max="9730" width="13.85546875" style="69" customWidth="1"/>
    <col min="9731" max="9731" width="7.7109375" style="69" customWidth="1"/>
    <col min="9732" max="9732" width="6.42578125" style="69" customWidth="1"/>
    <col min="9733" max="9733" width="7.7109375" style="69" customWidth="1"/>
    <col min="9734" max="9734" width="6.7109375" style="69" customWidth="1"/>
    <col min="9735" max="9735" width="5.7109375" style="69" customWidth="1"/>
    <col min="9736" max="9736" width="7.7109375" style="69" customWidth="1"/>
    <col min="9737" max="9737" width="6.28515625" style="69" customWidth="1"/>
    <col min="9738" max="9738" width="7.28515625" style="69" customWidth="1"/>
    <col min="9739" max="9739" width="6" style="69" customWidth="1"/>
    <col min="9740" max="9741" width="7.7109375" style="69" customWidth="1"/>
    <col min="9742" max="9742" width="5.7109375" style="69" customWidth="1"/>
    <col min="9743" max="9746" width="7.7109375" style="69" customWidth="1"/>
    <col min="9747" max="9747" width="6.7109375" style="69" customWidth="1"/>
    <col min="9748" max="9751" width="6.28515625" style="69" customWidth="1"/>
    <col min="9752" max="9984" width="9.140625" style="69"/>
    <col min="9985" max="9985" width="2.85546875" style="69" customWidth="1"/>
    <col min="9986" max="9986" width="13.85546875" style="69" customWidth="1"/>
    <col min="9987" max="9987" width="7.7109375" style="69" customWidth="1"/>
    <col min="9988" max="9988" width="6.42578125" style="69" customWidth="1"/>
    <col min="9989" max="9989" width="7.7109375" style="69" customWidth="1"/>
    <col min="9990" max="9990" width="6.7109375" style="69" customWidth="1"/>
    <col min="9991" max="9991" width="5.7109375" style="69" customWidth="1"/>
    <col min="9992" max="9992" width="7.7109375" style="69" customWidth="1"/>
    <col min="9993" max="9993" width="6.28515625" style="69" customWidth="1"/>
    <col min="9994" max="9994" width="7.28515625" style="69" customWidth="1"/>
    <col min="9995" max="9995" width="6" style="69" customWidth="1"/>
    <col min="9996" max="9997" width="7.7109375" style="69" customWidth="1"/>
    <col min="9998" max="9998" width="5.7109375" style="69" customWidth="1"/>
    <col min="9999" max="10002" width="7.7109375" style="69" customWidth="1"/>
    <col min="10003" max="10003" width="6.7109375" style="69" customWidth="1"/>
    <col min="10004" max="10007" width="6.28515625" style="69" customWidth="1"/>
    <col min="10008" max="10240" width="9.140625" style="69"/>
    <col min="10241" max="10241" width="2.85546875" style="69" customWidth="1"/>
    <col min="10242" max="10242" width="13.85546875" style="69" customWidth="1"/>
    <col min="10243" max="10243" width="7.7109375" style="69" customWidth="1"/>
    <col min="10244" max="10244" width="6.42578125" style="69" customWidth="1"/>
    <col min="10245" max="10245" width="7.7109375" style="69" customWidth="1"/>
    <col min="10246" max="10246" width="6.7109375" style="69" customWidth="1"/>
    <col min="10247" max="10247" width="5.7109375" style="69" customWidth="1"/>
    <col min="10248" max="10248" width="7.7109375" style="69" customWidth="1"/>
    <col min="10249" max="10249" width="6.28515625" style="69" customWidth="1"/>
    <col min="10250" max="10250" width="7.28515625" style="69" customWidth="1"/>
    <col min="10251" max="10251" width="6" style="69" customWidth="1"/>
    <col min="10252" max="10253" width="7.7109375" style="69" customWidth="1"/>
    <col min="10254" max="10254" width="5.7109375" style="69" customWidth="1"/>
    <col min="10255" max="10258" width="7.7109375" style="69" customWidth="1"/>
    <col min="10259" max="10259" width="6.7109375" style="69" customWidth="1"/>
    <col min="10260" max="10263" width="6.28515625" style="69" customWidth="1"/>
    <col min="10264" max="10496" width="9.140625" style="69"/>
    <col min="10497" max="10497" width="2.85546875" style="69" customWidth="1"/>
    <col min="10498" max="10498" width="13.85546875" style="69" customWidth="1"/>
    <col min="10499" max="10499" width="7.7109375" style="69" customWidth="1"/>
    <col min="10500" max="10500" width="6.42578125" style="69" customWidth="1"/>
    <col min="10501" max="10501" width="7.7109375" style="69" customWidth="1"/>
    <col min="10502" max="10502" width="6.7109375" style="69" customWidth="1"/>
    <col min="10503" max="10503" width="5.7109375" style="69" customWidth="1"/>
    <col min="10504" max="10504" width="7.7109375" style="69" customWidth="1"/>
    <col min="10505" max="10505" width="6.28515625" style="69" customWidth="1"/>
    <col min="10506" max="10506" width="7.28515625" style="69" customWidth="1"/>
    <col min="10507" max="10507" width="6" style="69" customWidth="1"/>
    <col min="10508" max="10509" width="7.7109375" style="69" customWidth="1"/>
    <col min="10510" max="10510" width="5.7109375" style="69" customWidth="1"/>
    <col min="10511" max="10514" width="7.7109375" style="69" customWidth="1"/>
    <col min="10515" max="10515" width="6.7109375" style="69" customWidth="1"/>
    <col min="10516" max="10519" width="6.28515625" style="69" customWidth="1"/>
    <col min="10520" max="10752" width="9.140625" style="69"/>
    <col min="10753" max="10753" width="2.85546875" style="69" customWidth="1"/>
    <col min="10754" max="10754" width="13.85546875" style="69" customWidth="1"/>
    <col min="10755" max="10755" width="7.7109375" style="69" customWidth="1"/>
    <col min="10756" max="10756" width="6.42578125" style="69" customWidth="1"/>
    <col min="10757" max="10757" width="7.7109375" style="69" customWidth="1"/>
    <col min="10758" max="10758" width="6.7109375" style="69" customWidth="1"/>
    <col min="10759" max="10759" width="5.7109375" style="69" customWidth="1"/>
    <col min="10760" max="10760" width="7.7109375" style="69" customWidth="1"/>
    <col min="10761" max="10761" width="6.28515625" style="69" customWidth="1"/>
    <col min="10762" max="10762" width="7.28515625" style="69" customWidth="1"/>
    <col min="10763" max="10763" width="6" style="69" customWidth="1"/>
    <col min="10764" max="10765" width="7.7109375" style="69" customWidth="1"/>
    <col min="10766" max="10766" width="5.7109375" style="69" customWidth="1"/>
    <col min="10767" max="10770" width="7.7109375" style="69" customWidth="1"/>
    <col min="10771" max="10771" width="6.7109375" style="69" customWidth="1"/>
    <col min="10772" max="10775" width="6.28515625" style="69" customWidth="1"/>
    <col min="10776" max="11008" width="9.140625" style="69"/>
    <col min="11009" max="11009" width="2.85546875" style="69" customWidth="1"/>
    <col min="11010" max="11010" width="13.85546875" style="69" customWidth="1"/>
    <col min="11011" max="11011" width="7.7109375" style="69" customWidth="1"/>
    <col min="11012" max="11012" width="6.42578125" style="69" customWidth="1"/>
    <col min="11013" max="11013" width="7.7109375" style="69" customWidth="1"/>
    <col min="11014" max="11014" width="6.7109375" style="69" customWidth="1"/>
    <col min="11015" max="11015" width="5.7109375" style="69" customWidth="1"/>
    <col min="11016" max="11016" width="7.7109375" style="69" customWidth="1"/>
    <col min="11017" max="11017" width="6.28515625" style="69" customWidth="1"/>
    <col min="11018" max="11018" width="7.28515625" style="69" customWidth="1"/>
    <col min="11019" max="11019" width="6" style="69" customWidth="1"/>
    <col min="11020" max="11021" width="7.7109375" style="69" customWidth="1"/>
    <col min="11022" max="11022" width="5.7109375" style="69" customWidth="1"/>
    <col min="11023" max="11026" width="7.7109375" style="69" customWidth="1"/>
    <col min="11027" max="11027" width="6.7109375" style="69" customWidth="1"/>
    <col min="11028" max="11031" width="6.28515625" style="69" customWidth="1"/>
    <col min="11032" max="11264" width="9.140625" style="69"/>
    <col min="11265" max="11265" width="2.85546875" style="69" customWidth="1"/>
    <col min="11266" max="11266" width="13.85546875" style="69" customWidth="1"/>
    <col min="11267" max="11267" width="7.7109375" style="69" customWidth="1"/>
    <col min="11268" max="11268" width="6.42578125" style="69" customWidth="1"/>
    <col min="11269" max="11269" width="7.7109375" style="69" customWidth="1"/>
    <col min="11270" max="11270" width="6.7109375" style="69" customWidth="1"/>
    <col min="11271" max="11271" width="5.7109375" style="69" customWidth="1"/>
    <col min="11272" max="11272" width="7.7109375" style="69" customWidth="1"/>
    <col min="11273" max="11273" width="6.28515625" style="69" customWidth="1"/>
    <col min="11274" max="11274" width="7.28515625" style="69" customWidth="1"/>
    <col min="11275" max="11275" width="6" style="69" customWidth="1"/>
    <col min="11276" max="11277" width="7.7109375" style="69" customWidth="1"/>
    <col min="11278" max="11278" width="5.7109375" style="69" customWidth="1"/>
    <col min="11279" max="11282" width="7.7109375" style="69" customWidth="1"/>
    <col min="11283" max="11283" width="6.7109375" style="69" customWidth="1"/>
    <col min="11284" max="11287" width="6.28515625" style="69" customWidth="1"/>
    <col min="11288" max="11520" width="9.140625" style="69"/>
    <col min="11521" max="11521" width="2.85546875" style="69" customWidth="1"/>
    <col min="11522" max="11522" width="13.85546875" style="69" customWidth="1"/>
    <col min="11523" max="11523" width="7.7109375" style="69" customWidth="1"/>
    <col min="11524" max="11524" width="6.42578125" style="69" customWidth="1"/>
    <col min="11525" max="11525" width="7.7109375" style="69" customWidth="1"/>
    <col min="11526" max="11526" width="6.7109375" style="69" customWidth="1"/>
    <col min="11527" max="11527" width="5.7109375" style="69" customWidth="1"/>
    <col min="11528" max="11528" width="7.7109375" style="69" customWidth="1"/>
    <col min="11529" max="11529" width="6.28515625" style="69" customWidth="1"/>
    <col min="11530" max="11530" width="7.28515625" style="69" customWidth="1"/>
    <col min="11531" max="11531" width="6" style="69" customWidth="1"/>
    <col min="11532" max="11533" width="7.7109375" style="69" customWidth="1"/>
    <col min="11534" max="11534" width="5.7109375" style="69" customWidth="1"/>
    <col min="11535" max="11538" width="7.7109375" style="69" customWidth="1"/>
    <col min="11539" max="11539" width="6.7109375" style="69" customWidth="1"/>
    <col min="11540" max="11543" width="6.28515625" style="69" customWidth="1"/>
    <col min="11544" max="11776" width="9.140625" style="69"/>
    <col min="11777" max="11777" width="2.85546875" style="69" customWidth="1"/>
    <col min="11778" max="11778" width="13.85546875" style="69" customWidth="1"/>
    <col min="11779" max="11779" width="7.7109375" style="69" customWidth="1"/>
    <col min="11780" max="11780" width="6.42578125" style="69" customWidth="1"/>
    <col min="11781" max="11781" width="7.7109375" style="69" customWidth="1"/>
    <col min="11782" max="11782" width="6.7109375" style="69" customWidth="1"/>
    <col min="11783" max="11783" width="5.7109375" style="69" customWidth="1"/>
    <col min="11784" max="11784" width="7.7109375" style="69" customWidth="1"/>
    <col min="11785" max="11785" width="6.28515625" style="69" customWidth="1"/>
    <col min="11786" max="11786" width="7.28515625" style="69" customWidth="1"/>
    <col min="11787" max="11787" width="6" style="69" customWidth="1"/>
    <col min="11788" max="11789" width="7.7109375" style="69" customWidth="1"/>
    <col min="11790" max="11790" width="5.7109375" style="69" customWidth="1"/>
    <col min="11791" max="11794" width="7.7109375" style="69" customWidth="1"/>
    <col min="11795" max="11795" width="6.7109375" style="69" customWidth="1"/>
    <col min="11796" max="11799" width="6.28515625" style="69" customWidth="1"/>
    <col min="11800" max="12032" width="9.140625" style="69"/>
    <col min="12033" max="12033" width="2.85546875" style="69" customWidth="1"/>
    <col min="12034" max="12034" width="13.85546875" style="69" customWidth="1"/>
    <col min="12035" max="12035" width="7.7109375" style="69" customWidth="1"/>
    <col min="12036" max="12036" width="6.42578125" style="69" customWidth="1"/>
    <col min="12037" max="12037" width="7.7109375" style="69" customWidth="1"/>
    <col min="12038" max="12038" width="6.7109375" style="69" customWidth="1"/>
    <col min="12039" max="12039" width="5.7109375" style="69" customWidth="1"/>
    <col min="12040" max="12040" width="7.7109375" style="69" customWidth="1"/>
    <col min="12041" max="12041" width="6.28515625" style="69" customWidth="1"/>
    <col min="12042" max="12042" width="7.28515625" style="69" customWidth="1"/>
    <col min="12043" max="12043" width="6" style="69" customWidth="1"/>
    <col min="12044" max="12045" width="7.7109375" style="69" customWidth="1"/>
    <col min="12046" max="12046" width="5.7109375" style="69" customWidth="1"/>
    <col min="12047" max="12050" width="7.7109375" style="69" customWidth="1"/>
    <col min="12051" max="12051" width="6.7109375" style="69" customWidth="1"/>
    <col min="12052" max="12055" width="6.28515625" style="69" customWidth="1"/>
    <col min="12056" max="12288" width="9.140625" style="69"/>
    <col min="12289" max="12289" width="2.85546875" style="69" customWidth="1"/>
    <col min="12290" max="12290" width="13.85546875" style="69" customWidth="1"/>
    <col min="12291" max="12291" width="7.7109375" style="69" customWidth="1"/>
    <col min="12292" max="12292" width="6.42578125" style="69" customWidth="1"/>
    <col min="12293" max="12293" width="7.7109375" style="69" customWidth="1"/>
    <col min="12294" max="12294" width="6.7109375" style="69" customWidth="1"/>
    <col min="12295" max="12295" width="5.7109375" style="69" customWidth="1"/>
    <col min="12296" max="12296" width="7.7109375" style="69" customWidth="1"/>
    <col min="12297" max="12297" width="6.28515625" style="69" customWidth="1"/>
    <col min="12298" max="12298" width="7.28515625" style="69" customWidth="1"/>
    <col min="12299" max="12299" width="6" style="69" customWidth="1"/>
    <col min="12300" max="12301" width="7.7109375" style="69" customWidth="1"/>
    <col min="12302" max="12302" width="5.7109375" style="69" customWidth="1"/>
    <col min="12303" max="12306" width="7.7109375" style="69" customWidth="1"/>
    <col min="12307" max="12307" width="6.7109375" style="69" customWidth="1"/>
    <col min="12308" max="12311" width="6.28515625" style="69" customWidth="1"/>
    <col min="12312" max="12544" width="9.140625" style="69"/>
    <col min="12545" max="12545" width="2.85546875" style="69" customWidth="1"/>
    <col min="12546" max="12546" width="13.85546875" style="69" customWidth="1"/>
    <col min="12547" max="12547" width="7.7109375" style="69" customWidth="1"/>
    <col min="12548" max="12548" width="6.42578125" style="69" customWidth="1"/>
    <col min="12549" max="12549" width="7.7109375" style="69" customWidth="1"/>
    <col min="12550" max="12550" width="6.7109375" style="69" customWidth="1"/>
    <col min="12551" max="12551" width="5.7109375" style="69" customWidth="1"/>
    <col min="12552" max="12552" width="7.7109375" style="69" customWidth="1"/>
    <col min="12553" max="12553" width="6.28515625" style="69" customWidth="1"/>
    <col min="12554" max="12554" width="7.28515625" style="69" customWidth="1"/>
    <col min="12555" max="12555" width="6" style="69" customWidth="1"/>
    <col min="12556" max="12557" width="7.7109375" style="69" customWidth="1"/>
    <col min="12558" max="12558" width="5.7109375" style="69" customWidth="1"/>
    <col min="12559" max="12562" width="7.7109375" style="69" customWidth="1"/>
    <col min="12563" max="12563" width="6.7109375" style="69" customWidth="1"/>
    <col min="12564" max="12567" width="6.28515625" style="69" customWidth="1"/>
    <col min="12568" max="12800" width="9.140625" style="69"/>
    <col min="12801" max="12801" width="2.85546875" style="69" customWidth="1"/>
    <col min="12802" max="12802" width="13.85546875" style="69" customWidth="1"/>
    <col min="12803" max="12803" width="7.7109375" style="69" customWidth="1"/>
    <col min="12804" max="12804" width="6.42578125" style="69" customWidth="1"/>
    <col min="12805" max="12805" width="7.7109375" style="69" customWidth="1"/>
    <col min="12806" max="12806" width="6.7109375" style="69" customWidth="1"/>
    <col min="12807" max="12807" width="5.7109375" style="69" customWidth="1"/>
    <col min="12808" max="12808" width="7.7109375" style="69" customWidth="1"/>
    <col min="12809" max="12809" width="6.28515625" style="69" customWidth="1"/>
    <col min="12810" max="12810" width="7.28515625" style="69" customWidth="1"/>
    <col min="12811" max="12811" width="6" style="69" customWidth="1"/>
    <col min="12812" max="12813" width="7.7109375" style="69" customWidth="1"/>
    <col min="12814" max="12814" width="5.7109375" style="69" customWidth="1"/>
    <col min="12815" max="12818" width="7.7109375" style="69" customWidth="1"/>
    <col min="12819" max="12819" width="6.7109375" style="69" customWidth="1"/>
    <col min="12820" max="12823" width="6.28515625" style="69" customWidth="1"/>
    <col min="12824" max="13056" width="9.140625" style="69"/>
    <col min="13057" max="13057" width="2.85546875" style="69" customWidth="1"/>
    <col min="13058" max="13058" width="13.85546875" style="69" customWidth="1"/>
    <col min="13059" max="13059" width="7.7109375" style="69" customWidth="1"/>
    <col min="13060" max="13060" width="6.42578125" style="69" customWidth="1"/>
    <col min="13061" max="13061" width="7.7109375" style="69" customWidth="1"/>
    <col min="13062" max="13062" width="6.7109375" style="69" customWidth="1"/>
    <col min="13063" max="13063" width="5.7109375" style="69" customWidth="1"/>
    <col min="13064" max="13064" width="7.7109375" style="69" customWidth="1"/>
    <col min="13065" max="13065" width="6.28515625" style="69" customWidth="1"/>
    <col min="13066" max="13066" width="7.28515625" style="69" customWidth="1"/>
    <col min="13067" max="13067" width="6" style="69" customWidth="1"/>
    <col min="13068" max="13069" width="7.7109375" style="69" customWidth="1"/>
    <col min="13070" max="13070" width="5.7109375" style="69" customWidth="1"/>
    <col min="13071" max="13074" width="7.7109375" style="69" customWidth="1"/>
    <col min="13075" max="13075" width="6.7109375" style="69" customWidth="1"/>
    <col min="13076" max="13079" width="6.28515625" style="69" customWidth="1"/>
    <col min="13080" max="13312" width="9.140625" style="69"/>
    <col min="13313" max="13313" width="2.85546875" style="69" customWidth="1"/>
    <col min="13314" max="13314" width="13.85546875" style="69" customWidth="1"/>
    <col min="13315" max="13315" width="7.7109375" style="69" customWidth="1"/>
    <col min="13316" max="13316" width="6.42578125" style="69" customWidth="1"/>
    <col min="13317" max="13317" width="7.7109375" style="69" customWidth="1"/>
    <col min="13318" max="13318" width="6.7109375" style="69" customWidth="1"/>
    <col min="13319" max="13319" width="5.7109375" style="69" customWidth="1"/>
    <col min="13320" max="13320" width="7.7109375" style="69" customWidth="1"/>
    <col min="13321" max="13321" width="6.28515625" style="69" customWidth="1"/>
    <col min="13322" max="13322" width="7.28515625" style="69" customWidth="1"/>
    <col min="13323" max="13323" width="6" style="69" customWidth="1"/>
    <col min="13324" max="13325" width="7.7109375" style="69" customWidth="1"/>
    <col min="13326" max="13326" width="5.7109375" style="69" customWidth="1"/>
    <col min="13327" max="13330" width="7.7109375" style="69" customWidth="1"/>
    <col min="13331" max="13331" width="6.7109375" style="69" customWidth="1"/>
    <col min="13332" max="13335" width="6.28515625" style="69" customWidth="1"/>
    <col min="13336" max="13568" width="9.140625" style="69"/>
    <col min="13569" max="13569" width="2.85546875" style="69" customWidth="1"/>
    <col min="13570" max="13570" width="13.85546875" style="69" customWidth="1"/>
    <col min="13571" max="13571" width="7.7109375" style="69" customWidth="1"/>
    <col min="13572" max="13572" width="6.42578125" style="69" customWidth="1"/>
    <col min="13573" max="13573" width="7.7109375" style="69" customWidth="1"/>
    <col min="13574" max="13574" width="6.7109375" style="69" customWidth="1"/>
    <col min="13575" max="13575" width="5.7109375" style="69" customWidth="1"/>
    <col min="13576" max="13576" width="7.7109375" style="69" customWidth="1"/>
    <col min="13577" max="13577" width="6.28515625" style="69" customWidth="1"/>
    <col min="13578" max="13578" width="7.28515625" style="69" customWidth="1"/>
    <col min="13579" max="13579" width="6" style="69" customWidth="1"/>
    <col min="13580" max="13581" width="7.7109375" style="69" customWidth="1"/>
    <col min="13582" max="13582" width="5.7109375" style="69" customWidth="1"/>
    <col min="13583" max="13586" width="7.7109375" style="69" customWidth="1"/>
    <col min="13587" max="13587" width="6.7109375" style="69" customWidth="1"/>
    <col min="13588" max="13591" width="6.28515625" style="69" customWidth="1"/>
    <col min="13592" max="13824" width="9.140625" style="69"/>
    <col min="13825" max="13825" width="2.85546875" style="69" customWidth="1"/>
    <col min="13826" max="13826" width="13.85546875" style="69" customWidth="1"/>
    <col min="13827" max="13827" width="7.7109375" style="69" customWidth="1"/>
    <col min="13828" max="13828" width="6.42578125" style="69" customWidth="1"/>
    <col min="13829" max="13829" width="7.7109375" style="69" customWidth="1"/>
    <col min="13830" max="13830" width="6.7109375" style="69" customWidth="1"/>
    <col min="13831" max="13831" width="5.7109375" style="69" customWidth="1"/>
    <col min="13832" max="13832" width="7.7109375" style="69" customWidth="1"/>
    <col min="13833" max="13833" width="6.28515625" style="69" customWidth="1"/>
    <col min="13834" max="13834" width="7.28515625" style="69" customWidth="1"/>
    <col min="13835" max="13835" width="6" style="69" customWidth="1"/>
    <col min="13836" max="13837" width="7.7109375" style="69" customWidth="1"/>
    <col min="13838" max="13838" width="5.7109375" style="69" customWidth="1"/>
    <col min="13839" max="13842" width="7.7109375" style="69" customWidth="1"/>
    <col min="13843" max="13843" width="6.7109375" style="69" customWidth="1"/>
    <col min="13844" max="13847" width="6.28515625" style="69" customWidth="1"/>
    <col min="13848" max="14080" width="9.140625" style="69"/>
    <col min="14081" max="14081" width="2.85546875" style="69" customWidth="1"/>
    <col min="14082" max="14082" width="13.85546875" style="69" customWidth="1"/>
    <col min="14083" max="14083" width="7.7109375" style="69" customWidth="1"/>
    <col min="14084" max="14084" width="6.42578125" style="69" customWidth="1"/>
    <col min="14085" max="14085" width="7.7109375" style="69" customWidth="1"/>
    <col min="14086" max="14086" width="6.7109375" style="69" customWidth="1"/>
    <col min="14087" max="14087" width="5.7109375" style="69" customWidth="1"/>
    <col min="14088" max="14088" width="7.7109375" style="69" customWidth="1"/>
    <col min="14089" max="14089" width="6.28515625" style="69" customWidth="1"/>
    <col min="14090" max="14090" width="7.28515625" style="69" customWidth="1"/>
    <col min="14091" max="14091" width="6" style="69" customWidth="1"/>
    <col min="14092" max="14093" width="7.7109375" style="69" customWidth="1"/>
    <col min="14094" max="14094" width="5.7109375" style="69" customWidth="1"/>
    <col min="14095" max="14098" width="7.7109375" style="69" customWidth="1"/>
    <col min="14099" max="14099" width="6.7109375" style="69" customWidth="1"/>
    <col min="14100" max="14103" width="6.28515625" style="69" customWidth="1"/>
    <col min="14104" max="14336" width="9.140625" style="69"/>
    <col min="14337" max="14337" width="2.85546875" style="69" customWidth="1"/>
    <col min="14338" max="14338" width="13.85546875" style="69" customWidth="1"/>
    <col min="14339" max="14339" width="7.7109375" style="69" customWidth="1"/>
    <col min="14340" max="14340" width="6.42578125" style="69" customWidth="1"/>
    <col min="14341" max="14341" width="7.7109375" style="69" customWidth="1"/>
    <col min="14342" max="14342" width="6.7109375" style="69" customWidth="1"/>
    <col min="14343" max="14343" width="5.7109375" style="69" customWidth="1"/>
    <col min="14344" max="14344" width="7.7109375" style="69" customWidth="1"/>
    <col min="14345" max="14345" width="6.28515625" style="69" customWidth="1"/>
    <col min="14346" max="14346" width="7.28515625" style="69" customWidth="1"/>
    <col min="14347" max="14347" width="6" style="69" customWidth="1"/>
    <col min="14348" max="14349" width="7.7109375" style="69" customWidth="1"/>
    <col min="14350" max="14350" width="5.7109375" style="69" customWidth="1"/>
    <col min="14351" max="14354" width="7.7109375" style="69" customWidth="1"/>
    <col min="14355" max="14355" width="6.7109375" style="69" customWidth="1"/>
    <col min="14356" max="14359" width="6.28515625" style="69" customWidth="1"/>
    <col min="14360" max="14592" width="9.140625" style="69"/>
    <col min="14593" max="14593" width="2.85546875" style="69" customWidth="1"/>
    <col min="14594" max="14594" width="13.85546875" style="69" customWidth="1"/>
    <col min="14595" max="14595" width="7.7109375" style="69" customWidth="1"/>
    <col min="14596" max="14596" width="6.42578125" style="69" customWidth="1"/>
    <col min="14597" max="14597" width="7.7109375" style="69" customWidth="1"/>
    <col min="14598" max="14598" width="6.7109375" style="69" customWidth="1"/>
    <col min="14599" max="14599" width="5.7109375" style="69" customWidth="1"/>
    <col min="14600" max="14600" width="7.7109375" style="69" customWidth="1"/>
    <col min="14601" max="14601" width="6.28515625" style="69" customWidth="1"/>
    <col min="14602" max="14602" width="7.28515625" style="69" customWidth="1"/>
    <col min="14603" max="14603" width="6" style="69" customWidth="1"/>
    <col min="14604" max="14605" width="7.7109375" style="69" customWidth="1"/>
    <col min="14606" max="14606" width="5.7109375" style="69" customWidth="1"/>
    <col min="14607" max="14610" width="7.7109375" style="69" customWidth="1"/>
    <col min="14611" max="14611" width="6.7109375" style="69" customWidth="1"/>
    <col min="14612" max="14615" width="6.28515625" style="69" customWidth="1"/>
    <col min="14616" max="14848" width="9.140625" style="69"/>
    <col min="14849" max="14849" width="2.85546875" style="69" customWidth="1"/>
    <col min="14850" max="14850" width="13.85546875" style="69" customWidth="1"/>
    <col min="14851" max="14851" width="7.7109375" style="69" customWidth="1"/>
    <col min="14852" max="14852" width="6.42578125" style="69" customWidth="1"/>
    <col min="14853" max="14853" width="7.7109375" style="69" customWidth="1"/>
    <col min="14854" max="14854" width="6.7109375" style="69" customWidth="1"/>
    <col min="14855" max="14855" width="5.7109375" style="69" customWidth="1"/>
    <col min="14856" max="14856" width="7.7109375" style="69" customWidth="1"/>
    <col min="14857" max="14857" width="6.28515625" style="69" customWidth="1"/>
    <col min="14858" max="14858" width="7.28515625" style="69" customWidth="1"/>
    <col min="14859" max="14859" width="6" style="69" customWidth="1"/>
    <col min="14860" max="14861" width="7.7109375" style="69" customWidth="1"/>
    <col min="14862" max="14862" width="5.7109375" style="69" customWidth="1"/>
    <col min="14863" max="14866" width="7.7109375" style="69" customWidth="1"/>
    <col min="14867" max="14867" width="6.7109375" style="69" customWidth="1"/>
    <col min="14868" max="14871" width="6.28515625" style="69" customWidth="1"/>
    <col min="14872" max="15104" width="9.140625" style="69"/>
    <col min="15105" max="15105" width="2.85546875" style="69" customWidth="1"/>
    <col min="15106" max="15106" width="13.85546875" style="69" customWidth="1"/>
    <col min="15107" max="15107" width="7.7109375" style="69" customWidth="1"/>
    <col min="15108" max="15108" width="6.42578125" style="69" customWidth="1"/>
    <col min="15109" max="15109" width="7.7109375" style="69" customWidth="1"/>
    <col min="15110" max="15110" width="6.7109375" style="69" customWidth="1"/>
    <col min="15111" max="15111" width="5.7109375" style="69" customWidth="1"/>
    <col min="15112" max="15112" width="7.7109375" style="69" customWidth="1"/>
    <col min="15113" max="15113" width="6.28515625" style="69" customWidth="1"/>
    <col min="15114" max="15114" width="7.28515625" style="69" customWidth="1"/>
    <col min="15115" max="15115" width="6" style="69" customWidth="1"/>
    <col min="15116" max="15117" width="7.7109375" style="69" customWidth="1"/>
    <col min="15118" max="15118" width="5.7109375" style="69" customWidth="1"/>
    <col min="15119" max="15122" width="7.7109375" style="69" customWidth="1"/>
    <col min="15123" max="15123" width="6.7109375" style="69" customWidth="1"/>
    <col min="15124" max="15127" width="6.28515625" style="69" customWidth="1"/>
    <col min="15128" max="15360" width="9.140625" style="69"/>
    <col min="15361" max="15361" width="2.85546875" style="69" customWidth="1"/>
    <col min="15362" max="15362" width="13.85546875" style="69" customWidth="1"/>
    <col min="15363" max="15363" width="7.7109375" style="69" customWidth="1"/>
    <col min="15364" max="15364" width="6.42578125" style="69" customWidth="1"/>
    <col min="15365" max="15365" width="7.7109375" style="69" customWidth="1"/>
    <col min="15366" max="15366" width="6.7109375" style="69" customWidth="1"/>
    <col min="15367" max="15367" width="5.7109375" style="69" customWidth="1"/>
    <col min="15368" max="15368" width="7.7109375" style="69" customWidth="1"/>
    <col min="15369" max="15369" width="6.28515625" style="69" customWidth="1"/>
    <col min="15370" max="15370" width="7.28515625" style="69" customWidth="1"/>
    <col min="15371" max="15371" width="6" style="69" customWidth="1"/>
    <col min="15372" max="15373" width="7.7109375" style="69" customWidth="1"/>
    <col min="15374" max="15374" width="5.7109375" style="69" customWidth="1"/>
    <col min="15375" max="15378" width="7.7109375" style="69" customWidth="1"/>
    <col min="15379" max="15379" width="6.7109375" style="69" customWidth="1"/>
    <col min="15380" max="15383" width="6.28515625" style="69" customWidth="1"/>
    <col min="15384" max="15616" width="9.140625" style="69"/>
    <col min="15617" max="15617" width="2.85546875" style="69" customWidth="1"/>
    <col min="15618" max="15618" width="13.85546875" style="69" customWidth="1"/>
    <col min="15619" max="15619" width="7.7109375" style="69" customWidth="1"/>
    <col min="15620" max="15620" width="6.42578125" style="69" customWidth="1"/>
    <col min="15621" max="15621" width="7.7109375" style="69" customWidth="1"/>
    <col min="15622" max="15622" width="6.7109375" style="69" customWidth="1"/>
    <col min="15623" max="15623" width="5.7109375" style="69" customWidth="1"/>
    <col min="15624" max="15624" width="7.7109375" style="69" customWidth="1"/>
    <col min="15625" max="15625" width="6.28515625" style="69" customWidth="1"/>
    <col min="15626" max="15626" width="7.28515625" style="69" customWidth="1"/>
    <col min="15627" max="15627" width="6" style="69" customWidth="1"/>
    <col min="15628" max="15629" width="7.7109375" style="69" customWidth="1"/>
    <col min="15630" max="15630" width="5.7109375" style="69" customWidth="1"/>
    <col min="15631" max="15634" width="7.7109375" style="69" customWidth="1"/>
    <col min="15635" max="15635" width="6.7109375" style="69" customWidth="1"/>
    <col min="15636" max="15639" width="6.28515625" style="69" customWidth="1"/>
    <col min="15640" max="15872" width="9.140625" style="69"/>
    <col min="15873" max="15873" width="2.85546875" style="69" customWidth="1"/>
    <col min="15874" max="15874" width="13.85546875" style="69" customWidth="1"/>
    <col min="15875" max="15875" width="7.7109375" style="69" customWidth="1"/>
    <col min="15876" max="15876" width="6.42578125" style="69" customWidth="1"/>
    <col min="15877" max="15877" width="7.7109375" style="69" customWidth="1"/>
    <col min="15878" max="15878" width="6.7109375" style="69" customWidth="1"/>
    <col min="15879" max="15879" width="5.7109375" style="69" customWidth="1"/>
    <col min="15880" max="15880" width="7.7109375" style="69" customWidth="1"/>
    <col min="15881" max="15881" width="6.28515625" style="69" customWidth="1"/>
    <col min="15882" max="15882" width="7.28515625" style="69" customWidth="1"/>
    <col min="15883" max="15883" width="6" style="69" customWidth="1"/>
    <col min="15884" max="15885" width="7.7109375" style="69" customWidth="1"/>
    <col min="15886" max="15886" width="5.7109375" style="69" customWidth="1"/>
    <col min="15887" max="15890" width="7.7109375" style="69" customWidth="1"/>
    <col min="15891" max="15891" width="6.7109375" style="69" customWidth="1"/>
    <col min="15892" max="15895" width="6.28515625" style="69" customWidth="1"/>
    <col min="15896" max="16128" width="9.140625" style="69"/>
    <col min="16129" max="16129" width="2.85546875" style="69" customWidth="1"/>
    <col min="16130" max="16130" width="13.85546875" style="69" customWidth="1"/>
    <col min="16131" max="16131" width="7.7109375" style="69" customWidth="1"/>
    <col min="16132" max="16132" width="6.42578125" style="69" customWidth="1"/>
    <col min="16133" max="16133" width="7.7109375" style="69" customWidth="1"/>
    <col min="16134" max="16134" width="6.7109375" style="69" customWidth="1"/>
    <col min="16135" max="16135" width="5.7109375" style="69" customWidth="1"/>
    <col min="16136" max="16136" width="7.7109375" style="69" customWidth="1"/>
    <col min="16137" max="16137" width="6.28515625" style="69" customWidth="1"/>
    <col min="16138" max="16138" width="7.28515625" style="69" customWidth="1"/>
    <col min="16139" max="16139" width="6" style="69" customWidth="1"/>
    <col min="16140" max="16141" width="7.7109375" style="69" customWidth="1"/>
    <col min="16142" max="16142" width="5.7109375" style="69" customWidth="1"/>
    <col min="16143" max="16146" width="7.7109375" style="69" customWidth="1"/>
    <col min="16147" max="16147" width="6.7109375" style="69" customWidth="1"/>
    <col min="16148" max="16151" width="6.28515625" style="69" customWidth="1"/>
    <col min="16152" max="16384" width="9.140625" style="69"/>
  </cols>
  <sheetData>
    <row r="1" spans="1:24" ht="25.5" customHeight="1">
      <c r="A1" s="1768" t="s">
        <v>221</v>
      </c>
      <c r="B1" s="1768"/>
      <c r="C1" s="1768"/>
      <c r="D1" s="1768"/>
      <c r="T1" s="1765" t="s">
        <v>1389</v>
      </c>
      <c r="U1" s="1765"/>
      <c r="V1" s="1765"/>
      <c r="W1" s="1765"/>
    </row>
    <row r="2" spans="1:24" ht="21.75" customHeight="1">
      <c r="A2" s="1767" t="s">
        <v>1390</v>
      </c>
      <c r="B2" s="1767"/>
      <c r="C2" s="1767"/>
      <c r="D2" s="1767"/>
      <c r="E2" s="1767"/>
      <c r="F2" s="1767"/>
      <c r="G2" s="1767"/>
      <c r="H2" s="1767"/>
      <c r="I2" s="1767"/>
      <c r="J2" s="1767"/>
      <c r="K2" s="1767"/>
      <c r="L2" s="1767"/>
      <c r="M2" s="1767"/>
      <c r="N2" s="1767"/>
      <c r="O2" s="1767"/>
      <c r="P2" s="1767"/>
      <c r="Q2" s="1767"/>
      <c r="R2" s="1767"/>
      <c r="S2" s="1767"/>
      <c r="T2" s="1767"/>
      <c r="U2" s="1767"/>
      <c r="V2" s="1767"/>
      <c r="W2" s="1767"/>
    </row>
    <row r="3" spans="1:24" ht="21.75" customHeight="1">
      <c r="A3" s="1760" t="e">
        <f>#REF!</f>
        <v>#REF!</v>
      </c>
      <c r="B3" s="1760"/>
      <c r="C3" s="1760"/>
      <c r="D3" s="1760"/>
      <c r="E3" s="1760"/>
      <c r="F3" s="1760"/>
      <c r="G3" s="1760"/>
      <c r="H3" s="1760"/>
      <c r="I3" s="1760"/>
      <c r="J3" s="1760"/>
      <c r="K3" s="1760"/>
      <c r="L3" s="1760"/>
      <c r="M3" s="1760"/>
      <c r="N3" s="1760"/>
      <c r="O3" s="1760"/>
      <c r="P3" s="1760"/>
      <c r="Q3" s="1760"/>
      <c r="R3" s="1760"/>
      <c r="S3" s="1760"/>
      <c r="T3" s="1760"/>
      <c r="U3" s="1760"/>
      <c r="V3" s="1760"/>
      <c r="W3" s="1760"/>
    </row>
    <row r="4" spans="1:24" ht="15.75">
      <c r="A4" s="765"/>
      <c r="B4" s="765"/>
      <c r="C4" s="765"/>
      <c r="D4" s="765"/>
      <c r="E4" s="765"/>
      <c r="F4" s="765"/>
      <c r="G4" s="765"/>
      <c r="H4" s="765"/>
      <c r="I4" s="765"/>
      <c r="J4" s="765"/>
      <c r="K4" s="765"/>
      <c r="L4" s="765"/>
      <c r="M4" s="765"/>
      <c r="N4" s="765"/>
      <c r="O4" s="765"/>
      <c r="P4" s="765"/>
      <c r="Q4" s="765"/>
      <c r="R4" s="765"/>
      <c r="S4" s="765"/>
      <c r="T4" s="1766" t="s">
        <v>5</v>
      </c>
      <c r="U4" s="1766"/>
      <c r="V4" s="1766"/>
      <c r="W4" s="1766"/>
    </row>
    <row r="5" spans="1:24" s="205" customFormat="1" ht="15.75" customHeight="1">
      <c r="A5" s="1761" t="s">
        <v>0</v>
      </c>
      <c r="B5" s="1761" t="s">
        <v>1619</v>
      </c>
      <c r="C5" s="1757" t="s">
        <v>136</v>
      </c>
      <c r="D5" s="1758"/>
      <c r="E5" s="1758"/>
      <c r="F5" s="1758"/>
      <c r="G5" s="1759"/>
      <c r="H5" s="1757" t="s">
        <v>155</v>
      </c>
      <c r="I5" s="1758"/>
      <c r="J5" s="1758"/>
      <c r="K5" s="1758"/>
      <c r="L5" s="1758"/>
      <c r="M5" s="1758"/>
      <c r="N5" s="1758"/>
      <c r="O5" s="1758"/>
      <c r="P5" s="1758"/>
      <c r="Q5" s="1758"/>
      <c r="R5" s="1758"/>
      <c r="S5" s="1759"/>
      <c r="T5" s="1757" t="s">
        <v>75</v>
      </c>
      <c r="U5" s="1758"/>
      <c r="V5" s="1758"/>
      <c r="W5" s="1759"/>
    </row>
    <row r="6" spans="1:24" s="205" customFormat="1" ht="15.75" customHeight="1">
      <c r="A6" s="1761"/>
      <c r="B6" s="1761"/>
      <c r="C6" s="1761" t="s">
        <v>25</v>
      </c>
      <c r="D6" s="1758" t="s">
        <v>33</v>
      </c>
      <c r="E6" s="1758"/>
      <c r="F6" s="1758"/>
      <c r="G6" s="1759"/>
      <c r="H6" s="1761" t="s">
        <v>25</v>
      </c>
      <c r="I6" s="1761" t="s">
        <v>33</v>
      </c>
      <c r="J6" s="1761"/>
      <c r="K6" s="1761"/>
      <c r="L6" s="1761"/>
      <c r="M6" s="1761"/>
      <c r="N6" s="1761"/>
      <c r="O6" s="1761"/>
      <c r="P6" s="1761"/>
      <c r="Q6" s="1761"/>
      <c r="R6" s="1761"/>
      <c r="S6" s="1761"/>
      <c r="T6" s="1761" t="s">
        <v>25</v>
      </c>
      <c r="U6" s="1761" t="s">
        <v>33</v>
      </c>
      <c r="V6" s="1761"/>
      <c r="W6" s="1761"/>
    </row>
    <row r="7" spans="1:24" s="205" customFormat="1" ht="14.25" customHeight="1">
      <c r="A7" s="1761"/>
      <c r="B7" s="1761"/>
      <c r="C7" s="1761"/>
      <c r="D7" s="1759" t="s">
        <v>73</v>
      </c>
      <c r="E7" s="1761" t="s">
        <v>15</v>
      </c>
      <c r="F7" s="1762" t="s">
        <v>1391</v>
      </c>
      <c r="G7" s="1762" t="s">
        <v>48</v>
      </c>
      <c r="H7" s="1761"/>
      <c r="I7" s="1761" t="s">
        <v>73</v>
      </c>
      <c r="J7" s="1761"/>
      <c r="K7" s="1761"/>
      <c r="L7" s="1761" t="s">
        <v>15</v>
      </c>
      <c r="M7" s="1761"/>
      <c r="N7" s="1761"/>
      <c r="O7" s="1761" t="s">
        <v>186</v>
      </c>
      <c r="P7" s="1761"/>
      <c r="Q7" s="1761"/>
      <c r="R7" s="1761" t="s">
        <v>52</v>
      </c>
      <c r="S7" s="1761" t="s">
        <v>229</v>
      </c>
      <c r="T7" s="1761"/>
      <c r="U7" s="1761" t="s">
        <v>73</v>
      </c>
      <c r="V7" s="1761" t="s">
        <v>15</v>
      </c>
      <c r="W7" s="1761" t="s">
        <v>1391</v>
      </c>
    </row>
    <row r="8" spans="1:24" s="205" customFormat="1" ht="14.25">
      <c r="A8" s="1761"/>
      <c r="B8" s="1761"/>
      <c r="C8" s="1761"/>
      <c r="D8" s="1759"/>
      <c r="E8" s="1761"/>
      <c r="F8" s="1763"/>
      <c r="G8" s="1763"/>
      <c r="H8" s="1761"/>
      <c r="I8" s="1761" t="s">
        <v>25</v>
      </c>
      <c r="J8" s="1761" t="s">
        <v>33</v>
      </c>
      <c r="K8" s="1761"/>
      <c r="L8" s="1761" t="s">
        <v>25</v>
      </c>
      <c r="M8" s="1761" t="s">
        <v>33</v>
      </c>
      <c r="N8" s="1761"/>
      <c r="O8" s="1761" t="s">
        <v>25</v>
      </c>
      <c r="P8" s="1761" t="s">
        <v>33</v>
      </c>
      <c r="Q8" s="1761"/>
      <c r="R8" s="1761"/>
      <c r="S8" s="1761"/>
      <c r="T8" s="1761"/>
      <c r="U8" s="1761"/>
      <c r="V8" s="1761"/>
      <c r="W8" s="1761"/>
    </row>
    <row r="9" spans="1:24" s="205" customFormat="1" ht="85.5">
      <c r="A9" s="1761"/>
      <c r="B9" s="1761"/>
      <c r="C9" s="1761"/>
      <c r="D9" s="1759"/>
      <c r="E9" s="1761"/>
      <c r="F9" s="1764"/>
      <c r="G9" s="1764"/>
      <c r="H9" s="1761"/>
      <c r="I9" s="1761"/>
      <c r="J9" s="767" t="s">
        <v>187</v>
      </c>
      <c r="K9" s="767" t="s">
        <v>1392</v>
      </c>
      <c r="L9" s="1761"/>
      <c r="M9" s="767" t="s">
        <v>187</v>
      </c>
      <c r="N9" s="767" t="s">
        <v>1392</v>
      </c>
      <c r="O9" s="1761"/>
      <c r="P9" s="767" t="s">
        <v>73</v>
      </c>
      <c r="Q9" s="767" t="s">
        <v>15</v>
      </c>
      <c r="R9" s="1761"/>
      <c r="S9" s="1761"/>
      <c r="T9" s="1761"/>
      <c r="U9" s="1761"/>
      <c r="V9" s="1761"/>
      <c r="W9" s="1761"/>
    </row>
    <row r="10" spans="1:24" s="205" customFormat="1" ht="18.75" customHeight="1">
      <c r="A10" s="767" t="s">
        <v>2</v>
      </c>
      <c r="B10" s="767" t="s">
        <v>3</v>
      </c>
      <c r="C10" s="767">
        <v>1</v>
      </c>
      <c r="D10" s="767">
        <v>2</v>
      </c>
      <c r="E10" s="767">
        <v>3</v>
      </c>
      <c r="F10" s="767">
        <v>4</v>
      </c>
      <c r="G10" s="767">
        <v>5</v>
      </c>
      <c r="H10" s="767">
        <v>6</v>
      </c>
      <c r="I10" s="767">
        <v>7</v>
      </c>
      <c r="J10" s="767">
        <v>8</v>
      </c>
      <c r="K10" s="767">
        <v>9</v>
      </c>
      <c r="L10" s="767">
        <v>10</v>
      </c>
      <c r="M10" s="767">
        <v>11</v>
      </c>
      <c r="N10" s="767">
        <v>12</v>
      </c>
      <c r="O10" s="767">
        <v>13</v>
      </c>
      <c r="P10" s="767">
        <v>14</v>
      </c>
      <c r="Q10" s="767">
        <v>15</v>
      </c>
      <c r="R10" s="767">
        <v>16</v>
      </c>
      <c r="S10" s="767">
        <v>17</v>
      </c>
      <c r="T10" s="767">
        <v>18</v>
      </c>
      <c r="U10" s="767">
        <v>19</v>
      </c>
      <c r="V10" s="767">
        <v>20</v>
      </c>
      <c r="W10" s="767">
        <v>21</v>
      </c>
    </row>
    <row r="11" spans="1:24" s="207" customFormat="1" ht="27.95" customHeight="1">
      <c r="A11" s="768"/>
      <c r="B11" s="769" t="s">
        <v>27</v>
      </c>
      <c r="C11" s="770">
        <f>SUM(C12:C19)</f>
        <v>2185815</v>
      </c>
      <c r="D11" s="770">
        <f>SUM(D12:D19)</f>
        <v>122689</v>
      </c>
      <c r="E11" s="770">
        <f>SUM(E12:E19)</f>
        <v>1740885</v>
      </c>
      <c r="F11" s="770">
        <f t="shared" ref="F11:S11" si="0">SUM(F12:F19)</f>
        <v>285084</v>
      </c>
      <c r="G11" s="770">
        <f t="shared" si="0"/>
        <v>37157</v>
      </c>
      <c r="H11" s="770">
        <f>SUM(H12:H19)</f>
        <v>2500653.7970000003</v>
      </c>
      <c r="I11" s="770">
        <f t="shared" si="0"/>
        <v>148590</v>
      </c>
      <c r="J11" s="770">
        <f t="shared" si="0"/>
        <v>67619</v>
      </c>
      <c r="K11" s="770">
        <f t="shared" si="0"/>
        <v>0</v>
      </c>
      <c r="L11" s="770">
        <f t="shared" si="0"/>
        <v>1826504</v>
      </c>
      <c r="M11" s="770">
        <f t="shared" si="0"/>
        <v>918627</v>
      </c>
      <c r="N11" s="770">
        <f t="shared" si="0"/>
        <v>199</v>
      </c>
      <c r="O11" s="770">
        <f t="shared" si="0"/>
        <v>327010.79700000002</v>
      </c>
      <c r="P11" s="770">
        <f t="shared" si="0"/>
        <v>252674.79700000002</v>
      </c>
      <c r="Q11" s="770">
        <f t="shared" si="0"/>
        <v>74336</v>
      </c>
      <c r="R11" s="770">
        <f t="shared" si="0"/>
        <v>170434</v>
      </c>
      <c r="S11" s="770">
        <f t="shared" si="0"/>
        <v>28115</v>
      </c>
      <c r="T11" s="771">
        <f t="shared" ref="T11:U19" si="1">H11/C11</f>
        <v>1.1440372570414241</v>
      </c>
      <c r="U11" s="771">
        <f t="shared" si="1"/>
        <v>1.2111110205478894</v>
      </c>
      <c r="V11" s="771">
        <f t="shared" ref="V11:V19" si="2">L11/E11</f>
        <v>1.0491813072086897</v>
      </c>
      <c r="W11" s="771">
        <f t="shared" ref="W11:W19" si="3">O11/F11</f>
        <v>1.1470682219977271</v>
      </c>
      <c r="X11" s="206"/>
    </row>
    <row r="12" spans="1:24" s="208" customFormat="1" ht="27.95" customHeight="1">
      <c r="A12" s="772">
        <v>1</v>
      </c>
      <c r="B12" s="773" t="s">
        <v>233</v>
      </c>
      <c r="C12" s="774">
        <f>D12+E12+F12+G12</f>
        <v>226328</v>
      </c>
      <c r="D12" s="774">
        <v>46941</v>
      </c>
      <c r="E12" s="774">
        <v>171990</v>
      </c>
      <c r="F12" s="774">
        <v>3047</v>
      </c>
      <c r="G12" s="774">
        <v>4350</v>
      </c>
      <c r="H12" s="774">
        <f t="shared" ref="H12:H19" si="4">I12+L12+O12+R12+S12</f>
        <v>238990</v>
      </c>
      <c r="I12" s="774">
        <v>50104</v>
      </c>
      <c r="J12" s="774">
        <v>16393</v>
      </c>
      <c r="K12" s="774"/>
      <c r="L12" s="774">
        <f>149687+20862</f>
        <v>170549</v>
      </c>
      <c r="M12" s="774">
        <v>70211</v>
      </c>
      <c r="N12" s="774"/>
      <c r="O12" s="774">
        <f t="shared" ref="O12:O19" si="5">P12+Q12</f>
        <v>3170</v>
      </c>
      <c r="P12" s="774">
        <v>1485</v>
      </c>
      <c r="Q12" s="774">
        <v>1685</v>
      </c>
      <c r="R12" s="774">
        <v>13365</v>
      </c>
      <c r="S12" s="774">
        <v>1802</v>
      </c>
      <c r="T12" s="775">
        <f t="shared" si="1"/>
        <v>1.0559453536460359</v>
      </c>
      <c r="U12" s="775">
        <f t="shared" si="1"/>
        <v>1.0673824588312988</v>
      </c>
      <c r="V12" s="775">
        <f t="shared" si="2"/>
        <v>0.99162160590732018</v>
      </c>
      <c r="W12" s="775">
        <f t="shared" si="3"/>
        <v>1.0403675746636036</v>
      </c>
    </row>
    <row r="13" spans="1:24" s="208" customFormat="1" ht="27.95" customHeight="1">
      <c r="A13" s="772">
        <v>2</v>
      </c>
      <c r="B13" s="773" t="s">
        <v>234</v>
      </c>
      <c r="C13" s="774">
        <f t="shared" ref="C13:C19" si="6">D13+E13+F13+G13</f>
        <v>226497</v>
      </c>
      <c r="D13" s="774">
        <f>7909</f>
        <v>7909</v>
      </c>
      <c r="E13" s="774">
        <v>174165</v>
      </c>
      <c r="F13" s="774">
        <f>21285+19510</f>
        <v>40795</v>
      </c>
      <c r="G13" s="774">
        <v>3628</v>
      </c>
      <c r="H13" s="774">
        <f t="shared" si="4"/>
        <v>249303</v>
      </c>
      <c r="I13" s="774">
        <v>11049</v>
      </c>
      <c r="J13" s="774">
        <v>15530</v>
      </c>
      <c r="K13" s="774"/>
      <c r="L13" s="774">
        <v>181141</v>
      </c>
      <c r="M13" s="774">
        <v>78047</v>
      </c>
      <c r="N13" s="774"/>
      <c r="O13" s="774">
        <f t="shared" si="5"/>
        <v>44461</v>
      </c>
      <c r="P13" s="774">
        <v>38341</v>
      </c>
      <c r="Q13" s="774">
        <v>6120</v>
      </c>
      <c r="R13" s="774">
        <v>10794</v>
      </c>
      <c r="S13" s="774">
        <v>1858</v>
      </c>
      <c r="T13" s="775">
        <f>H13/C13</f>
        <v>1.1006900753652367</v>
      </c>
      <c r="U13" s="775">
        <f t="shared" si="1"/>
        <v>1.397016057655835</v>
      </c>
      <c r="V13" s="775">
        <f t="shared" si="2"/>
        <v>1.0400539718083426</v>
      </c>
      <c r="W13" s="775">
        <f t="shared" si="3"/>
        <v>1.0898639539159212</v>
      </c>
    </row>
    <row r="14" spans="1:24" s="208" customFormat="1" ht="27.95" customHeight="1">
      <c r="A14" s="772">
        <v>3</v>
      </c>
      <c r="B14" s="773" t="s">
        <v>235</v>
      </c>
      <c r="C14" s="774">
        <f t="shared" si="6"/>
        <v>237199</v>
      </c>
      <c r="D14" s="774">
        <v>11085</v>
      </c>
      <c r="E14" s="774">
        <v>197024</v>
      </c>
      <c r="F14" s="774">
        <v>24937</v>
      </c>
      <c r="G14" s="774">
        <v>4153</v>
      </c>
      <c r="H14" s="774">
        <f t="shared" si="4"/>
        <v>266198</v>
      </c>
      <c r="I14" s="774">
        <f>6100+1833+300+1</f>
        <v>8234</v>
      </c>
      <c r="J14" s="774">
        <v>4234</v>
      </c>
      <c r="K14" s="774"/>
      <c r="L14" s="774">
        <f>178945+1696+3312+26022-1833-300-2585+10</f>
        <v>205267</v>
      </c>
      <c r="M14" s="774">
        <v>98506</v>
      </c>
      <c r="N14" s="774">
        <v>15</v>
      </c>
      <c r="O14" s="774">
        <f>P14+Q14</f>
        <v>32580</v>
      </c>
      <c r="P14" s="774">
        <v>24589</v>
      </c>
      <c r="Q14" s="774">
        <v>7991</v>
      </c>
      <c r="R14" s="774">
        <v>19071</v>
      </c>
      <c r="S14" s="774">
        <v>1046</v>
      </c>
      <c r="T14" s="775">
        <f t="shared" si="1"/>
        <v>1.1222559960202194</v>
      </c>
      <c r="U14" s="775">
        <f t="shared" si="1"/>
        <v>0.74280559314388817</v>
      </c>
      <c r="V14" s="775">
        <f t="shared" si="2"/>
        <v>1.0418375426343998</v>
      </c>
      <c r="W14" s="775">
        <f t="shared" si="3"/>
        <v>1.3064923607490877</v>
      </c>
    </row>
    <row r="15" spans="1:24" s="208" customFormat="1" ht="27.95" customHeight="1">
      <c r="A15" s="772">
        <v>4</v>
      </c>
      <c r="B15" s="773" t="s">
        <v>236</v>
      </c>
      <c r="C15" s="774">
        <f t="shared" si="6"/>
        <v>319547</v>
      </c>
      <c r="D15" s="774">
        <v>17747</v>
      </c>
      <c r="E15" s="774">
        <v>265443</v>
      </c>
      <c r="F15" s="774">
        <v>30710</v>
      </c>
      <c r="G15" s="774">
        <v>5647</v>
      </c>
      <c r="H15" s="774">
        <f t="shared" si="4"/>
        <v>381607.32</v>
      </c>
      <c r="I15" s="774">
        <f>32128+1549</f>
        <v>33677</v>
      </c>
      <c r="J15" s="774">
        <v>6359</v>
      </c>
      <c r="K15" s="774"/>
      <c r="L15" s="774">
        <f>273124+15481-2650</f>
        <v>285955</v>
      </c>
      <c r="M15" s="774">
        <v>139190</v>
      </c>
      <c r="N15" s="774"/>
      <c r="O15" s="774">
        <f t="shared" si="5"/>
        <v>44733.32</v>
      </c>
      <c r="P15" s="774">
        <v>36002.32</v>
      </c>
      <c r="Q15" s="774">
        <v>8731</v>
      </c>
      <c r="R15" s="774">
        <v>7133</v>
      </c>
      <c r="S15" s="774">
        <v>10109</v>
      </c>
      <c r="T15" s="775">
        <f t="shared" si="1"/>
        <v>1.194213433391645</v>
      </c>
      <c r="U15" s="775">
        <f t="shared" si="1"/>
        <v>1.8976164985631374</v>
      </c>
      <c r="V15" s="775">
        <f t="shared" si="2"/>
        <v>1.0772745937922643</v>
      </c>
      <c r="W15" s="775">
        <f t="shared" si="3"/>
        <v>1.4566369260827092</v>
      </c>
    </row>
    <row r="16" spans="1:24" s="208" customFormat="1" ht="27.95" customHeight="1">
      <c r="A16" s="772">
        <v>5</v>
      </c>
      <c r="B16" s="773" t="s">
        <v>237</v>
      </c>
      <c r="C16" s="774">
        <f>D16+E16+F16+G16</f>
        <v>327292</v>
      </c>
      <c r="D16" s="774">
        <v>9405</v>
      </c>
      <c r="E16" s="774">
        <v>268678</v>
      </c>
      <c r="F16" s="774">
        <v>43659</v>
      </c>
      <c r="G16" s="774">
        <v>5550</v>
      </c>
      <c r="H16" s="774">
        <f t="shared" si="4"/>
        <v>364391</v>
      </c>
      <c r="I16" s="774">
        <v>10905</v>
      </c>
      <c r="J16" s="774">
        <v>3181</v>
      </c>
      <c r="K16" s="774"/>
      <c r="L16" s="774">
        <v>276680</v>
      </c>
      <c r="M16" s="774">
        <v>141858</v>
      </c>
      <c r="N16" s="774">
        <v>169</v>
      </c>
      <c r="O16" s="774">
        <f t="shared" si="5"/>
        <v>50690</v>
      </c>
      <c r="P16" s="774">
        <v>39393</v>
      </c>
      <c r="Q16" s="774">
        <v>11297</v>
      </c>
      <c r="R16" s="774">
        <v>23776</v>
      </c>
      <c r="S16" s="774">
        <v>2340</v>
      </c>
      <c r="T16" s="775">
        <f t="shared" si="1"/>
        <v>1.1133513804187087</v>
      </c>
      <c r="U16" s="775">
        <f t="shared" si="1"/>
        <v>1.1594896331738438</v>
      </c>
      <c r="V16" s="775">
        <f t="shared" si="2"/>
        <v>1.0297828627576504</v>
      </c>
      <c r="W16" s="775">
        <f t="shared" si="3"/>
        <v>1.1610435419959229</v>
      </c>
    </row>
    <row r="17" spans="1:23" s="208" customFormat="1" ht="27.95" customHeight="1">
      <c r="A17" s="772">
        <v>6</v>
      </c>
      <c r="B17" s="773" t="s">
        <v>238</v>
      </c>
      <c r="C17" s="774">
        <f t="shared" si="6"/>
        <v>213672</v>
      </c>
      <c r="D17" s="774">
        <v>7373</v>
      </c>
      <c r="E17" s="774">
        <v>180511</v>
      </c>
      <c r="F17" s="774">
        <v>22041</v>
      </c>
      <c r="G17" s="774">
        <v>3747</v>
      </c>
      <c r="H17" s="774">
        <f t="shared" si="4"/>
        <v>246321.47700000001</v>
      </c>
      <c r="I17" s="774">
        <v>6506</v>
      </c>
      <c r="J17" s="774">
        <v>1671</v>
      </c>
      <c r="K17" s="774"/>
      <c r="L17" s="774">
        <f>195630-895-239</f>
        <v>194496</v>
      </c>
      <c r="M17" s="774">
        <v>103296</v>
      </c>
      <c r="N17" s="774"/>
      <c r="O17" s="774">
        <f t="shared" si="5"/>
        <v>30121.476999999999</v>
      </c>
      <c r="P17" s="774">
        <f>'[6]B61 - NĐ 31'!D18</f>
        <v>23434.476999999999</v>
      </c>
      <c r="Q17" s="774">
        <v>6687</v>
      </c>
      <c r="R17" s="774">
        <v>12131</v>
      </c>
      <c r="S17" s="774">
        <v>3067</v>
      </c>
      <c r="T17" s="775">
        <f t="shared" si="1"/>
        <v>1.1528018504998316</v>
      </c>
      <c r="U17" s="775">
        <f t="shared" si="1"/>
        <v>0.88240878882408791</v>
      </c>
      <c r="V17" s="775">
        <f t="shared" si="2"/>
        <v>1.077474502938879</v>
      </c>
      <c r="W17" s="775">
        <f t="shared" si="3"/>
        <v>1.3666111791660995</v>
      </c>
    </row>
    <row r="18" spans="1:23" s="208" customFormat="1" ht="27.95" customHeight="1">
      <c r="A18" s="772">
        <v>7</v>
      </c>
      <c r="B18" s="773" t="s">
        <v>239</v>
      </c>
      <c r="C18" s="774">
        <f t="shared" si="6"/>
        <v>366392</v>
      </c>
      <c r="D18" s="774">
        <v>13674</v>
      </c>
      <c r="E18" s="774">
        <v>280168</v>
      </c>
      <c r="F18" s="774">
        <v>66686</v>
      </c>
      <c r="G18" s="774">
        <v>5864</v>
      </c>
      <c r="H18" s="774">
        <f>I18+L18+O18+R18+S18</f>
        <v>436039</v>
      </c>
      <c r="I18" s="774">
        <f>28336-5376</f>
        <v>22960</v>
      </c>
      <c r="J18" s="774">
        <v>18247</v>
      </c>
      <c r="K18" s="774"/>
      <c r="L18" s="774">
        <f>264206+35207-1542-37</f>
        <v>297834</v>
      </c>
      <c r="M18" s="774">
        <v>162552</v>
      </c>
      <c r="N18" s="774"/>
      <c r="O18" s="774">
        <f t="shared" si="5"/>
        <v>68132</v>
      </c>
      <c r="P18" s="774">
        <v>49566</v>
      </c>
      <c r="Q18" s="774">
        <f>18529+37</f>
        <v>18566</v>
      </c>
      <c r="R18" s="774">
        <v>40313</v>
      </c>
      <c r="S18" s="774">
        <v>6800</v>
      </c>
      <c r="T18" s="775">
        <f t="shared" si="1"/>
        <v>1.1900887573964498</v>
      </c>
      <c r="U18" s="775">
        <f t="shared" si="1"/>
        <v>1.6790990200380285</v>
      </c>
      <c r="V18" s="775">
        <f t="shared" si="2"/>
        <v>1.06305502412838</v>
      </c>
      <c r="W18" s="775">
        <f t="shared" si="3"/>
        <v>1.0216837117236002</v>
      </c>
    </row>
    <row r="19" spans="1:23" s="208" customFormat="1" ht="27.95" customHeight="1">
      <c r="A19" s="776">
        <v>8</v>
      </c>
      <c r="B19" s="777" t="s">
        <v>240</v>
      </c>
      <c r="C19" s="778">
        <f t="shared" si="6"/>
        <v>268888</v>
      </c>
      <c r="D19" s="778">
        <v>8555</v>
      </c>
      <c r="E19" s="778">
        <v>202906</v>
      </c>
      <c r="F19" s="778">
        <v>53209</v>
      </c>
      <c r="G19" s="778">
        <v>4218</v>
      </c>
      <c r="H19" s="778">
        <f t="shared" si="4"/>
        <v>317804</v>
      </c>
      <c r="I19" s="778">
        <v>5155</v>
      </c>
      <c r="J19" s="778">
        <v>2004</v>
      </c>
      <c r="K19" s="778"/>
      <c r="L19" s="778">
        <v>214582</v>
      </c>
      <c r="M19" s="778">
        <v>124967</v>
      </c>
      <c r="N19" s="778">
        <v>15</v>
      </c>
      <c r="O19" s="778">
        <f t="shared" si="5"/>
        <v>53123</v>
      </c>
      <c r="P19" s="778">
        <v>39864</v>
      </c>
      <c r="Q19" s="778">
        <v>13259</v>
      </c>
      <c r="R19" s="778">
        <v>43851</v>
      </c>
      <c r="S19" s="778">
        <v>1093</v>
      </c>
      <c r="T19" s="779">
        <f t="shared" si="1"/>
        <v>1.1819196096516023</v>
      </c>
      <c r="U19" s="779">
        <f t="shared" si="1"/>
        <v>0.60257159555815309</v>
      </c>
      <c r="V19" s="779">
        <f t="shared" si="2"/>
        <v>1.05754388731728</v>
      </c>
      <c r="W19" s="779">
        <f t="shared" si="3"/>
        <v>0.99838373207540076</v>
      </c>
    </row>
    <row r="20" spans="1:23" s="208" customFormat="1" ht="12">
      <c r="A20" s="294"/>
      <c r="B20" s="295"/>
      <c r="C20" s="296"/>
      <c r="D20" s="296"/>
      <c r="E20" s="296"/>
      <c r="F20" s="296"/>
      <c r="G20" s="296"/>
      <c r="H20" s="296"/>
      <c r="I20" s="296"/>
      <c r="J20" s="296"/>
      <c r="K20" s="296"/>
      <c r="L20" s="296"/>
      <c r="M20" s="296"/>
      <c r="N20" s="296"/>
      <c r="O20" s="296"/>
      <c r="P20" s="296"/>
      <c r="Q20" s="296"/>
      <c r="R20" s="296"/>
      <c r="S20" s="296"/>
      <c r="T20" s="297"/>
      <c r="U20" s="297"/>
      <c r="V20" s="297"/>
      <c r="W20" s="297"/>
    </row>
    <row r="21" spans="1:23" ht="15.75" customHeight="1">
      <c r="A21" s="210"/>
      <c r="H21" s="211"/>
      <c r="Q21" s="1685" t="s">
        <v>2032</v>
      </c>
      <c r="R21" s="1685"/>
      <c r="S21" s="1685"/>
      <c r="T21" s="1685"/>
      <c r="U21" s="1685"/>
      <c r="V21" s="1685"/>
    </row>
    <row r="22" spans="1:23" ht="20.25" customHeight="1">
      <c r="A22" s="210"/>
      <c r="I22" s="212"/>
      <c r="J22" s="212"/>
      <c r="L22" s="213"/>
      <c r="Q22" s="1686" t="s">
        <v>222</v>
      </c>
      <c r="R22" s="1686"/>
      <c r="S22" s="1686"/>
      <c r="T22" s="1686"/>
      <c r="U22" s="1686"/>
      <c r="V22" s="1686"/>
    </row>
    <row r="23" spans="1:23" ht="20.25" customHeight="1">
      <c r="A23" s="210"/>
      <c r="Q23" s="1686" t="s">
        <v>223</v>
      </c>
      <c r="R23" s="1686"/>
      <c r="S23" s="1686"/>
      <c r="T23" s="1686"/>
      <c r="U23" s="1686"/>
      <c r="V23" s="1686"/>
    </row>
    <row r="24" spans="1:23" ht="15.75" customHeight="1">
      <c r="A24" s="210"/>
      <c r="Q24" s="1682" t="s">
        <v>224</v>
      </c>
      <c r="R24" s="1682"/>
      <c r="S24" s="1682"/>
      <c r="T24" s="1682"/>
      <c r="U24" s="1682"/>
      <c r="V24" s="1682"/>
    </row>
    <row r="25" spans="1:23">
      <c r="A25" s="210"/>
    </row>
    <row r="26" spans="1:23">
      <c r="A26" s="210"/>
    </row>
    <row r="27" spans="1:23">
      <c r="A27" s="210"/>
    </row>
    <row r="28" spans="1:23">
      <c r="A28" s="210"/>
    </row>
  </sheetData>
  <mergeCells count="38">
    <mergeCell ref="T1:W1"/>
    <mergeCell ref="T4:W4"/>
    <mergeCell ref="A2:W2"/>
    <mergeCell ref="Q21:V21"/>
    <mergeCell ref="Q22:V22"/>
    <mergeCell ref="D6:G6"/>
    <mergeCell ref="H6:H9"/>
    <mergeCell ref="W7:W9"/>
    <mergeCell ref="I8:I9"/>
    <mergeCell ref="J8:K8"/>
    <mergeCell ref="L8:L9"/>
    <mergeCell ref="M8:N8"/>
    <mergeCell ref="O8:O9"/>
    <mergeCell ref="I7:K7"/>
    <mergeCell ref="L7:N7"/>
    <mergeCell ref="A1:D1"/>
    <mergeCell ref="Q23:V23"/>
    <mergeCell ref="Q24:V24"/>
    <mergeCell ref="P8:Q8"/>
    <mergeCell ref="T6:T9"/>
    <mergeCell ref="U7:U9"/>
    <mergeCell ref="V7:V9"/>
    <mergeCell ref="U6:W6"/>
    <mergeCell ref="O7:Q7"/>
    <mergeCell ref="R7:R9"/>
    <mergeCell ref="S7:S9"/>
    <mergeCell ref="I6:S6"/>
    <mergeCell ref="H5:S5"/>
    <mergeCell ref="T5:W5"/>
    <mergeCell ref="A3:W3"/>
    <mergeCell ref="C6:C9"/>
    <mergeCell ref="D7:D9"/>
    <mergeCell ref="E7:E9"/>
    <mergeCell ref="F7:F9"/>
    <mergeCell ref="G7:G9"/>
    <mergeCell ref="A5:A9"/>
    <mergeCell ref="B5:B9"/>
    <mergeCell ref="C5:G5"/>
  </mergeCells>
  <pageMargins left="0.34" right="0.35" top="0.55000000000000004" bottom="0.55000000000000004" header="0.3" footer="0.3"/>
  <pageSetup paperSize="8" scale="69" firstPageNumber="38" fitToHeight="0" orientation="landscape" useFirstPageNumber="1"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AD20"/>
  <sheetViews>
    <sheetView topLeftCell="C1" zoomScaleNormal="100" workbookViewId="0">
      <selection activeCell="AE9" sqref="AE9"/>
    </sheetView>
  </sheetViews>
  <sheetFormatPr defaultRowHeight="15"/>
  <cols>
    <col min="1" max="1" width="5" style="1543" customWidth="1"/>
    <col min="2" max="2" width="16.28515625" style="1543" customWidth="1"/>
    <col min="3" max="3" width="8.42578125" style="1543" customWidth="1"/>
    <col min="4" max="4" width="8.85546875" style="1543" customWidth="1"/>
    <col min="5" max="5" width="7.28515625" style="1543" customWidth="1"/>
    <col min="6" max="6" width="6.7109375" style="1543" customWidth="1"/>
    <col min="7" max="7" width="7.28515625" style="1543" customWidth="1"/>
    <col min="8" max="8" width="6.5703125" style="1543" customWidth="1"/>
    <col min="9" max="9" width="7.140625" style="1543" customWidth="1"/>
    <col min="10" max="10" width="7.85546875" style="503" hidden="1" customWidth="1"/>
    <col min="11" max="13" width="6.7109375" style="503" hidden="1" customWidth="1"/>
    <col min="14" max="14" width="7.5703125" style="1543" customWidth="1"/>
    <col min="15" max="15" width="9" style="1543" customWidth="1"/>
    <col min="16" max="16" width="8.5703125" style="1543" customWidth="1"/>
    <col min="17" max="17" width="7.7109375" style="1543" customWidth="1"/>
    <col min="18" max="18" width="6.7109375" style="1543" customWidth="1"/>
    <col min="19" max="19" width="7.7109375" style="1543" customWidth="1"/>
    <col min="20" max="20" width="7.85546875" style="1543" customWidth="1"/>
    <col min="21" max="21" width="7.7109375" style="1543" customWidth="1"/>
    <col min="22" max="22" width="7.42578125" style="1544" customWidth="1"/>
    <col min="23" max="27" width="6.7109375" style="1543" customWidth="1"/>
    <col min="28" max="28" width="8.140625" style="1543" customWidth="1"/>
    <col min="29" max="30" width="6.7109375" style="1543" customWidth="1"/>
    <col min="31" max="256" width="9.140625" style="1543"/>
    <col min="257" max="257" width="5" style="1543" customWidth="1"/>
    <col min="258" max="258" width="16.28515625" style="1543" customWidth="1"/>
    <col min="259" max="259" width="8.42578125" style="1543" customWidth="1"/>
    <col min="260" max="260" width="8.85546875" style="1543" customWidth="1"/>
    <col min="261" max="261" width="7.28515625" style="1543" customWidth="1"/>
    <col min="262" max="262" width="6.7109375" style="1543" customWidth="1"/>
    <col min="263" max="263" width="7.28515625" style="1543" customWidth="1"/>
    <col min="264" max="264" width="6.5703125" style="1543" customWidth="1"/>
    <col min="265" max="265" width="7.140625" style="1543" customWidth="1"/>
    <col min="266" max="269" width="0" style="1543" hidden="1" customWidth="1"/>
    <col min="270" max="270" width="7.5703125" style="1543" customWidth="1"/>
    <col min="271" max="271" width="9" style="1543" customWidth="1"/>
    <col min="272" max="272" width="8.5703125" style="1543" customWidth="1"/>
    <col min="273" max="273" width="7.7109375" style="1543" customWidth="1"/>
    <col min="274" max="274" width="6.7109375" style="1543" customWidth="1"/>
    <col min="275" max="275" width="7.7109375" style="1543" customWidth="1"/>
    <col min="276" max="276" width="7.85546875" style="1543" customWidth="1"/>
    <col min="277" max="277" width="7.7109375" style="1543" customWidth="1"/>
    <col min="278" max="278" width="7.42578125" style="1543" customWidth="1"/>
    <col min="279" max="283" width="6.7109375" style="1543" customWidth="1"/>
    <col min="284" max="284" width="8.140625" style="1543" customWidth="1"/>
    <col min="285" max="286" width="6.7109375" style="1543" customWidth="1"/>
    <col min="287" max="512" width="9.140625" style="1543"/>
    <col min="513" max="513" width="5" style="1543" customWidth="1"/>
    <col min="514" max="514" width="16.28515625" style="1543" customWidth="1"/>
    <col min="515" max="515" width="8.42578125" style="1543" customWidth="1"/>
    <col min="516" max="516" width="8.85546875" style="1543" customWidth="1"/>
    <col min="517" max="517" width="7.28515625" style="1543" customWidth="1"/>
    <col min="518" max="518" width="6.7109375" style="1543" customWidth="1"/>
    <col min="519" max="519" width="7.28515625" style="1543" customWidth="1"/>
    <col min="520" max="520" width="6.5703125" style="1543" customWidth="1"/>
    <col min="521" max="521" width="7.140625" style="1543" customWidth="1"/>
    <col min="522" max="525" width="0" style="1543" hidden="1" customWidth="1"/>
    <col min="526" max="526" width="7.5703125" style="1543" customWidth="1"/>
    <col min="527" max="527" width="9" style="1543" customWidth="1"/>
    <col min="528" max="528" width="8.5703125" style="1543" customWidth="1"/>
    <col min="529" max="529" width="7.7109375" style="1543" customWidth="1"/>
    <col min="530" max="530" width="6.7109375" style="1543" customWidth="1"/>
    <col min="531" max="531" width="7.7109375" style="1543" customWidth="1"/>
    <col min="532" max="532" width="7.85546875" style="1543" customWidth="1"/>
    <col min="533" max="533" width="7.7109375" style="1543" customWidth="1"/>
    <col min="534" max="534" width="7.42578125" style="1543" customWidth="1"/>
    <col min="535" max="539" width="6.7109375" style="1543" customWidth="1"/>
    <col min="540" max="540" width="8.140625" style="1543" customWidth="1"/>
    <col min="541" max="542" width="6.7109375" style="1543" customWidth="1"/>
    <col min="543" max="768" width="9.140625" style="1543"/>
    <col min="769" max="769" width="5" style="1543" customWidth="1"/>
    <col min="770" max="770" width="16.28515625" style="1543" customWidth="1"/>
    <col min="771" max="771" width="8.42578125" style="1543" customWidth="1"/>
    <col min="772" max="772" width="8.85546875" style="1543" customWidth="1"/>
    <col min="773" max="773" width="7.28515625" style="1543" customWidth="1"/>
    <col min="774" max="774" width="6.7109375" style="1543" customWidth="1"/>
    <col min="775" max="775" width="7.28515625" style="1543" customWidth="1"/>
    <col min="776" max="776" width="6.5703125" style="1543" customWidth="1"/>
    <col min="777" max="777" width="7.140625" style="1543" customWidth="1"/>
    <col min="778" max="781" width="0" style="1543" hidden="1" customWidth="1"/>
    <col min="782" max="782" width="7.5703125" style="1543" customWidth="1"/>
    <col min="783" max="783" width="9" style="1543" customWidth="1"/>
    <col min="784" max="784" width="8.5703125" style="1543" customWidth="1"/>
    <col min="785" max="785" width="7.7109375" style="1543" customWidth="1"/>
    <col min="786" max="786" width="6.7109375" style="1543" customWidth="1"/>
    <col min="787" max="787" width="7.7109375" style="1543" customWidth="1"/>
    <col min="788" max="788" width="7.85546875" style="1543" customWidth="1"/>
    <col min="789" max="789" width="7.7109375" style="1543" customWidth="1"/>
    <col min="790" max="790" width="7.42578125" style="1543" customWidth="1"/>
    <col min="791" max="795" width="6.7109375" style="1543" customWidth="1"/>
    <col min="796" max="796" width="8.140625" style="1543" customWidth="1"/>
    <col min="797" max="798" width="6.7109375" style="1543" customWidth="1"/>
    <col min="799" max="1024" width="9.140625" style="1543"/>
    <col min="1025" max="1025" width="5" style="1543" customWidth="1"/>
    <col min="1026" max="1026" width="16.28515625" style="1543" customWidth="1"/>
    <col min="1027" max="1027" width="8.42578125" style="1543" customWidth="1"/>
    <col min="1028" max="1028" width="8.85546875" style="1543" customWidth="1"/>
    <col min="1029" max="1029" width="7.28515625" style="1543" customWidth="1"/>
    <col min="1030" max="1030" width="6.7109375" style="1543" customWidth="1"/>
    <col min="1031" max="1031" width="7.28515625" style="1543" customWidth="1"/>
    <col min="1032" max="1032" width="6.5703125" style="1543" customWidth="1"/>
    <col min="1033" max="1033" width="7.140625" style="1543" customWidth="1"/>
    <col min="1034" max="1037" width="0" style="1543" hidden="1" customWidth="1"/>
    <col min="1038" max="1038" width="7.5703125" style="1543" customWidth="1"/>
    <col min="1039" max="1039" width="9" style="1543" customWidth="1"/>
    <col min="1040" max="1040" width="8.5703125" style="1543" customWidth="1"/>
    <col min="1041" max="1041" width="7.7109375" style="1543" customWidth="1"/>
    <col min="1042" max="1042" width="6.7109375" style="1543" customWidth="1"/>
    <col min="1043" max="1043" width="7.7109375" style="1543" customWidth="1"/>
    <col min="1044" max="1044" width="7.85546875" style="1543" customWidth="1"/>
    <col min="1045" max="1045" width="7.7109375" style="1543" customWidth="1"/>
    <col min="1046" max="1046" width="7.42578125" style="1543" customWidth="1"/>
    <col min="1047" max="1051" width="6.7109375" style="1543" customWidth="1"/>
    <col min="1052" max="1052" width="8.140625" style="1543" customWidth="1"/>
    <col min="1053" max="1054" width="6.7109375" style="1543" customWidth="1"/>
    <col min="1055" max="1280" width="9.140625" style="1543"/>
    <col min="1281" max="1281" width="5" style="1543" customWidth="1"/>
    <col min="1282" max="1282" width="16.28515625" style="1543" customWidth="1"/>
    <col min="1283" max="1283" width="8.42578125" style="1543" customWidth="1"/>
    <col min="1284" max="1284" width="8.85546875" style="1543" customWidth="1"/>
    <col min="1285" max="1285" width="7.28515625" style="1543" customWidth="1"/>
    <col min="1286" max="1286" width="6.7109375" style="1543" customWidth="1"/>
    <col min="1287" max="1287" width="7.28515625" style="1543" customWidth="1"/>
    <col min="1288" max="1288" width="6.5703125" style="1543" customWidth="1"/>
    <col min="1289" max="1289" width="7.140625" style="1543" customWidth="1"/>
    <col min="1290" max="1293" width="0" style="1543" hidden="1" customWidth="1"/>
    <col min="1294" max="1294" width="7.5703125" style="1543" customWidth="1"/>
    <col min="1295" max="1295" width="9" style="1543" customWidth="1"/>
    <col min="1296" max="1296" width="8.5703125" style="1543" customWidth="1"/>
    <col min="1297" max="1297" width="7.7109375" style="1543" customWidth="1"/>
    <col min="1298" max="1298" width="6.7109375" style="1543" customWidth="1"/>
    <col min="1299" max="1299" width="7.7109375" style="1543" customWidth="1"/>
    <col min="1300" max="1300" width="7.85546875" style="1543" customWidth="1"/>
    <col min="1301" max="1301" width="7.7109375" style="1543" customWidth="1"/>
    <col min="1302" max="1302" width="7.42578125" style="1543" customWidth="1"/>
    <col min="1303" max="1307" width="6.7109375" style="1543" customWidth="1"/>
    <col min="1308" max="1308" width="8.140625" style="1543" customWidth="1"/>
    <col min="1309" max="1310" width="6.7109375" style="1543" customWidth="1"/>
    <col min="1311" max="1536" width="9.140625" style="1543"/>
    <col min="1537" max="1537" width="5" style="1543" customWidth="1"/>
    <col min="1538" max="1538" width="16.28515625" style="1543" customWidth="1"/>
    <col min="1539" max="1539" width="8.42578125" style="1543" customWidth="1"/>
    <col min="1540" max="1540" width="8.85546875" style="1543" customWidth="1"/>
    <col min="1541" max="1541" width="7.28515625" style="1543" customWidth="1"/>
    <col min="1542" max="1542" width="6.7109375" style="1543" customWidth="1"/>
    <col min="1543" max="1543" width="7.28515625" style="1543" customWidth="1"/>
    <col min="1544" max="1544" width="6.5703125" style="1543" customWidth="1"/>
    <col min="1545" max="1545" width="7.140625" style="1543" customWidth="1"/>
    <col min="1546" max="1549" width="0" style="1543" hidden="1" customWidth="1"/>
    <col min="1550" max="1550" width="7.5703125" style="1543" customWidth="1"/>
    <col min="1551" max="1551" width="9" style="1543" customWidth="1"/>
    <col min="1552" max="1552" width="8.5703125" style="1543" customWidth="1"/>
    <col min="1553" max="1553" width="7.7109375" style="1543" customWidth="1"/>
    <col min="1554" max="1554" width="6.7109375" style="1543" customWidth="1"/>
    <col min="1555" max="1555" width="7.7109375" style="1543" customWidth="1"/>
    <col min="1556" max="1556" width="7.85546875" style="1543" customWidth="1"/>
    <col min="1557" max="1557" width="7.7109375" style="1543" customWidth="1"/>
    <col min="1558" max="1558" width="7.42578125" style="1543" customWidth="1"/>
    <col min="1559" max="1563" width="6.7109375" style="1543" customWidth="1"/>
    <col min="1564" max="1564" width="8.140625" style="1543" customWidth="1"/>
    <col min="1565" max="1566" width="6.7109375" style="1543" customWidth="1"/>
    <col min="1567" max="1792" width="9.140625" style="1543"/>
    <col min="1793" max="1793" width="5" style="1543" customWidth="1"/>
    <col min="1794" max="1794" width="16.28515625" style="1543" customWidth="1"/>
    <col min="1795" max="1795" width="8.42578125" style="1543" customWidth="1"/>
    <col min="1796" max="1796" width="8.85546875" style="1543" customWidth="1"/>
    <col min="1797" max="1797" width="7.28515625" style="1543" customWidth="1"/>
    <col min="1798" max="1798" width="6.7109375" style="1543" customWidth="1"/>
    <col min="1799" max="1799" width="7.28515625" style="1543" customWidth="1"/>
    <col min="1800" max="1800" width="6.5703125" style="1543" customWidth="1"/>
    <col min="1801" max="1801" width="7.140625" style="1543" customWidth="1"/>
    <col min="1802" max="1805" width="0" style="1543" hidden="1" customWidth="1"/>
    <col min="1806" max="1806" width="7.5703125" style="1543" customWidth="1"/>
    <col min="1807" max="1807" width="9" style="1543" customWidth="1"/>
    <col min="1808" max="1808" width="8.5703125" style="1543" customWidth="1"/>
    <col min="1809" max="1809" width="7.7109375" style="1543" customWidth="1"/>
    <col min="1810" max="1810" width="6.7109375" style="1543" customWidth="1"/>
    <col min="1811" max="1811" width="7.7109375" style="1543" customWidth="1"/>
    <col min="1812" max="1812" width="7.85546875" style="1543" customWidth="1"/>
    <col min="1813" max="1813" width="7.7109375" style="1543" customWidth="1"/>
    <col min="1814" max="1814" width="7.42578125" style="1543" customWidth="1"/>
    <col min="1815" max="1819" width="6.7109375" style="1543" customWidth="1"/>
    <col min="1820" max="1820" width="8.140625" style="1543" customWidth="1"/>
    <col min="1821" max="1822" width="6.7109375" style="1543" customWidth="1"/>
    <col min="1823" max="2048" width="9.140625" style="1543"/>
    <col min="2049" max="2049" width="5" style="1543" customWidth="1"/>
    <col min="2050" max="2050" width="16.28515625" style="1543" customWidth="1"/>
    <col min="2051" max="2051" width="8.42578125" style="1543" customWidth="1"/>
    <col min="2052" max="2052" width="8.85546875" style="1543" customWidth="1"/>
    <col min="2053" max="2053" width="7.28515625" style="1543" customWidth="1"/>
    <col min="2054" max="2054" width="6.7109375" style="1543" customWidth="1"/>
    <col min="2055" max="2055" width="7.28515625" style="1543" customWidth="1"/>
    <col min="2056" max="2056" width="6.5703125" style="1543" customWidth="1"/>
    <col min="2057" max="2057" width="7.140625" style="1543" customWidth="1"/>
    <col min="2058" max="2061" width="0" style="1543" hidden="1" customWidth="1"/>
    <col min="2062" max="2062" width="7.5703125" style="1543" customWidth="1"/>
    <col min="2063" max="2063" width="9" style="1543" customWidth="1"/>
    <col min="2064" max="2064" width="8.5703125" style="1543" customWidth="1"/>
    <col min="2065" max="2065" width="7.7109375" style="1543" customWidth="1"/>
    <col min="2066" max="2066" width="6.7109375" style="1543" customWidth="1"/>
    <col min="2067" max="2067" width="7.7109375" style="1543" customWidth="1"/>
    <col min="2068" max="2068" width="7.85546875" style="1543" customWidth="1"/>
    <col min="2069" max="2069" width="7.7109375" style="1543" customWidth="1"/>
    <col min="2070" max="2070" width="7.42578125" style="1543" customWidth="1"/>
    <col min="2071" max="2075" width="6.7109375" style="1543" customWidth="1"/>
    <col min="2076" max="2076" width="8.140625" style="1543" customWidth="1"/>
    <col min="2077" max="2078" width="6.7109375" style="1543" customWidth="1"/>
    <col min="2079" max="2304" width="9.140625" style="1543"/>
    <col min="2305" max="2305" width="5" style="1543" customWidth="1"/>
    <col min="2306" max="2306" width="16.28515625" style="1543" customWidth="1"/>
    <col min="2307" max="2307" width="8.42578125" style="1543" customWidth="1"/>
    <col min="2308" max="2308" width="8.85546875" style="1543" customWidth="1"/>
    <col min="2309" max="2309" width="7.28515625" style="1543" customWidth="1"/>
    <col min="2310" max="2310" width="6.7109375" style="1543" customWidth="1"/>
    <col min="2311" max="2311" width="7.28515625" style="1543" customWidth="1"/>
    <col min="2312" max="2312" width="6.5703125" style="1543" customWidth="1"/>
    <col min="2313" max="2313" width="7.140625" style="1543" customWidth="1"/>
    <col min="2314" max="2317" width="0" style="1543" hidden="1" customWidth="1"/>
    <col min="2318" max="2318" width="7.5703125" style="1543" customWidth="1"/>
    <col min="2319" max="2319" width="9" style="1543" customWidth="1"/>
    <col min="2320" max="2320" width="8.5703125" style="1543" customWidth="1"/>
    <col min="2321" max="2321" width="7.7109375" style="1543" customWidth="1"/>
    <col min="2322" max="2322" width="6.7109375" style="1543" customWidth="1"/>
    <col min="2323" max="2323" width="7.7109375" style="1543" customWidth="1"/>
    <col min="2324" max="2324" width="7.85546875" style="1543" customWidth="1"/>
    <col min="2325" max="2325" width="7.7109375" style="1543" customWidth="1"/>
    <col min="2326" max="2326" width="7.42578125" style="1543" customWidth="1"/>
    <col min="2327" max="2331" width="6.7109375" style="1543" customWidth="1"/>
    <col min="2332" max="2332" width="8.140625" style="1543" customWidth="1"/>
    <col min="2333" max="2334" width="6.7109375" style="1543" customWidth="1"/>
    <col min="2335" max="2560" width="9.140625" style="1543"/>
    <col min="2561" max="2561" width="5" style="1543" customWidth="1"/>
    <col min="2562" max="2562" width="16.28515625" style="1543" customWidth="1"/>
    <col min="2563" max="2563" width="8.42578125" style="1543" customWidth="1"/>
    <col min="2564" max="2564" width="8.85546875" style="1543" customWidth="1"/>
    <col min="2565" max="2565" width="7.28515625" style="1543" customWidth="1"/>
    <col min="2566" max="2566" width="6.7109375" style="1543" customWidth="1"/>
    <col min="2567" max="2567" width="7.28515625" style="1543" customWidth="1"/>
    <col min="2568" max="2568" width="6.5703125" style="1543" customWidth="1"/>
    <col min="2569" max="2569" width="7.140625" style="1543" customWidth="1"/>
    <col min="2570" max="2573" width="0" style="1543" hidden="1" customWidth="1"/>
    <col min="2574" max="2574" width="7.5703125" style="1543" customWidth="1"/>
    <col min="2575" max="2575" width="9" style="1543" customWidth="1"/>
    <col min="2576" max="2576" width="8.5703125" style="1543" customWidth="1"/>
    <col min="2577" max="2577" width="7.7109375" style="1543" customWidth="1"/>
    <col min="2578" max="2578" width="6.7109375" style="1543" customWidth="1"/>
    <col min="2579" max="2579" width="7.7109375" style="1543" customWidth="1"/>
    <col min="2580" max="2580" width="7.85546875" style="1543" customWidth="1"/>
    <col min="2581" max="2581" width="7.7109375" style="1543" customWidth="1"/>
    <col min="2582" max="2582" width="7.42578125" style="1543" customWidth="1"/>
    <col min="2583" max="2587" width="6.7109375" style="1543" customWidth="1"/>
    <col min="2588" max="2588" width="8.140625" style="1543" customWidth="1"/>
    <col min="2589" max="2590" width="6.7109375" style="1543" customWidth="1"/>
    <col min="2591" max="2816" width="9.140625" style="1543"/>
    <col min="2817" max="2817" width="5" style="1543" customWidth="1"/>
    <col min="2818" max="2818" width="16.28515625" style="1543" customWidth="1"/>
    <col min="2819" max="2819" width="8.42578125" style="1543" customWidth="1"/>
    <col min="2820" max="2820" width="8.85546875" style="1543" customWidth="1"/>
    <col min="2821" max="2821" width="7.28515625" style="1543" customWidth="1"/>
    <col min="2822" max="2822" width="6.7109375" style="1543" customWidth="1"/>
    <col min="2823" max="2823" width="7.28515625" style="1543" customWidth="1"/>
    <col min="2824" max="2824" width="6.5703125" style="1543" customWidth="1"/>
    <col min="2825" max="2825" width="7.140625" style="1543" customWidth="1"/>
    <col min="2826" max="2829" width="0" style="1543" hidden="1" customWidth="1"/>
    <col min="2830" max="2830" width="7.5703125" style="1543" customWidth="1"/>
    <col min="2831" max="2831" width="9" style="1543" customWidth="1"/>
    <col min="2832" max="2832" width="8.5703125" style="1543" customWidth="1"/>
    <col min="2833" max="2833" width="7.7109375" style="1543" customWidth="1"/>
    <col min="2834" max="2834" width="6.7109375" style="1543" customWidth="1"/>
    <col min="2835" max="2835" width="7.7109375" style="1543" customWidth="1"/>
    <col min="2836" max="2836" width="7.85546875" style="1543" customWidth="1"/>
    <col min="2837" max="2837" width="7.7109375" style="1543" customWidth="1"/>
    <col min="2838" max="2838" width="7.42578125" style="1543" customWidth="1"/>
    <col min="2839" max="2843" width="6.7109375" style="1543" customWidth="1"/>
    <col min="2844" max="2844" width="8.140625" style="1543" customWidth="1"/>
    <col min="2845" max="2846" width="6.7109375" style="1543" customWidth="1"/>
    <col min="2847" max="3072" width="9.140625" style="1543"/>
    <col min="3073" max="3073" width="5" style="1543" customWidth="1"/>
    <col min="3074" max="3074" width="16.28515625" style="1543" customWidth="1"/>
    <col min="3075" max="3075" width="8.42578125" style="1543" customWidth="1"/>
    <col min="3076" max="3076" width="8.85546875" style="1543" customWidth="1"/>
    <col min="3077" max="3077" width="7.28515625" style="1543" customWidth="1"/>
    <col min="3078" max="3078" width="6.7109375" style="1543" customWidth="1"/>
    <col min="3079" max="3079" width="7.28515625" style="1543" customWidth="1"/>
    <col min="3080" max="3080" width="6.5703125" style="1543" customWidth="1"/>
    <col min="3081" max="3081" width="7.140625" style="1543" customWidth="1"/>
    <col min="3082" max="3085" width="0" style="1543" hidden="1" customWidth="1"/>
    <col min="3086" max="3086" width="7.5703125" style="1543" customWidth="1"/>
    <col min="3087" max="3087" width="9" style="1543" customWidth="1"/>
    <col min="3088" max="3088" width="8.5703125" style="1543" customWidth="1"/>
    <col min="3089" max="3089" width="7.7109375" style="1543" customWidth="1"/>
    <col min="3090" max="3090" width="6.7109375" style="1543" customWidth="1"/>
    <col min="3091" max="3091" width="7.7109375" style="1543" customWidth="1"/>
    <col min="3092" max="3092" width="7.85546875" style="1543" customWidth="1"/>
    <col min="3093" max="3093" width="7.7109375" style="1543" customWidth="1"/>
    <col min="3094" max="3094" width="7.42578125" style="1543" customWidth="1"/>
    <col min="3095" max="3099" width="6.7109375" style="1543" customWidth="1"/>
    <col min="3100" max="3100" width="8.140625" style="1543" customWidth="1"/>
    <col min="3101" max="3102" width="6.7109375" style="1543" customWidth="1"/>
    <col min="3103" max="3328" width="9.140625" style="1543"/>
    <col min="3329" max="3329" width="5" style="1543" customWidth="1"/>
    <col min="3330" max="3330" width="16.28515625" style="1543" customWidth="1"/>
    <col min="3331" max="3331" width="8.42578125" style="1543" customWidth="1"/>
    <col min="3332" max="3332" width="8.85546875" style="1543" customWidth="1"/>
    <col min="3333" max="3333" width="7.28515625" style="1543" customWidth="1"/>
    <col min="3334" max="3334" width="6.7109375" style="1543" customWidth="1"/>
    <col min="3335" max="3335" width="7.28515625" style="1543" customWidth="1"/>
    <col min="3336" max="3336" width="6.5703125" style="1543" customWidth="1"/>
    <col min="3337" max="3337" width="7.140625" style="1543" customWidth="1"/>
    <col min="3338" max="3341" width="0" style="1543" hidden="1" customWidth="1"/>
    <col min="3342" max="3342" width="7.5703125" style="1543" customWidth="1"/>
    <col min="3343" max="3343" width="9" style="1543" customWidth="1"/>
    <col min="3344" max="3344" width="8.5703125" style="1543" customWidth="1"/>
    <col min="3345" max="3345" width="7.7109375" style="1543" customWidth="1"/>
    <col min="3346" max="3346" width="6.7109375" style="1543" customWidth="1"/>
    <col min="3347" max="3347" width="7.7109375" style="1543" customWidth="1"/>
    <col min="3348" max="3348" width="7.85546875" style="1543" customWidth="1"/>
    <col min="3349" max="3349" width="7.7109375" style="1543" customWidth="1"/>
    <col min="3350" max="3350" width="7.42578125" style="1543" customWidth="1"/>
    <col min="3351" max="3355" width="6.7109375" style="1543" customWidth="1"/>
    <col min="3356" max="3356" width="8.140625" style="1543" customWidth="1"/>
    <col min="3357" max="3358" width="6.7109375" style="1543" customWidth="1"/>
    <col min="3359" max="3584" width="9.140625" style="1543"/>
    <col min="3585" max="3585" width="5" style="1543" customWidth="1"/>
    <col min="3586" max="3586" width="16.28515625" style="1543" customWidth="1"/>
    <col min="3587" max="3587" width="8.42578125" style="1543" customWidth="1"/>
    <col min="3588" max="3588" width="8.85546875" style="1543" customWidth="1"/>
    <col min="3589" max="3589" width="7.28515625" style="1543" customWidth="1"/>
    <col min="3590" max="3590" width="6.7109375" style="1543" customWidth="1"/>
    <col min="3591" max="3591" width="7.28515625" style="1543" customWidth="1"/>
    <col min="3592" max="3592" width="6.5703125" style="1543" customWidth="1"/>
    <col min="3593" max="3593" width="7.140625" style="1543" customWidth="1"/>
    <col min="3594" max="3597" width="0" style="1543" hidden="1" customWidth="1"/>
    <col min="3598" max="3598" width="7.5703125" style="1543" customWidth="1"/>
    <col min="3599" max="3599" width="9" style="1543" customWidth="1"/>
    <col min="3600" max="3600" width="8.5703125" style="1543" customWidth="1"/>
    <col min="3601" max="3601" width="7.7109375" style="1543" customWidth="1"/>
    <col min="3602" max="3602" width="6.7109375" style="1543" customWidth="1"/>
    <col min="3603" max="3603" width="7.7109375" style="1543" customWidth="1"/>
    <col min="3604" max="3604" width="7.85546875" style="1543" customWidth="1"/>
    <col min="3605" max="3605" width="7.7109375" style="1543" customWidth="1"/>
    <col min="3606" max="3606" width="7.42578125" style="1543" customWidth="1"/>
    <col min="3607" max="3611" width="6.7109375" style="1543" customWidth="1"/>
    <col min="3612" max="3612" width="8.140625" style="1543" customWidth="1"/>
    <col min="3613" max="3614" width="6.7109375" style="1543" customWidth="1"/>
    <col min="3615" max="3840" width="9.140625" style="1543"/>
    <col min="3841" max="3841" width="5" style="1543" customWidth="1"/>
    <col min="3842" max="3842" width="16.28515625" style="1543" customWidth="1"/>
    <col min="3843" max="3843" width="8.42578125" style="1543" customWidth="1"/>
    <col min="3844" max="3844" width="8.85546875" style="1543" customWidth="1"/>
    <col min="3845" max="3845" width="7.28515625" style="1543" customWidth="1"/>
    <col min="3846" max="3846" width="6.7109375" style="1543" customWidth="1"/>
    <col min="3847" max="3847" width="7.28515625" style="1543" customWidth="1"/>
    <col min="3848" max="3848" width="6.5703125" style="1543" customWidth="1"/>
    <col min="3849" max="3849" width="7.140625" style="1543" customWidth="1"/>
    <col min="3850" max="3853" width="0" style="1543" hidden="1" customWidth="1"/>
    <col min="3854" max="3854" width="7.5703125" style="1543" customWidth="1"/>
    <col min="3855" max="3855" width="9" style="1543" customWidth="1"/>
    <col min="3856" max="3856" width="8.5703125" style="1543" customWidth="1"/>
    <col min="3857" max="3857" width="7.7109375" style="1543" customWidth="1"/>
    <col min="3858" max="3858" width="6.7109375" style="1543" customWidth="1"/>
    <col min="3859" max="3859" width="7.7109375" style="1543" customWidth="1"/>
    <col min="3860" max="3860" width="7.85546875" style="1543" customWidth="1"/>
    <col min="3861" max="3861" width="7.7109375" style="1543" customWidth="1"/>
    <col min="3862" max="3862" width="7.42578125" style="1543" customWidth="1"/>
    <col min="3863" max="3867" width="6.7109375" style="1543" customWidth="1"/>
    <col min="3868" max="3868" width="8.140625" style="1543" customWidth="1"/>
    <col min="3869" max="3870" width="6.7109375" style="1543" customWidth="1"/>
    <col min="3871" max="4096" width="9.140625" style="1543"/>
    <col min="4097" max="4097" width="5" style="1543" customWidth="1"/>
    <col min="4098" max="4098" width="16.28515625" style="1543" customWidth="1"/>
    <col min="4099" max="4099" width="8.42578125" style="1543" customWidth="1"/>
    <col min="4100" max="4100" width="8.85546875" style="1543" customWidth="1"/>
    <col min="4101" max="4101" width="7.28515625" style="1543" customWidth="1"/>
    <col min="4102" max="4102" width="6.7109375" style="1543" customWidth="1"/>
    <col min="4103" max="4103" width="7.28515625" style="1543" customWidth="1"/>
    <col min="4104" max="4104" width="6.5703125" style="1543" customWidth="1"/>
    <col min="4105" max="4105" width="7.140625" style="1543" customWidth="1"/>
    <col min="4106" max="4109" width="0" style="1543" hidden="1" customWidth="1"/>
    <col min="4110" max="4110" width="7.5703125" style="1543" customWidth="1"/>
    <col min="4111" max="4111" width="9" style="1543" customWidth="1"/>
    <col min="4112" max="4112" width="8.5703125" style="1543" customWidth="1"/>
    <col min="4113" max="4113" width="7.7109375" style="1543" customWidth="1"/>
    <col min="4114" max="4114" width="6.7109375" style="1543" customWidth="1"/>
    <col min="4115" max="4115" width="7.7109375" style="1543" customWidth="1"/>
    <col min="4116" max="4116" width="7.85546875" style="1543" customWidth="1"/>
    <col min="4117" max="4117" width="7.7109375" style="1543" customWidth="1"/>
    <col min="4118" max="4118" width="7.42578125" style="1543" customWidth="1"/>
    <col min="4119" max="4123" width="6.7109375" style="1543" customWidth="1"/>
    <col min="4124" max="4124" width="8.140625" style="1543" customWidth="1"/>
    <col min="4125" max="4126" width="6.7109375" style="1543" customWidth="1"/>
    <col min="4127" max="4352" width="9.140625" style="1543"/>
    <col min="4353" max="4353" width="5" style="1543" customWidth="1"/>
    <col min="4354" max="4354" width="16.28515625" style="1543" customWidth="1"/>
    <col min="4355" max="4355" width="8.42578125" style="1543" customWidth="1"/>
    <col min="4356" max="4356" width="8.85546875" style="1543" customWidth="1"/>
    <col min="4357" max="4357" width="7.28515625" style="1543" customWidth="1"/>
    <col min="4358" max="4358" width="6.7109375" style="1543" customWidth="1"/>
    <col min="4359" max="4359" width="7.28515625" style="1543" customWidth="1"/>
    <col min="4360" max="4360" width="6.5703125" style="1543" customWidth="1"/>
    <col min="4361" max="4361" width="7.140625" style="1543" customWidth="1"/>
    <col min="4362" max="4365" width="0" style="1543" hidden="1" customWidth="1"/>
    <col min="4366" max="4366" width="7.5703125" style="1543" customWidth="1"/>
    <col min="4367" max="4367" width="9" style="1543" customWidth="1"/>
    <col min="4368" max="4368" width="8.5703125" style="1543" customWidth="1"/>
    <col min="4369" max="4369" width="7.7109375" style="1543" customWidth="1"/>
    <col min="4370" max="4370" width="6.7109375" style="1543" customWidth="1"/>
    <col min="4371" max="4371" width="7.7109375" style="1543" customWidth="1"/>
    <col min="4372" max="4372" width="7.85546875" style="1543" customWidth="1"/>
    <col min="4373" max="4373" width="7.7109375" style="1543" customWidth="1"/>
    <col min="4374" max="4374" width="7.42578125" style="1543" customWidth="1"/>
    <col min="4375" max="4379" width="6.7109375" style="1543" customWidth="1"/>
    <col min="4380" max="4380" width="8.140625" style="1543" customWidth="1"/>
    <col min="4381" max="4382" width="6.7109375" style="1543" customWidth="1"/>
    <col min="4383" max="4608" width="9.140625" style="1543"/>
    <col min="4609" max="4609" width="5" style="1543" customWidth="1"/>
    <col min="4610" max="4610" width="16.28515625" style="1543" customWidth="1"/>
    <col min="4611" max="4611" width="8.42578125" style="1543" customWidth="1"/>
    <col min="4612" max="4612" width="8.85546875" style="1543" customWidth="1"/>
    <col min="4613" max="4613" width="7.28515625" style="1543" customWidth="1"/>
    <col min="4614" max="4614" width="6.7109375" style="1543" customWidth="1"/>
    <col min="4615" max="4615" width="7.28515625" style="1543" customWidth="1"/>
    <col min="4616" max="4616" width="6.5703125" style="1543" customWidth="1"/>
    <col min="4617" max="4617" width="7.140625" style="1543" customWidth="1"/>
    <col min="4618" max="4621" width="0" style="1543" hidden="1" customWidth="1"/>
    <col min="4622" max="4622" width="7.5703125" style="1543" customWidth="1"/>
    <col min="4623" max="4623" width="9" style="1543" customWidth="1"/>
    <col min="4624" max="4624" width="8.5703125" style="1543" customWidth="1"/>
    <col min="4625" max="4625" width="7.7109375" style="1543" customWidth="1"/>
    <col min="4626" max="4626" width="6.7109375" style="1543" customWidth="1"/>
    <col min="4627" max="4627" width="7.7109375" style="1543" customWidth="1"/>
    <col min="4628" max="4628" width="7.85546875" style="1543" customWidth="1"/>
    <col min="4629" max="4629" width="7.7109375" style="1543" customWidth="1"/>
    <col min="4630" max="4630" width="7.42578125" style="1543" customWidth="1"/>
    <col min="4631" max="4635" width="6.7109375" style="1543" customWidth="1"/>
    <col min="4636" max="4636" width="8.140625" style="1543" customWidth="1"/>
    <col min="4637" max="4638" width="6.7109375" style="1543" customWidth="1"/>
    <col min="4639" max="4864" width="9.140625" style="1543"/>
    <col min="4865" max="4865" width="5" style="1543" customWidth="1"/>
    <col min="4866" max="4866" width="16.28515625" style="1543" customWidth="1"/>
    <col min="4867" max="4867" width="8.42578125" style="1543" customWidth="1"/>
    <col min="4868" max="4868" width="8.85546875" style="1543" customWidth="1"/>
    <col min="4869" max="4869" width="7.28515625" style="1543" customWidth="1"/>
    <col min="4870" max="4870" width="6.7109375" style="1543" customWidth="1"/>
    <col min="4871" max="4871" width="7.28515625" style="1543" customWidth="1"/>
    <col min="4872" max="4872" width="6.5703125" style="1543" customWidth="1"/>
    <col min="4873" max="4873" width="7.140625" style="1543" customWidth="1"/>
    <col min="4874" max="4877" width="0" style="1543" hidden="1" customWidth="1"/>
    <col min="4878" max="4878" width="7.5703125" style="1543" customWidth="1"/>
    <col min="4879" max="4879" width="9" style="1543" customWidth="1"/>
    <col min="4880" max="4880" width="8.5703125" style="1543" customWidth="1"/>
    <col min="4881" max="4881" width="7.7109375" style="1543" customWidth="1"/>
    <col min="4882" max="4882" width="6.7109375" style="1543" customWidth="1"/>
    <col min="4883" max="4883" width="7.7109375" style="1543" customWidth="1"/>
    <col min="4884" max="4884" width="7.85546875" style="1543" customWidth="1"/>
    <col min="4885" max="4885" width="7.7109375" style="1543" customWidth="1"/>
    <col min="4886" max="4886" width="7.42578125" style="1543" customWidth="1"/>
    <col min="4887" max="4891" width="6.7109375" style="1543" customWidth="1"/>
    <col min="4892" max="4892" width="8.140625" style="1543" customWidth="1"/>
    <col min="4893" max="4894" width="6.7109375" style="1543" customWidth="1"/>
    <col min="4895" max="5120" width="9.140625" style="1543"/>
    <col min="5121" max="5121" width="5" style="1543" customWidth="1"/>
    <col min="5122" max="5122" width="16.28515625" style="1543" customWidth="1"/>
    <col min="5123" max="5123" width="8.42578125" style="1543" customWidth="1"/>
    <col min="5124" max="5124" width="8.85546875" style="1543" customWidth="1"/>
    <col min="5125" max="5125" width="7.28515625" style="1543" customWidth="1"/>
    <col min="5126" max="5126" width="6.7109375" style="1543" customWidth="1"/>
    <col min="5127" max="5127" width="7.28515625" style="1543" customWidth="1"/>
    <col min="5128" max="5128" width="6.5703125" style="1543" customWidth="1"/>
    <col min="5129" max="5129" width="7.140625" style="1543" customWidth="1"/>
    <col min="5130" max="5133" width="0" style="1543" hidden="1" customWidth="1"/>
    <col min="5134" max="5134" width="7.5703125" style="1543" customWidth="1"/>
    <col min="5135" max="5135" width="9" style="1543" customWidth="1"/>
    <col min="5136" max="5136" width="8.5703125" style="1543" customWidth="1"/>
    <col min="5137" max="5137" width="7.7109375" style="1543" customWidth="1"/>
    <col min="5138" max="5138" width="6.7109375" style="1543" customWidth="1"/>
    <col min="5139" max="5139" width="7.7109375" style="1543" customWidth="1"/>
    <col min="5140" max="5140" width="7.85546875" style="1543" customWidth="1"/>
    <col min="5141" max="5141" width="7.7109375" style="1543" customWidth="1"/>
    <col min="5142" max="5142" width="7.42578125" style="1543" customWidth="1"/>
    <col min="5143" max="5147" width="6.7109375" style="1543" customWidth="1"/>
    <col min="5148" max="5148" width="8.140625" style="1543" customWidth="1"/>
    <col min="5149" max="5150" width="6.7109375" style="1543" customWidth="1"/>
    <col min="5151" max="5376" width="9.140625" style="1543"/>
    <col min="5377" max="5377" width="5" style="1543" customWidth="1"/>
    <col min="5378" max="5378" width="16.28515625" style="1543" customWidth="1"/>
    <col min="5379" max="5379" width="8.42578125" style="1543" customWidth="1"/>
    <col min="5380" max="5380" width="8.85546875" style="1543" customWidth="1"/>
    <col min="5381" max="5381" width="7.28515625" style="1543" customWidth="1"/>
    <col min="5382" max="5382" width="6.7109375" style="1543" customWidth="1"/>
    <col min="5383" max="5383" width="7.28515625" style="1543" customWidth="1"/>
    <col min="5384" max="5384" width="6.5703125" style="1543" customWidth="1"/>
    <col min="5385" max="5385" width="7.140625" style="1543" customWidth="1"/>
    <col min="5386" max="5389" width="0" style="1543" hidden="1" customWidth="1"/>
    <col min="5390" max="5390" width="7.5703125" style="1543" customWidth="1"/>
    <col min="5391" max="5391" width="9" style="1543" customWidth="1"/>
    <col min="5392" max="5392" width="8.5703125" style="1543" customWidth="1"/>
    <col min="5393" max="5393" width="7.7109375" style="1543" customWidth="1"/>
    <col min="5394" max="5394" width="6.7109375" style="1543" customWidth="1"/>
    <col min="5395" max="5395" width="7.7109375" style="1543" customWidth="1"/>
    <col min="5396" max="5396" width="7.85546875" style="1543" customWidth="1"/>
    <col min="5397" max="5397" width="7.7109375" style="1543" customWidth="1"/>
    <col min="5398" max="5398" width="7.42578125" style="1543" customWidth="1"/>
    <col min="5399" max="5403" width="6.7109375" style="1543" customWidth="1"/>
    <col min="5404" max="5404" width="8.140625" style="1543" customWidth="1"/>
    <col min="5405" max="5406" width="6.7109375" style="1543" customWidth="1"/>
    <col min="5407" max="5632" width="9.140625" style="1543"/>
    <col min="5633" max="5633" width="5" style="1543" customWidth="1"/>
    <col min="5634" max="5634" width="16.28515625" style="1543" customWidth="1"/>
    <col min="5635" max="5635" width="8.42578125" style="1543" customWidth="1"/>
    <col min="5636" max="5636" width="8.85546875" style="1543" customWidth="1"/>
    <col min="5637" max="5637" width="7.28515625" style="1543" customWidth="1"/>
    <col min="5638" max="5638" width="6.7109375" style="1543" customWidth="1"/>
    <col min="5639" max="5639" width="7.28515625" style="1543" customWidth="1"/>
    <col min="5640" max="5640" width="6.5703125" style="1543" customWidth="1"/>
    <col min="5641" max="5641" width="7.140625" style="1543" customWidth="1"/>
    <col min="5642" max="5645" width="0" style="1543" hidden="1" customWidth="1"/>
    <col min="5646" max="5646" width="7.5703125" style="1543" customWidth="1"/>
    <col min="5647" max="5647" width="9" style="1543" customWidth="1"/>
    <col min="5648" max="5648" width="8.5703125" style="1543" customWidth="1"/>
    <col min="5649" max="5649" width="7.7109375" style="1543" customWidth="1"/>
    <col min="5650" max="5650" width="6.7109375" style="1543" customWidth="1"/>
    <col min="5651" max="5651" width="7.7109375" style="1543" customWidth="1"/>
    <col min="5652" max="5652" width="7.85546875" style="1543" customWidth="1"/>
    <col min="5653" max="5653" width="7.7109375" style="1543" customWidth="1"/>
    <col min="5654" max="5654" width="7.42578125" style="1543" customWidth="1"/>
    <col min="5655" max="5659" width="6.7109375" style="1543" customWidth="1"/>
    <col min="5660" max="5660" width="8.140625" style="1543" customWidth="1"/>
    <col min="5661" max="5662" width="6.7109375" style="1543" customWidth="1"/>
    <col min="5663" max="5888" width="9.140625" style="1543"/>
    <col min="5889" max="5889" width="5" style="1543" customWidth="1"/>
    <col min="5890" max="5890" width="16.28515625" style="1543" customWidth="1"/>
    <col min="5891" max="5891" width="8.42578125" style="1543" customWidth="1"/>
    <col min="5892" max="5892" width="8.85546875" style="1543" customWidth="1"/>
    <col min="5893" max="5893" width="7.28515625" style="1543" customWidth="1"/>
    <col min="5894" max="5894" width="6.7109375" style="1543" customWidth="1"/>
    <col min="5895" max="5895" width="7.28515625" style="1543" customWidth="1"/>
    <col min="5896" max="5896" width="6.5703125" style="1543" customWidth="1"/>
    <col min="5897" max="5897" width="7.140625" style="1543" customWidth="1"/>
    <col min="5898" max="5901" width="0" style="1543" hidden="1" customWidth="1"/>
    <col min="5902" max="5902" width="7.5703125" style="1543" customWidth="1"/>
    <col min="5903" max="5903" width="9" style="1543" customWidth="1"/>
    <col min="5904" max="5904" width="8.5703125" style="1543" customWidth="1"/>
    <col min="5905" max="5905" width="7.7109375" style="1543" customWidth="1"/>
    <col min="5906" max="5906" width="6.7109375" style="1543" customWidth="1"/>
    <col min="5907" max="5907" width="7.7109375" style="1543" customWidth="1"/>
    <col min="5908" max="5908" width="7.85546875" style="1543" customWidth="1"/>
    <col min="5909" max="5909" width="7.7109375" style="1543" customWidth="1"/>
    <col min="5910" max="5910" width="7.42578125" style="1543" customWidth="1"/>
    <col min="5911" max="5915" width="6.7109375" style="1543" customWidth="1"/>
    <col min="5916" max="5916" width="8.140625" style="1543" customWidth="1"/>
    <col min="5917" max="5918" width="6.7109375" style="1543" customWidth="1"/>
    <col min="5919" max="6144" width="9.140625" style="1543"/>
    <col min="6145" max="6145" width="5" style="1543" customWidth="1"/>
    <col min="6146" max="6146" width="16.28515625" style="1543" customWidth="1"/>
    <col min="6147" max="6147" width="8.42578125" style="1543" customWidth="1"/>
    <col min="6148" max="6148" width="8.85546875" style="1543" customWidth="1"/>
    <col min="6149" max="6149" width="7.28515625" style="1543" customWidth="1"/>
    <col min="6150" max="6150" width="6.7109375" style="1543" customWidth="1"/>
    <col min="6151" max="6151" width="7.28515625" style="1543" customWidth="1"/>
    <col min="6152" max="6152" width="6.5703125" style="1543" customWidth="1"/>
    <col min="6153" max="6153" width="7.140625" style="1543" customWidth="1"/>
    <col min="6154" max="6157" width="0" style="1543" hidden="1" customWidth="1"/>
    <col min="6158" max="6158" width="7.5703125" style="1543" customWidth="1"/>
    <col min="6159" max="6159" width="9" style="1543" customWidth="1"/>
    <col min="6160" max="6160" width="8.5703125" style="1543" customWidth="1"/>
    <col min="6161" max="6161" width="7.7109375" style="1543" customWidth="1"/>
    <col min="6162" max="6162" width="6.7109375" style="1543" customWidth="1"/>
    <col min="6163" max="6163" width="7.7109375" style="1543" customWidth="1"/>
    <col min="6164" max="6164" width="7.85546875" style="1543" customWidth="1"/>
    <col min="6165" max="6165" width="7.7109375" style="1543" customWidth="1"/>
    <col min="6166" max="6166" width="7.42578125" style="1543" customWidth="1"/>
    <col min="6167" max="6171" width="6.7109375" style="1543" customWidth="1"/>
    <col min="6172" max="6172" width="8.140625" style="1543" customWidth="1"/>
    <col min="6173" max="6174" width="6.7109375" style="1543" customWidth="1"/>
    <col min="6175" max="6400" width="9.140625" style="1543"/>
    <col min="6401" max="6401" width="5" style="1543" customWidth="1"/>
    <col min="6402" max="6402" width="16.28515625" style="1543" customWidth="1"/>
    <col min="6403" max="6403" width="8.42578125" style="1543" customWidth="1"/>
    <col min="6404" max="6404" width="8.85546875" style="1543" customWidth="1"/>
    <col min="6405" max="6405" width="7.28515625" style="1543" customWidth="1"/>
    <col min="6406" max="6406" width="6.7109375" style="1543" customWidth="1"/>
    <col min="6407" max="6407" width="7.28515625" style="1543" customWidth="1"/>
    <col min="6408" max="6408" width="6.5703125" style="1543" customWidth="1"/>
    <col min="6409" max="6409" width="7.140625" style="1543" customWidth="1"/>
    <col min="6410" max="6413" width="0" style="1543" hidden="1" customWidth="1"/>
    <col min="6414" max="6414" width="7.5703125" style="1543" customWidth="1"/>
    <col min="6415" max="6415" width="9" style="1543" customWidth="1"/>
    <col min="6416" max="6416" width="8.5703125" style="1543" customWidth="1"/>
    <col min="6417" max="6417" width="7.7109375" style="1543" customWidth="1"/>
    <col min="6418" max="6418" width="6.7109375" style="1543" customWidth="1"/>
    <col min="6419" max="6419" width="7.7109375" style="1543" customWidth="1"/>
    <col min="6420" max="6420" width="7.85546875" style="1543" customWidth="1"/>
    <col min="6421" max="6421" width="7.7109375" style="1543" customWidth="1"/>
    <col min="6422" max="6422" width="7.42578125" style="1543" customWidth="1"/>
    <col min="6423" max="6427" width="6.7109375" style="1543" customWidth="1"/>
    <col min="6428" max="6428" width="8.140625" style="1543" customWidth="1"/>
    <col min="6429" max="6430" width="6.7109375" style="1543" customWidth="1"/>
    <col min="6431" max="6656" width="9.140625" style="1543"/>
    <col min="6657" max="6657" width="5" style="1543" customWidth="1"/>
    <col min="6658" max="6658" width="16.28515625" style="1543" customWidth="1"/>
    <col min="6659" max="6659" width="8.42578125" style="1543" customWidth="1"/>
    <col min="6660" max="6660" width="8.85546875" style="1543" customWidth="1"/>
    <col min="6661" max="6661" width="7.28515625" style="1543" customWidth="1"/>
    <col min="6662" max="6662" width="6.7109375" style="1543" customWidth="1"/>
    <col min="6663" max="6663" width="7.28515625" style="1543" customWidth="1"/>
    <col min="6664" max="6664" width="6.5703125" style="1543" customWidth="1"/>
    <col min="6665" max="6665" width="7.140625" style="1543" customWidth="1"/>
    <col min="6666" max="6669" width="0" style="1543" hidden="1" customWidth="1"/>
    <col min="6670" max="6670" width="7.5703125" style="1543" customWidth="1"/>
    <col min="6671" max="6671" width="9" style="1543" customWidth="1"/>
    <col min="6672" max="6672" width="8.5703125" style="1543" customWidth="1"/>
    <col min="6673" max="6673" width="7.7109375" style="1543" customWidth="1"/>
    <col min="6674" max="6674" width="6.7109375" style="1543" customWidth="1"/>
    <col min="6675" max="6675" width="7.7109375" style="1543" customWidth="1"/>
    <col min="6676" max="6676" width="7.85546875" style="1543" customWidth="1"/>
    <col min="6677" max="6677" width="7.7109375" style="1543" customWidth="1"/>
    <col min="6678" max="6678" width="7.42578125" style="1543" customWidth="1"/>
    <col min="6679" max="6683" width="6.7109375" style="1543" customWidth="1"/>
    <col min="6684" max="6684" width="8.140625" style="1543" customWidth="1"/>
    <col min="6685" max="6686" width="6.7109375" style="1543" customWidth="1"/>
    <col min="6687" max="6912" width="9.140625" style="1543"/>
    <col min="6913" max="6913" width="5" style="1543" customWidth="1"/>
    <col min="6914" max="6914" width="16.28515625" style="1543" customWidth="1"/>
    <col min="6915" max="6915" width="8.42578125" style="1543" customWidth="1"/>
    <col min="6916" max="6916" width="8.85546875" style="1543" customWidth="1"/>
    <col min="6917" max="6917" width="7.28515625" style="1543" customWidth="1"/>
    <col min="6918" max="6918" width="6.7109375" style="1543" customWidth="1"/>
    <col min="6919" max="6919" width="7.28515625" style="1543" customWidth="1"/>
    <col min="6920" max="6920" width="6.5703125" style="1543" customWidth="1"/>
    <col min="6921" max="6921" width="7.140625" style="1543" customWidth="1"/>
    <col min="6922" max="6925" width="0" style="1543" hidden="1" customWidth="1"/>
    <col min="6926" max="6926" width="7.5703125" style="1543" customWidth="1"/>
    <col min="6927" max="6927" width="9" style="1543" customWidth="1"/>
    <col min="6928" max="6928" width="8.5703125" style="1543" customWidth="1"/>
    <col min="6929" max="6929" width="7.7109375" style="1543" customWidth="1"/>
    <col min="6930" max="6930" width="6.7109375" style="1543" customWidth="1"/>
    <col min="6931" max="6931" width="7.7109375" style="1543" customWidth="1"/>
    <col min="6932" max="6932" width="7.85546875" style="1543" customWidth="1"/>
    <col min="6933" max="6933" width="7.7109375" style="1543" customWidth="1"/>
    <col min="6934" max="6934" width="7.42578125" style="1543" customWidth="1"/>
    <col min="6935" max="6939" width="6.7109375" style="1543" customWidth="1"/>
    <col min="6940" max="6940" width="8.140625" style="1543" customWidth="1"/>
    <col min="6941" max="6942" width="6.7109375" style="1543" customWidth="1"/>
    <col min="6943" max="7168" width="9.140625" style="1543"/>
    <col min="7169" max="7169" width="5" style="1543" customWidth="1"/>
    <col min="7170" max="7170" width="16.28515625" style="1543" customWidth="1"/>
    <col min="7171" max="7171" width="8.42578125" style="1543" customWidth="1"/>
    <col min="7172" max="7172" width="8.85546875" style="1543" customWidth="1"/>
    <col min="7173" max="7173" width="7.28515625" style="1543" customWidth="1"/>
    <col min="7174" max="7174" width="6.7109375" style="1543" customWidth="1"/>
    <col min="7175" max="7175" width="7.28515625" style="1543" customWidth="1"/>
    <col min="7176" max="7176" width="6.5703125" style="1543" customWidth="1"/>
    <col min="7177" max="7177" width="7.140625" style="1543" customWidth="1"/>
    <col min="7178" max="7181" width="0" style="1543" hidden="1" customWidth="1"/>
    <col min="7182" max="7182" width="7.5703125" style="1543" customWidth="1"/>
    <col min="7183" max="7183" width="9" style="1543" customWidth="1"/>
    <col min="7184" max="7184" width="8.5703125" style="1543" customWidth="1"/>
    <col min="7185" max="7185" width="7.7109375" style="1543" customWidth="1"/>
    <col min="7186" max="7186" width="6.7109375" style="1543" customWidth="1"/>
    <col min="7187" max="7187" width="7.7109375" style="1543" customWidth="1"/>
    <col min="7188" max="7188" width="7.85546875" style="1543" customWidth="1"/>
    <col min="7189" max="7189" width="7.7109375" style="1543" customWidth="1"/>
    <col min="7190" max="7190" width="7.42578125" style="1543" customWidth="1"/>
    <col min="7191" max="7195" width="6.7109375" style="1543" customWidth="1"/>
    <col min="7196" max="7196" width="8.140625" style="1543" customWidth="1"/>
    <col min="7197" max="7198" width="6.7109375" style="1543" customWidth="1"/>
    <col min="7199" max="7424" width="9.140625" style="1543"/>
    <col min="7425" max="7425" width="5" style="1543" customWidth="1"/>
    <col min="7426" max="7426" width="16.28515625" style="1543" customWidth="1"/>
    <col min="7427" max="7427" width="8.42578125" style="1543" customWidth="1"/>
    <col min="7428" max="7428" width="8.85546875" style="1543" customWidth="1"/>
    <col min="7429" max="7429" width="7.28515625" style="1543" customWidth="1"/>
    <col min="7430" max="7430" width="6.7109375" style="1543" customWidth="1"/>
    <col min="7431" max="7431" width="7.28515625" style="1543" customWidth="1"/>
    <col min="7432" max="7432" width="6.5703125" style="1543" customWidth="1"/>
    <col min="7433" max="7433" width="7.140625" style="1543" customWidth="1"/>
    <col min="7434" max="7437" width="0" style="1543" hidden="1" customWidth="1"/>
    <col min="7438" max="7438" width="7.5703125" style="1543" customWidth="1"/>
    <col min="7439" max="7439" width="9" style="1543" customWidth="1"/>
    <col min="7440" max="7440" width="8.5703125" style="1543" customWidth="1"/>
    <col min="7441" max="7441" width="7.7109375" style="1543" customWidth="1"/>
    <col min="7442" max="7442" width="6.7109375" style="1543" customWidth="1"/>
    <col min="7443" max="7443" width="7.7109375" style="1543" customWidth="1"/>
    <col min="7444" max="7444" width="7.85546875" style="1543" customWidth="1"/>
    <col min="7445" max="7445" width="7.7109375" style="1543" customWidth="1"/>
    <col min="7446" max="7446" width="7.42578125" style="1543" customWidth="1"/>
    <col min="7447" max="7451" width="6.7109375" style="1543" customWidth="1"/>
    <col min="7452" max="7452" width="8.140625" style="1543" customWidth="1"/>
    <col min="7453" max="7454" width="6.7109375" style="1543" customWidth="1"/>
    <col min="7455" max="7680" width="9.140625" style="1543"/>
    <col min="7681" max="7681" width="5" style="1543" customWidth="1"/>
    <col min="7682" max="7682" width="16.28515625" style="1543" customWidth="1"/>
    <col min="7683" max="7683" width="8.42578125" style="1543" customWidth="1"/>
    <col min="7684" max="7684" width="8.85546875" style="1543" customWidth="1"/>
    <col min="7685" max="7685" width="7.28515625" style="1543" customWidth="1"/>
    <col min="7686" max="7686" width="6.7109375" style="1543" customWidth="1"/>
    <col min="7687" max="7687" width="7.28515625" style="1543" customWidth="1"/>
    <col min="7688" max="7688" width="6.5703125" style="1543" customWidth="1"/>
    <col min="7689" max="7689" width="7.140625" style="1543" customWidth="1"/>
    <col min="7690" max="7693" width="0" style="1543" hidden="1" customWidth="1"/>
    <col min="7694" max="7694" width="7.5703125" style="1543" customWidth="1"/>
    <col min="7695" max="7695" width="9" style="1543" customWidth="1"/>
    <col min="7696" max="7696" width="8.5703125" style="1543" customWidth="1"/>
    <col min="7697" max="7697" width="7.7109375" style="1543" customWidth="1"/>
    <col min="7698" max="7698" width="6.7109375" style="1543" customWidth="1"/>
    <col min="7699" max="7699" width="7.7109375" style="1543" customWidth="1"/>
    <col min="7700" max="7700" width="7.85546875" style="1543" customWidth="1"/>
    <col min="7701" max="7701" width="7.7109375" style="1543" customWidth="1"/>
    <col min="7702" max="7702" width="7.42578125" style="1543" customWidth="1"/>
    <col min="7703" max="7707" width="6.7109375" style="1543" customWidth="1"/>
    <col min="7708" max="7708" width="8.140625" style="1543" customWidth="1"/>
    <col min="7709" max="7710" width="6.7109375" style="1543" customWidth="1"/>
    <col min="7711" max="7936" width="9.140625" style="1543"/>
    <col min="7937" max="7937" width="5" style="1543" customWidth="1"/>
    <col min="7938" max="7938" width="16.28515625" style="1543" customWidth="1"/>
    <col min="7939" max="7939" width="8.42578125" style="1543" customWidth="1"/>
    <col min="7940" max="7940" width="8.85546875" style="1543" customWidth="1"/>
    <col min="7941" max="7941" width="7.28515625" style="1543" customWidth="1"/>
    <col min="7942" max="7942" width="6.7109375" style="1543" customWidth="1"/>
    <col min="7943" max="7943" width="7.28515625" style="1543" customWidth="1"/>
    <col min="7944" max="7944" width="6.5703125" style="1543" customWidth="1"/>
    <col min="7945" max="7945" width="7.140625" style="1543" customWidth="1"/>
    <col min="7946" max="7949" width="0" style="1543" hidden="1" customWidth="1"/>
    <col min="7950" max="7950" width="7.5703125" style="1543" customWidth="1"/>
    <col min="7951" max="7951" width="9" style="1543" customWidth="1"/>
    <col min="7952" max="7952" width="8.5703125" style="1543" customWidth="1"/>
    <col min="7953" max="7953" width="7.7109375" style="1543" customWidth="1"/>
    <col min="7954" max="7954" width="6.7109375" style="1543" customWidth="1"/>
    <col min="7955" max="7955" width="7.7109375" style="1543" customWidth="1"/>
    <col min="7956" max="7956" width="7.85546875" style="1543" customWidth="1"/>
    <col min="7957" max="7957" width="7.7109375" style="1543" customWidth="1"/>
    <col min="7958" max="7958" width="7.42578125" style="1543" customWidth="1"/>
    <col min="7959" max="7963" width="6.7109375" style="1543" customWidth="1"/>
    <col min="7964" max="7964" width="8.140625" style="1543" customWidth="1"/>
    <col min="7965" max="7966" width="6.7109375" style="1543" customWidth="1"/>
    <col min="7967" max="8192" width="9.140625" style="1543"/>
    <col min="8193" max="8193" width="5" style="1543" customWidth="1"/>
    <col min="8194" max="8194" width="16.28515625" style="1543" customWidth="1"/>
    <col min="8195" max="8195" width="8.42578125" style="1543" customWidth="1"/>
    <col min="8196" max="8196" width="8.85546875" style="1543" customWidth="1"/>
    <col min="8197" max="8197" width="7.28515625" style="1543" customWidth="1"/>
    <col min="8198" max="8198" width="6.7109375" style="1543" customWidth="1"/>
    <col min="8199" max="8199" width="7.28515625" style="1543" customWidth="1"/>
    <col min="8200" max="8200" width="6.5703125" style="1543" customWidth="1"/>
    <col min="8201" max="8201" width="7.140625" style="1543" customWidth="1"/>
    <col min="8202" max="8205" width="0" style="1543" hidden="1" customWidth="1"/>
    <col min="8206" max="8206" width="7.5703125" style="1543" customWidth="1"/>
    <col min="8207" max="8207" width="9" style="1543" customWidth="1"/>
    <col min="8208" max="8208" width="8.5703125" style="1543" customWidth="1"/>
    <col min="8209" max="8209" width="7.7109375" style="1543" customWidth="1"/>
    <col min="8210" max="8210" width="6.7109375" style="1543" customWidth="1"/>
    <col min="8211" max="8211" width="7.7109375" style="1543" customWidth="1"/>
    <col min="8212" max="8212" width="7.85546875" style="1543" customWidth="1"/>
    <col min="8213" max="8213" width="7.7109375" style="1543" customWidth="1"/>
    <col min="8214" max="8214" width="7.42578125" style="1543" customWidth="1"/>
    <col min="8215" max="8219" width="6.7109375" style="1543" customWidth="1"/>
    <col min="8220" max="8220" width="8.140625" style="1543" customWidth="1"/>
    <col min="8221" max="8222" width="6.7109375" style="1543" customWidth="1"/>
    <col min="8223" max="8448" width="9.140625" style="1543"/>
    <col min="8449" max="8449" width="5" style="1543" customWidth="1"/>
    <col min="8450" max="8450" width="16.28515625" style="1543" customWidth="1"/>
    <col min="8451" max="8451" width="8.42578125" style="1543" customWidth="1"/>
    <col min="8452" max="8452" width="8.85546875" style="1543" customWidth="1"/>
    <col min="8453" max="8453" width="7.28515625" style="1543" customWidth="1"/>
    <col min="8454" max="8454" width="6.7109375" style="1543" customWidth="1"/>
    <col min="8455" max="8455" width="7.28515625" style="1543" customWidth="1"/>
    <col min="8456" max="8456" width="6.5703125" style="1543" customWidth="1"/>
    <col min="8457" max="8457" width="7.140625" style="1543" customWidth="1"/>
    <col min="8458" max="8461" width="0" style="1543" hidden="1" customWidth="1"/>
    <col min="8462" max="8462" width="7.5703125" style="1543" customWidth="1"/>
    <col min="8463" max="8463" width="9" style="1543" customWidth="1"/>
    <col min="8464" max="8464" width="8.5703125" style="1543" customWidth="1"/>
    <col min="8465" max="8465" width="7.7109375" style="1543" customWidth="1"/>
    <col min="8466" max="8466" width="6.7109375" style="1543" customWidth="1"/>
    <col min="8467" max="8467" width="7.7109375" style="1543" customWidth="1"/>
    <col min="8468" max="8468" width="7.85546875" style="1543" customWidth="1"/>
    <col min="8469" max="8469" width="7.7109375" style="1543" customWidth="1"/>
    <col min="8470" max="8470" width="7.42578125" style="1543" customWidth="1"/>
    <col min="8471" max="8475" width="6.7109375" style="1543" customWidth="1"/>
    <col min="8476" max="8476" width="8.140625" style="1543" customWidth="1"/>
    <col min="8477" max="8478" width="6.7109375" style="1543" customWidth="1"/>
    <col min="8479" max="8704" width="9.140625" style="1543"/>
    <col min="8705" max="8705" width="5" style="1543" customWidth="1"/>
    <col min="8706" max="8706" width="16.28515625" style="1543" customWidth="1"/>
    <col min="8707" max="8707" width="8.42578125" style="1543" customWidth="1"/>
    <col min="8708" max="8708" width="8.85546875" style="1543" customWidth="1"/>
    <col min="8709" max="8709" width="7.28515625" style="1543" customWidth="1"/>
    <col min="8710" max="8710" width="6.7109375" style="1543" customWidth="1"/>
    <col min="8711" max="8711" width="7.28515625" style="1543" customWidth="1"/>
    <col min="8712" max="8712" width="6.5703125" style="1543" customWidth="1"/>
    <col min="8713" max="8713" width="7.140625" style="1543" customWidth="1"/>
    <col min="8714" max="8717" width="0" style="1543" hidden="1" customWidth="1"/>
    <col min="8718" max="8718" width="7.5703125" style="1543" customWidth="1"/>
    <col min="8719" max="8719" width="9" style="1543" customWidth="1"/>
    <col min="8720" max="8720" width="8.5703125" style="1543" customWidth="1"/>
    <col min="8721" max="8721" width="7.7109375" style="1543" customWidth="1"/>
    <col min="8722" max="8722" width="6.7109375" style="1543" customWidth="1"/>
    <col min="8723" max="8723" width="7.7109375" style="1543" customWidth="1"/>
    <col min="8724" max="8724" width="7.85546875" style="1543" customWidth="1"/>
    <col min="8725" max="8725" width="7.7109375" style="1543" customWidth="1"/>
    <col min="8726" max="8726" width="7.42578125" style="1543" customWidth="1"/>
    <col min="8727" max="8731" width="6.7109375" style="1543" customWidth="1"/>
    <col min="8732" max="8732" width="8.140625" style="1543" customWidth="1"/>
    <col min="8733" max="8734" width="6.7109375" style="1543" customWidth="1"/>
    <col min="8735" max="8960" width="9.140625" style="1543"/>
    <col min="8961" max="8961" width="5" style="1543" customWidth="1"/>
    <col min="8962" max="8962" width="16.28515625" style="1543" customWidth="1"/>
    <col min="8963" max="8963" width="8.42578125" style="1543" customWidth="1"/>
    <col min="8964" max="8964" width="8.85546875" style="1543" customWidth="1"/>
    <col min="8965" max="8965" width="7.28515625" style="1543" customWidth="1"/>
    <col min="8966" max="8966" width="6.7109375" style="1543" customWidth="1"/>
    <col min="8967" max="8967" width="7.28515625" style="1543" customWidth="1"/>
    <col min="8968" max="8968" width="6.5703125" style="1543" customWidth="1"/>
    <col min="8969" max="8969" width="7.140625" style="1543" customWidth="1"/>
    <col min="8970" max="8973" width="0" style="1543" hidden="1" customWidth="1"/>
    <col min="8974" max="8974" width="7.5703125" style="1543" customWidth="1"/>
    <col min="8975" max="8975" width="9" style="1543" customWidth="1"/>
    <col min="8976" max="8976" width="8.5703125" style="1543" customWidth="1"/>
    <col min="8977" max="8977" width="7.7109375" style="1543" customWidth="1"/>
    <col min="8978" max="8978" width="6.7109375" style="1543" customWidth="1"/>
    <col min="8979" max="8979" width="7.7109375" style="1543" customWidth="1"/>
    <col min="8980" max="8980" width="7.85546875" style="1543" customWidth="1"/>
    <col min="8981" max="8981" width="7.7109375" style="1543" customWidth="1"/>
    <col min="8982" max="8982" width="7.42578125" style="1543" customWidth="1"/>
    <col min="8983" max="8987" width="6.7109375" style="1543" customWidth="1"/>
    <col min="8988" max="8988" width="8.140625" style="1543" customWidth="1"/>
    <col min="8989" max="8990" width="6.7109375" style="1543" customWidth="1"/>
    <col min="8991" max="9216" width="9.140625" style="1543"/>
    <col min="9217" max="9217" width="5" style="1543" customWidth="1"/>
    <col min="9218" max="9218" width="16.28515625" style="1543" customWidth="1"/>
    <col min="9219" max="9219" width="8.42578125" style="1543" customWidth="1"/>
    <col min="9220" max="9220" width="8.85546875" style="1543" customWidth="1"/>
    <col min="9221" max="9221" width="7.28515625" style="1543" customWidth="1"/>
    <col min="9222" max="9222" width="6.7109375" style="1543" customWidth="1"/>
    <col min="9223" max="9223" width="7.28515625" style="1543" customWidth="1"/>
    <col min="9224" max="9224" width="6.5703125" style="1543" customWidth="1"/>
    <col min="9225" max="9225" width="7.140625" style="1543" customWidth="1"/>
    <col min="9226" max="9229" width="0" style="1543" hidden="1" customWidth="1"/>
    <col min="9230" max="9230" width="7.5703125" style="1543" customWidth="1"/>
    <col min="9231" max="9231" width="9" style="1543" customWidth="1"/>
    <col min="9232" max="9232" width="8.5703125" style="1543" customWidth="1"/>
    <col min="9233" max="9233" width="7.7109375" style="1543" customWidth="1"/>
    <col min="9234" max="9234" width="6.7109375" style="1543" customWidth="1"/>
    <col min="9235" max="9235" width="7.7109375" style="1543" customWidth="1"/>
    <col min="9236" max="9236" width="7.85546875" style="1543" customWidth="1"/>
    <col min="9237" max="9237" width="7.7109375" style="1543" customWidth="1"/>
    <col min="9238" max="9238" width="7.42578125" style="1543" customWidth="1"/>
    <col min="9239" max="9243" width="6.7109375" style="1543" customWidth="1"/>
    <col min="9244" max="9244" width="8.140625" style="1543" customWidth="1"/>
    <col min="9245" max="9246" width="6.7109375" style="1543" customWidth="1"/>
    <col min="9247" max="9472" width="9.140625" style="1543"/>
    <col min="9473" max="9473" width="5" style="1543" customWidth="1"/>
    <col min="9474" max="9474" width="16.28515625" style="1543" customWidth="1"/>
    <col min="9475" max="9475" width="8.42578125" style="1543" customWidth="1"/>
    <col min="9476" max="9476" width="8.85546875" style="1543" customWidth="1"/>
    <col min="9477" max="9477" width="7.28515625" style="1543" customWidth="1"/>
    <col min="9478" max="9478" width="6.7109375" style="1543" customWidth="1"/>
    <col min="9479" max="9479" width="7.28515625" style="1543" customWidth="1"/>
    <col min="9480" max="9480" width="6.5703125" style="1543" customWidth="1"/>
    <col min="9481" max="9481" width="7.140625" style="1543" customWidth="1"/>
    <col min="9482" max="9485" width="0" style="1543" hidden="1" customWidth="1"/>
    <col min="9486" max="9486" width="7.5703125" style="1543" customWidth="1"/>
    <col min="9487" max="9487" width="9" style="1543" customWidth="1"/>
    <col min="9488" max="9488" width="8.5703125" style="1543" customWidth="1"/>
    <col min="9489" max="9489" width="7.7109375" style="1543" customWidth="1"/>
    <col min="9490" max="9490" width="6.7109375" style="1543" customWidth="1"/>
    <col min="9491" max="9491" width="7.7109375" style="1543" customWidth="1"/>
    <col min="9492" max="9492" width="7.85546875" style="1543" customWidth="1"/>
    <col min="9493" max="9493" width="7.7109375" style="1543" customWidth="1"/>
    <col min="9494" max="9494" width="7.42578125" style="1543" customWidth="1"/>
    <col min="9495" max="9499" width="6.7109375" style="1543" customWidth="1"/>
    <col min="9500" max="9500" width="8.140625" style="1543" customWidth="1"/>
    <col min="9501" max="9502" width="6.7109375" style="1543" customWidth="1"/>
    <col min="9503" max="9728" width="9.140625" style="1543"/>
    <col min="9729" max="9729" width="5" style="1543" customWidth="1"/>
    <col min="9730" max="9730" width="16.28515625" style="1543" customWidth="1"/>
    <col min="9731" max="9731" width="8.42578125" style="1543" customWidth="1"/>
    <col min="9732" max="9732" width="8.85546875" style="1543" customWidth="1"/>
    <col min="9733" max="9733" width="7.28515625" style="1543" customWidth="1"/>
    <col min="9734" max="9734" width="6.7109375" style="1543" customWidth="1"/>
    <col min="9735" max="9735" width="7.28515625" style="1543" customWidth="1"/>
    <col min="9736" max="9736" width="6.5703125" style="1543" customWidth="1"/>
    <col min="9737" max="9737" width="7.140625" style="1543" customWidth="1"/>
    <col min="9738" max="9741" width="0" style="1543" hidden="1" customWidth="1"/>
    <col min="9742" max="9742" width="7.5703125" style="1543" customWidth="1"/>
    <col min="9743" max="9743" width="9" style="1543" customWidth="1"/>
    <col min="9744" max="9744" width="8.5703125" style="1543" customWidth="1"/>
    <col min="9745" max="9745" width="7.7109375" style="1543" customWidth="1"/>
    <col min="9746" max="9746" width="6.7109375" style="1543" customWidth="1"/>
    <col min="9747" max="9747" width="7.7109375" style="1543" customWidth="1"/>
    <col min="9748" max="9748" width="7.85546875" style="1543" customWidth="1"/>
    <col min="9749" max="9749" width="7.7109375" style="1543" customWidth="1"/>
    <col min="9750" max="9750" width="7.42578125" style="1543" customWidth="1"/>
    <col min="9751" max="9755" width="6.7109375" style="1543" customWidth="1"/>
    <col min="9756" max="9756" width="8.140625" style="1543" customWidth="1"/>
    <col min="9757" max="9758" width="6.7109375" style="1543" customWidth="1"/>
    <col min="9759" max="9984" width="9.140625" style="1543"/>
    <col min="9985" max="9985" width="5" style="1543" customWidth="1"/>
    <col min="9986" max="9986" width="16.28515625" style="1543" customWidth="1"/>
    <col min="9987" max="9987" width="8.42578125" style="1543" customWidth="1"/>
    <col min="9988" max="9988" width="8.85546875" style="1543" customWidth="1"/>
    <col min="9989" max="9989" width="7.28515625" style="1543" customWidth="1"/>
    <col min="9990" max="9990" width="6.7109375" style="1543" customWidth="1"/>
    <col min="9991" max="9991" width="7.28515625" style="1543" customWidth="1"/>
    <col min="9992" max="9992" width="6.5703125" style="1543" customWidth="1"/>
    <col min="9993" max="9993" width="7.140625" style="1543" customWidth="1"/>
    <col min="9994" max="9997" width="0" style="1543" hidden="1" customWidth="1"/>
    <col min="9998" max="9998" width="7.5703125" style="1543" customWidth="1"/>
    <col min="9999" max="9999" width="9" style="1543" customWidth="1"/>
    <col min="10000" max="10000" width="8.5703125" style="1543" customWidth="1"/>
    <col min="10001" max="10001" width="7.7109375" style="1543" customWidth="1"/>
    <col min="10002" max="10002" width="6.7109375" style="1543" customWidth="1"/>
    <col min="10003" max="10003" width="7.7109375" style="1543" customWidth="1"/>
    <col min="10004" max="10004" width="7.85546875" style="1543" customWidth="1"/>
    <col min="10005" max="10005" width="7.7109375" style="1543" customWidth="1"/>
    <col min="10006" max="10006" width="7.42578125" style="1543" customWidth="1"/>
    <col min="10007" max="10011" width="6.7109375" style="1543" customWidth="1"/>
    <col min="10012" max="10012" width="8.140625" style="1543" customWidth="1"/>
    <col min="10013" max="10014" width="6.7109375" style="1543" customWidth="1"/>
    <col min="10015" max="10240" width="9.140625" style="1543"/>
    <col min="10241" max="10241" width="5" style="1543" customWidth="1"/>
    <col min="10242" max="10242" width="16.28515625" style="1543" customWidth="1"/>
    <col min="10243" max="10243" width="8.42578125" style="1543" customWidth="1"/>
    <col min="10244" max="10244" width="8.85546875" style="1543" customWidth="1"/>
    <col min="10245" max="10245" width="7.28515625" style="1543" customWidth="1"/>
    <col min="10246" max="10246" width="6.7109375" style="1543" customWidth="1"/>
    <col min="10247" max="10247" width="7.28515625" style="1543" customWidth="1"/>
    <col min="10248" max="10248" width="6.5703125" style="1543" customWidth="1"/>
    <col min="10249" max="10249" width="7.140625" style="1543" customWidth="1"/>
    <col min="10250" max="10253" width="0" style="1543" hidden="1" customWidth="1"/>
    <col min="10254" max="10254" width="7.5703125" style="1543" customWidth="1"/>
    <col min="10255" max="10255" width="9" style="1543" customWidth="1"/>
    <col min="10256" max="10256" width="8.5703125" style="1543" customWidth="1"/>
    <col min="10257" max="10257" width="7.7109375" style="1543" customWidth="1"/>
    <col min="10258" max="10258" width="6.7109375" style="1543" customWidth="1"/>
    <col min="10259" max="10259" width="7.7109375" style="1543" customWidth="1"/>
    <col min="10260" max="10260" width="7.85546875" style="1543" customWidth="1"/>
    <col min="10261" max="10261" width="7.7109375" style="1543" customWidth="1"/>
    <col min="10262" max="10262" width="7.42578125" style="1543" customWidth="1"/>
    <col min="10263" max="10267" width="6.7109375" style="1543" customWidth="1"/>
    <col min="10268" max="10268" width="8.140625" style="1543" customWidth="1"/>
    <col min="10269" max="10270" width="6.7109375" style="1543" customWidth="1"/>
    <col min="10271" max="10496" width="9.140625" style="1543"/>
    <col min="10497" max="10497" width="5" style="1543" customWidth="1"/>
    <col min="10498" max="10498" width="16.28515625" style="1543" customWidth="1"/>
    <col min="10499" max="10499" width="8.42578125" style="1543" customWidth="1"/>
    <col min="10500" max="10500" width="8.85546875" style="1543" customWidth="1"/>
    <col min="10501" max="10501" width="7.28515625" style="1543" customWidth="1"/>
    <col min="10502" max="10502" width="6.7109375" style="1543" customWidth="1"/>
    <col min="10503" max="10503" width="7.28515625" style="1543" customWidth="1"/>
    <col min="10504" max="10504" width="6.5703125" style="1543" customWidth="1"/>
    <col min="10505" max="10505" width="7.140625" style="1543" customWidth="1"/>
    <col min="10506" max="10509" width="0" style="1543" hidden="1" customWidth="1"/>
    <col min="10510" max="10510" width="7.5703125" style="1543" customWidth="1"/>
    <col min="10511" max="10511" width="9" style="1543" customWidth="1"/>
    <col min="10512" max="10512" width="8.5703125" style="1543" customWidth="1"/>
    <col min="10513" max="10513" width="7.7109375" style="1543" customWidth="1"/>
    <col min="10514" max="10514" width="6.7109375" style="1543" customWidth="1"/>
    <col min="10515" max="10515" width="7.7109375" style="1543" customWidth="1"/>
    <col min="10516" max="10516" width="7.85546875" style="1543" customWidth="1"/>
    <col min="10517" max="10517" width="7.7109375" style="1543" customWidth="1"/>
    <col min="10518" max="10518" width="7.42578125" style="1543" customWidth="1"/>
    <col min="10519" max="10523" width="6.7109375" style="1543" customWidth="1"/>
    <col min="10524" max="10524" width="8.140625" style="1543" customWidth="1"/>
    <col min="10525" max="10526" width="6.7109375" style="1543" customWidth="1"/>
    <col min="10527" max="10752" width="9.140625" style="1543"/>
    <col min="10753" max="10753" width="5" style="1543" customWidth="1"/>
    <col min="10754" max="10754" width="16.28515625" style="1543" customWidth="1"/>
    <col min="10755" max="10755" width="8.42578125" style="1543" customWidth="1"/>
    <col min="10756" max="10756" width="8.85546875" style="1543" customWidth="1"/>
    <col min="10757" max="10757" width="7.28515625" style="1543" customWidth="1"/>
    <col min="10758" max="10758" width="6.7109375" style="1543" customWidth="1"/>
    <col min="10759" max="10759" width="7.28515625" style="1543" customWidth="1"/>
    <col min="10760" max="10760" width="6.5703125" style="1543" customWidth="1"/>
    <col min="10761" max="10761" width="7.140625" style="1543" customWidth="1"/>
    <col min="10762" max="10765" width="0" style="1543" hidden="1" customWidth="1"/>
    <col min="10766" max="10766" width="7.5703125" style="1543" customWidth="1"/>
    <col min="10767" max="10767" width="9" style="1543" customWidth="1"/>
    <col min="10768" max="10768" width="8.5703125" style="1543" customWidth="1"/>
    <col min="10769" max="10769" width="7.7109375" style="1543" customWidth="1"/>
    <col min="10770" max="10770" width="6.7109375" style="1543" customWidth="1"/>
    <col min="10771" max="10771" width="7.7109375" style="1543" customWidth="1"/>
    <col min="10772" max="10772" width="7.85546875" style="1543" customWidth="1"/>
    <col min="10773" max="10773" width="7.7109375" style="1543" customWidth="1"/>
    <col min="10774" max="10774" width="7.42578125" style="1543" customWidth="1"/>
    <col min="10775" max="10779" width="6.7109375" style="1543" customWidth="1"/>
    <col min="10780" max="10780" width="8.140625" style="1543" customWidth="1"/>
    <col min="10781" max="10782" width="6.7109375" style="1543" customWidth="1"/>
    <col min="10783" max="11008" width="9.140625" style="1543"/>
    <col min="11009" max="11009" width="5" style="1543" customWidth="1"/>
    <col min="11010" max="11010" width="16.28515625" style="1543" customWidth="1"/>
    <col min="11011" max="11011" width="8.42578125" style="1543" customWidth="1"/>
    <col min="11012" max="11012" width="8.85546875" style="1543" customWidth="1"/>
    <col min="11013" max="11013" width="7.28515625" style="1543" customWidth="1"/>
    <col min="11014" max="11014" width="6.7109375" style="1543" customWidth="1"/>
    <col min="11015" max="11015" width="7.28515625" style="1543" customWidth="1"/>
    <col min="11016" max="11016" width="6.5703125" style="1543" customWidth="1"/>
    <col min="11017" max="11017" width="7.140625" style="1543" customWidth="1"/>
    <col min="11018" max="11021" width="0" style="1543" hidden="1" customWidth="1"/>
    <col min="11022" max="11022" width="7.5703125" style="1543" customWidth="1"/>
    <col min="11023" max="11023" width="9" style="1543" customWidth="1"/>
    <col min="11024" max="11024" width="8.5703125" style="1543" customWidth="1"/>
    <col min="11025" max="11025" width="7.7109375" style="1543" customWidth="1"/>
    <col min="11026" max="11026" width="6.7109375" style="1543" customWidth="1"/>
    <col min="11027" max="11027" width="7.7109375" style="1543" customWidth="1"/>
    <col min="11028" max="11028" width="7.85546875" style="1543" customWidth="1"/>
    <col min="11029" max="11029" width="7.7109375" style="1543" customWidth="1"/>
    <col min="11030" max="11030" width="7.42578125" style="1543" customWidth="1"/>
    <col min="11031" max="11035" width="6.7109375" style="1543" customWidth="1"/>
    <col min="11036" max="11036" width="8.140625" style="1543" customWidth="1"/>
    <col min="11037" max="11038" width="6.7109375" style="1543" customWidth="1"/>
    <col min="11039" max="11264" width="9.140625" style="1543"/>
    <col min="11265" max="11265" width="5" style="1543" customWidth="1"/>
    <col min="11266" max="11266" width="16.28515625" style="1543" customWidth="1"/>
    <col min="11267" max="11267" width="8.42578125" style="1543" customWidth="1"/>
    <col min="11268" max="11268" width="8.85546875" style="1543" customWidth="1"/>
    <col min="11269" max="11269" width="7.28515625" style="1543" customWidth="1"/>
    <col min="11270" max="11270" width="6.7109375" style="1543" customWidth="1"/>
    <col min="11271" max="11271" width="7.28515625" style="1543" customWidth="1"/>
    <col min="11272" max="11272" width="6.5703125" style="1543" customWidth="1"/>
    <col min="11273" max="11273" width="7.140625" style="1543" customWidth="1"/>
    <col min="11274" max="11277" width="0" style="1543" hidden="1" customWidth="1"/>
    <col min="11278" max="11278" width="7.5703125" style="1543" customWidth="1"/>
    <col min="11279" max="11279" width="9" style="1543" customWidth="1"/>
    <col min="11280" max="11280" width="8.5703125" style="1543" customWidth="1"/>
    <col min="11281" max="11281" width="7.7109375" style="1543" customWidth="1"/>
    <col min="11282" max="11282" width="6.7109375" style="1543" customWidth="1"/>
    <col min="11283" max="11283" width="7.7109375" style="1543" customWidth="1"/>
    <col min="11284" max="11284" width="7.85546875" style="1543" customWidth="1"/>
    <col min="11285" max="11285" width="7.7109375" style="1543" customWidth="1"/>
    <col min="11286" max="11286" width="7.42578125" style="1543" customWidth="1"/>
    <col min="11287" max="11291" width="6.7109375" style="1543" customWidth="1"/>
    <col min="11292" max="11292" width="8.140625" style="1543" customWidth="1"/>
    <col min="11293" max="11294" width="6.7109375" style="1543" customWidth="1"/>
    <col min="11295" max="11520" width="9.140625" style="1543"/>
    <col min="11521" max="11521" width="5" style="1543" customWidth="1"/>
    <col min="11522" max="11522" width="16.28515625" style="1543" customWidth="1"/>
    <col min="11523" max="11523" width="8.42578125" style="1543" customWidth="1"/>
    <col min="11524" max="11524" width="8.85546875" style="1543" customWidth="1"/>
    <col min="11525" max="11525" width="7.28515625" style="1543" customWidth="1"/>
    <col min="11526" max="11526" width="6.7109375" style="1543" customWidth="1"/>
    <col min="11527" max="11527" width="7.28515625" style="1543" customWidth="1"/>
    <col min="11528" max="11528" width="6.5703125" style="1543" customWidth="1"/>
    <col min="11529" max="11529" width="7.140625" style="1543" customWidth="1"/>
    <col min="11530" max="11533" width="0" style="1543" hidden="1" customWidth="1"/>
    <col min="11534" max="11534" width="7.5703125" style="1543" customWidth="1"/>
    <col min="11535" max="11535" width="9" style="1543" customWidth="1"/>
    <col min="11536" max="11536" width="8.5703125" style="1543" customWidth="1"/>
    <col min="11537" max="11537" width="7.7109375" style="1543" customWidth="1"/>
    <col min="11538" max="11538" width="6.7109375" style="1543" customWidth="1"/>
    <col min="11539" max="11539" width="7.7109375" style="1543" customWidth="1"/>
    <col min="11540" max="11540" width="7.85546875" style="1543" customWidth="1"/>
    <col min="11541" max="11541" width="7.7109375" style="1543" customWidth="1"/>
    <col min="11542" max="11542" width="7.42578125" style="1543" customWidth="1"/>
    <col min="11543" max="11547" width="6.7109375" style="1543" customWidth="1"/>
    <col min="11548" max="11548" width="8.140625" style="1543" customWidth="1"/>
    <col min="11549" max="11550" width="6.7109375" style="1543" customWidth="1"/>
    <col min="11551" max="11776" width="9.140625" style="1543"/>
    <col min="11777" max="11777" width="5" style="1543" customWidth="1"/>
    <col min="11778" max="11778" width="16.28515625" style="1543" customWidth="1"/>
    <col min="11779" max="11779" width="8.42578125" style="1543" customWidth="1"/>
    <col min="11780" max="11780" width="8.85546875" style="1543" customWidth="1"/>
    <col min="11781" max="11781" width="7.28515625" style="1543" customWidth="1"/>
    <col min="11782" max="11782" width="6.7109375" style="1543" customWidth="1"/>
    <col min="11783" max="11783" width="7.28515625" style="1543" customWidth="1"/>
    <col min="11784" max="11784" width="6.5703125" style="1543" customWidth="1"/>
    <col min="11785" max="11785" width="7.140625" style="1543" customWidth="1"/>
    <col min="11786" max="11789" width="0" style="1543" hidden="1" customWidth="1"/>
    <col min="11790" max="11790" width="7.5703125" style="1543" customWidth="1"/>
    <col min="11791" max="11791" width="9" style="1543" customWidth="1"/>
    <col min="11792" max="11792" width="8.5703125" style="1543" customWidth="1"/>
    <col min="11793" max="11793" width="7.7109375" style="1543" customWidth="1"/>
    <col min="11794" max="11794" width="6.7109375" style="1543" customWidth="1"/>
    <col min="11795" max="11795" width="7.7109375" style="1543" customWidth="1"/>
    <col min="11796" max="11796" width="7.85546875" style="1543" customWidth="1"/>
    <col min="11797" max="11797" width="7.7109375" style="1543" customWidth="1"/>
    <col min="11798" max="11798" width="7.42578125" style="1543" customWidth="1"/>
    <col min="11799" max="11803" width="6.7109375" style="1543" customWidth="1"/>
    <col min="11804" max="11804" width="8.140625" style="1543" customWidth="1"/>
    <col min="11805" max="11806" width="6.7109375" style="1543" customWidth="1"/>
    <col min="11807" max="12032" width="9.140625" style="1543"/>
    <col min="12033" max="12033" width="5" style="1543" customWidth="1"/>
    <col min="12034" max="12034" width="16.28515625" style="1543" customWidth="1"/>
    <col min="12035" max="12035" width="8.42578125" style="1543" customWidth="1"/>
    <col min="12036" max="12036" width="8.85546875" style="1543" customWidth="1"/>
    <col min="12037" max="12037" width="7.28515625" style="1543" customWidth="1"/>
    <col min="12038" max="12038" width="6.7109375" style="1543" customWidth="1"/>
    <col min="12039" max="12039" width="7.28515625" style="1543" customWidth="1"/>
    <col min="12040" max="12040" width="6.5703125" style="1543" customWidth="1"/>
    <col min="12041" max="12041" width="7.140625" style="1543" customWidth="1"/>
    <col min="12042" max="12045" width="0" style="1543" hidden="1" customWidth="1"/>
    <col min="12046" max="12046" width="7.5703125" style="1543" customWidth="1"/>
    <col min="12047" max="12047" width="9" style="1543" customWidth="1"/>
    <col min="12048" max="12048" width="8.5703125" style="1543" customWidth="1"/>
    <col min="12049" max="12049" width="7.7109375" style="1543" customWidth="1"/>
    <col min="12050" max="12050" width="6.7109375" style="1543" customWidth="1"/>
    <col min="12051" max="12051" width="7.7109375" style="1543" customWidth="1"/>
    <col min="12052" max="12052" width="7.85546875" style="1543" customWidth="1"/>
    <col min="12053" max="12053" width="7.7109375" style="1543" customWidth="1"/>
    <col min="12054" max="12054" width="7.42578125" style="1543" customWidth="1"/>
    <col min="12055" max="12059" width="6.7109375" style="1543" customWidth="1"/>
    <col min="12060" max="12060" width="8.140625" style="1543" customWidth="1"/>
    <col min="12061" max="12062" width="6.7109375" style="1543" customWidth="1"/>
    <col min="12063" max="12288" width="9.140625" style="1543"/>
    <col min="12289" max="12289" width="5" style="1543" customWidth="1"/>
    <col min="12290" max="12290" width="16.28515625" style="1543" customWidth="1"/>
    <col min="12291" max="12291" width="8.42578125" style="1543" customWidth="1"/>
    <col min="12292" max="12292" width="8.85546875" style="1543" customWidth="1"/>
    <col min="12293" max="12293" width="7.28515625" style="1543" customWidth="1"/>
    <col min="12294" max="12294" width="6.7109375" style="1543" customWidth="1"/>
    <col min="12295" max="12295" width="7.28515625" style="1543" customWidth="1"/>
    <col min="12296" max="12296" width="6.5703125" style="1543" customWidth="1"/>
    <col min="12297" max="12297" width="7.140625" style="1543" customWidth="1"/>
    <col min="12298" max="12301" width="0" style="1543" hidden="1" customWidth="1"/>
    <col min="12302" max="12302" width="7.5703125" style="1543" customWidth="1"/>
    <col min="12303" max="12303" width="9" style="1543" customWidth="1"/>
    <col min="12304" max="12304" width="8.5703125" style="1543" customWidth="1"/>
    <col min="12305" max="12305" width="7.7109375" style="1543" customWidth="1"/>
    <col min="12306" max="12306" width="6.7109375" style="1543" customWidth="1"/>
    <col min="12307" max="12307" width="7.7109375" style="1543" customWidth="1"/>
    <col min="12308" max="12308" width="7.85546875" style="1543" customWidth="1"/>
    <col min="12309" max="12309" width="7.7109375" style="1543" customWidth="1"/>
    <col min="12310" max="12310" width="7.42578125" style="1543" customWidth="1"/>
    <col min="12311" max="12315" width="6.7109375" style="1543" customWidth="1"/>
    <col min="12316" max="12316" width="8.140625" style="1543" customWidth="1"/>
    <col min="12317" max="12318" width="6.7109375" style="1543" customWidth="1"/>
    <col min="12319" max="12544" width="9.140625" style="1543"/>
    <col min="12545" max="12545" width="5" style="1543" customWidth="1"/>
    <col min="12546" max="12546" width="16.28515625" style="1543" customWidth="1"/>
    <col min="12547" max="12547" width="8.42578125" style="1543" customWidth="1"/>
    <col min="12548" max="12548" width="8.85546875" style="1543" customWidth="1"/>
    <col min="12549" max="12549" width="7.28515625" style="1543" customWidth="1"/>
    <col min="12550" max="12550" width="6.7109375" style="1543" customWidth="1"/>
    <col min="12551" max="12551" width="7.28515625" style="1543" customWidth="1"/>
    <col min="12552" max="12552" width="6.5703125" style="1543" customWidth="1"/>
    <col min="12553" max="12553" width="7.140625" style="1543" customWidth="1"/>
    <col min="12554" max="12557" width="0" style="1543" hidden="1" customWidth="1"/>
    <col min="12558" max="12558" width="7.5703125" style="1543" customWidth="1"/>
    <col min="12559" max="12559" width="9" style="1543" customWidth="1"/>
    <col min="12560" max="12560" width="8.5703125" style="1543" customWidth="1"/>
    <col min="12561" max="12561" width="7.7109375" style="1543" customWidth="1"/>
    <col min="12562" max="12562" width="6.7109375" style="1543" customWidth="1"/>
    <col min="12563" max="12563" width="7.7109375" style="1543" customWidth="1"/>
    <col min="12564" max="12564" width="7.85546875" style="1543" customWidth="1"/>
    <col min="12565" max="12565" width="7.7109375" style="1543" customWidth="1"/>
    <col min="12566" max="12566" width="7.42578125" style="1543" customWidth="1"/>
    <col min="12567" max="12571" width="6.7109375" style="1543" customWidth="1"/>
    <col min="12572" max="12572" width="8.140625" style="1543" customWidth="1"/>
    <col min="12573" max="12574" width="6.7109375" style="1543" customWidth="1"/>
    <col min="12575" max="12800" width="9.140625" style="1543"/>
    <col min="12801" max="12801" width="5" style="1543" customWidth="1"/>
    <col min="12802" max="12802" width="16.28515625" style="1543" customWidth="1"/>
    <col min="12803" max="12803" width="8.42578125" style="1543" customWidth="1"/>
    <col min="12804" max="12804" width="8.85546875" style="1543" customWidth="1"/>
    <col min="12805" max="12805" width="7.28515625" style="1543" customWidth="1"/>
    <col min="12806" max="12806" width="6.7109375" style="1543" customWidth="1"/>
    <col min="12807" max="12807" width="7.28515625" style="1543" customWidth="1"/>
    <col min="12808" max="12808" width="6.5703125" style="1543" customWidth="1"/>
    <col min="12809" max="12809" width="7.140625" style="1543" customWidth="1"/>
    <col min="12810" max="12813" width="0" style="1543" hidden="1" customWidth="1"/>
    <col min="12814" max="12814" width="7.5703125" style="1543" customWidth="1"/>
    <col min="12815" max="12815" width="9" style="1543" customWidth="1"/>
    <col min="12816" max="12816" width="8.5703125" style="1543" customWidth="1"/>
    <col min="12817" max="12817" width="7.7109375" style="1543" customWidth="1"/>
    <col min="12818" max="12818" width="6.7109375" style="1543" customWidth="1"/>
    <col min="12819" max="12819" width="7.7109375" style="1543" customWidth="1"/>
    <col min="12820" max="12820" width="7.85546875" style="1543" customWidth="1"/>
    <col min="12821" max="12821" width="7.7109375" style="1543" customWidth="1"/>
    <col min="12822" max="12822" width="7.42578125" style="1543" customWidth="1"/>
    <col min="12823" max="12827" width="6.7109375" style="1543" customWidth="1"/>
    <col min="12828" max="12828" width="8.140625" style="1543" customWidth="1"/>
    <col min="12829" max="12830" width="6.7109375" style="1543" customWidth="1"/>
    <col min="12831" max="13056" width="9.140625" style="1543"/>
    <col min="13057" max="13057" width="5" style="1543" customWidth="1"/>
    <col min="13058" max="13058" width="16.28515625" style="1543" customWidth="1"/>
    <col min="13059" max="13059" width="8.42578125" style="1543" customWidth="1"/>
    <col min="13060" max="13060" width="8.85546875" style="1543" customWidth="1"/>
    <col min="13061" max="13061" width="7.28515625" style="1543" customWidth="1"/>
    <col min="13062" max="13062" width="6.7109375" style="1543" customWidth="1"/>
    <col min="13063" max="13063" width="7.28515625" style="1543" customWidth="1"/>
    <col min="13064" max="13064" width="6.5703125" style="1543" customWidth="1"/>
    <col min="13065" max="13065" width="7.140625" style="1543" customWidth="1"/>
    <col min="13066" max="13069" width="0" style="1543" hidden="1" customWidth="1"/>
    <col min="13070" max="13070" width="7.5703125" style="1543" customWidth="1"/>
    <col min="13071" max="13071" width="9" style="1543" customWidth="1"/>
    <col min="13072" max="13072" width="8.5703125" style="1543" customWidth="1"/>
    <col min="13073" max="13073" width="7.7109375" style="1543" customWidth="1"/>
    <col min="13074" max="13074" width="6.7109375" style="1543" customWidth="1"/>
    <col min="13075" max="13075" width="7.7109375" style="1543" customWidth="1"/>
    <col min="13076" max="13076" width="7.85546875" style="1543" customWidth="1"/>
    <col min="13077" max="13077" width="7.7109375" style="1543" customWidth="1"/>
    <col min="13078" max="13078" width="7.42578125" style="1543" customWidth="1"/>
    <col min="13079" max="13083" width="6.7109375" style="1543" customWidth="1"/>
    <col min="13084" max="13084" width="8.140625" style="1543" customWidth="1"/>
    <col min="13085" max="13086" width="6.7109375" style="1543" customWidth="1"/>
    <col min="13087" max="13312" width="9.140625" style="1543"/>
    <col min="13313" max="13313" width="5" style="1543" customWidth="1"/>
    <col min="13314" max="13314" width="16.28515625" style="1543" customWidth="1"/>
    <col min="13315" max="13315" width="8.42578125" style="1543" customWidth="1"/>
    <col min="13316" max="13316" width="8.85546875" style="1543" customWidth="1"/>
    <col min="13317" max="13317" width="7.28515625" style="1543" customWidth="1"/>
    <col min="13318" max="13318" width="6.7109375" style="1543" customWidth="1"/>
    <col min="13319" max="13319" width="7.28515625" style="1543" customWidth="1"/>
    <col min="13320" max="13320" width="6.5703125" style="1543" customWidth="1"/>
    <col min="13321" max="13321" width="7.140625" style="1543" customWidth="1"/>
    <col min="13322" max="13325" width="0" style="1543" hidden="1" customWidth="1"/>
    <col min="13326" max="13326" width="7.5703125" style="1543" customWidth="1"/>
    <col min="13327" max="13327" width="9" style="1543" customWidth="1"/>
    <col min="13328" max="13328" width="8.5703125" style="1543" customWidth="1"/>
    <col min="13329" max="13329" width="7.7109375" style="1543" customWidth="1"/>
    <col min="13330" max="13330" width="6.7109375" style="1543" customWidth="1"/>
    <col min="13331" max="13331" width="7.7109375" style="1543" customWidth="1"/>
    <col min="13332" max="13332" width="7.85546875" style="1543" customWidth="1"/>
    <col min="13333" max="13333" width="7.7109375" style="1543" customWidth="1"/>
    <col min="13334" max="13334" width="7.42578125" style="1543" customWidth="1"/>
    <col min="13335" max="13339" width="6.7109375" style="1543" customWidth="1"/>
    <col min="13340" max="13340" width="8.140625" style="1543" customWidth="1"/>
    <col min="13341" max="13342" width="6.7109375" style="1543" customWidth="1"/>
    <col min="13343" max="13568" width="9.140625" style="1543"/>
    <col min="13569" max="13569" width="5" style="1543" customWidth="1"/>
    <col min="13570" max="13570" width="16.28515625" style="1543" customWidth="1"/>
    <col min="13571" max="13571" width="8.42578125" style="1543" customWidth="1"/>
    <col min="13572" max="13572" width="8.85546875" style="1543" customWidth="1"/>
    <col min="13573" max="13573" width="7.28515625" style="1543" customWidth="1"/>
    <col min="13574" max="13574" width="6.7109375" style="1543" customWidth="1"/>
    <col min="13575" max="13575" width="7.28515625" style="1543" customWidth="1"/>
    <col min="13576" max="13576" width="6.5703125" style="1543" customWidth="1"/>
    <col min="13577" max="13577" width="7.140625" style="1543" customWidth="1"/>
    <col min="13578" max="13581" width="0" style="1543" hidden="1" customWidth="1"/>
    <col min="13582" max="13582" width="7.5703125" style="1543" customWidth="1"/>
    <col min="13583" max="13583" width="9" style="1543" customWidth="1"/>
    <col min="13584" max="13584" width="8.5703125" style="1543" customWidth="1"/>
    <col min="13585" max="13585" width="7.7109375" style="1543" customWidth="1"/>
    <col min="13586" max="13586" width="6.7109375" style="1543" customWidth="1"/>
    <col min="13587" max="13587" width="7.7109375" style="1543" customWidth="1"/>
    <col min="13588" max="13588" width="7.85546875" style="1543" customWidth="1"/>
    <col min="13589" max="13589" width="7.7109375" style="1543" customWidth="1"/>
    <col min="13590" max="13590" width="7.42578125" style="1543" customWidth="1"/>
    <col min="13591" max="13595" width="6.7109375" style="1543" customWidth="1"/>
    <col min="13596" max="13596" width="8.140625" style="1543" customWidth="1"/>
    <col min="13597" max="13598" width="6.7109375" style="1543" customWidth="1"/>
    <col min="13599" max="13824" width="9.140625" style="1543"/>
    <col min="13825" max="13825" width="5" style="1543" customWidth="1"/>
    <col min="13826" max="13826" width="16.28515625" style="1543" customWidth="1"/>
    <col min="13827" max="13827" width="8.42578125" style="1543" customWidth="1"/>
    <col min="13828" max="13828" width="8.85546875" style="1543" customWidth="1"/>
    <col min="13829" max="13829" width="7.28515625" style="1543" customWidth="1"/>
    <col min="13830" max="13830" width="6.7109375" style="1543" customWidth="1"/>
    <col min="13831" max="13831" width="7.28515625" style="1543" customWidth="1"/>
    <col min="13832" max="13832" width="6.5703125" style="1543" customWidth="1"/>
    <col min="13833" max="13833" width="7.140625" style="1543" customWidth="1"/>
    <col min="13834" max="13837" width="0" style="1543" hidden="1" customWidth="1"/>
    <col min="13838" max="13838" width="7.5703125" style="1543" customWidth="1"/>
    <col min="13839" max="13839" width="9" style="1543" customWidth="1"/>
    <col min="13840" max="13840" width="8.5703125" style="1543" customWidth="1"/>
    <col min="13841" max="13841" width="7.7109375" style="1543" customWidth="1"/>
    <col min="13842" max="13842" width="6.7109375" style="1543" customWidth="1"/>
    <col min="13843" max="13843" width="7.7109375" style="1543" customWidth="1"/>
    <col min="13844" max="13844" width="7.85546875" style="1543" customWidth="1"/>
    <col min="13845" max="13845" width="7.7109375" style="1543" customWidth="1"/>
    <col min="13846" max="13846" width="7.42578125" style="1543" customWidth="1"/>
    <col min="13847" max="13851" width="6.7109375" style="1543" customWidth="1"/>
    <col min="13852" max="13852" width="8.140625" style="1543" customWidth="1"/>
    <col min="13853" max="13854" width="6.7109375" style="1543" customWidth="1"/>
    <col min="13855" max="14080" width="9.140625" style="1543"/>
    <col min="14081" max="14081" width="5" style="1543" customWidth="1"/>
    <col min="14082" max="14082" width="16.28515625" style="1543" customWidth="1"/>
    <col min="14083" max="14083" width="8.42578125" style="1543" customWidth="1"/>
    <col min="14084" max="14084" width="8.85546875" style="1543" customWidth="1"/>
    <col min="14085" max="14085" width="7.28515625" style="1543" customWidth="1"/>
    <col min="14086" max="14086" width="6.7109375" style="1543" customWidth="1"/>
    <col min="14087" max="14087" width="7.28515625" style="1543" customWidth="1"/>
    <col min="14088" max="14088" width="6.5703125" style="1543" customWidth="1"/>
    <col min="14089" max="14089" width="7.140625" style="1543" customWidth="1"/>
    <col min="14090" max="14093" width="0" style="1543" hidden="1" customWidth="1"/>
    <col min="14094" max="14094" width="7.5703125" style="1543" customWidth="1"/>
    <col min="14095" max="14095" width="9" style="1543" customWidth="1"/>
    <col min="14096" max="14096" width="8.5703125" style="1543" customWidth="1"/>
    <col min="14097" max="14097" width="7.7109375" style="1543" customWidth="1"/>
    <col min="14098" max="14098" width="6.7109375" style="1543" customWidth="1"/>
    <col min="14099" max="14099" width="7.7109375" style="1543" customWidth="1"/>
    <col min="14100" max="14100" width="7.85546875" style="1543" customWidth="1"/>
    <col min="14101" max="14101" width="7.7109375" style="1543" customWidth="1"/>
    <col min="14102" max="14102" width="7.42578125" style="1543" customWidth="1"/>
    <col min="14103" max="14107" width="6.7109375" style="1543" customWidth="1"/>
    <col min="14108" max="14108" width="8.140625" style="1543" customWidth="1"/>
    <col min="14109" max="14110" width="6.7109375" style="1543" customWidth="1"/>
    <col min="14111" max="14336" width="9.140625" style="1543"/>
    <col min="14337" max="14337" width="5" style="1543" customWidth="1"/>
    <col min="14338" max="14338" width="16.28515625" style="1543" customWidth="1"/>
    <col min="14339" max="14339" width="8.42578125" style="1543" customWidth="1"/>
    <col min="14340" max="14340" width="8.85546875" style="1543" customWidth="1"/>
    <col min="14341" max="14341" width="7.28515625" style="1543" customWidth="1"/>
    <col min="14342" max="14342" width="6.7109375" style="1543" customWidth="1"/>
    <col min="14343" max="14343" width="7.28515625" style="1543" customWidth="1"/>
    <col min="14344" max="14344" width="6.5703125" style="1543" customWidth="1"/>
    <col min="14345" max="14345" width="7.140625" style="1543" customWidth="1"/>
    <col min="14346" max="14349" width="0" style="1543" hidden="1" customWidth="1"/>
    <col min="14350" max="14350" width="7.5703125" style="1543" customWidth="1"/>
    <col min="14351" max="14351" width="9" style="1543" customWidth="1"/>
    <col min="14352" max="14352" width="8.5703125" style="1543" customWidth="1"/>
    <col min="14353" max="14353" width="7.7109375" style="1543" customWidth="1"/>
    <col min="14354" max="14354" width="6.7109375" style="1543" customWidth="1"/>
    <col min="14355" max="14355" width="7.7109375" style="1543" customWidth="1"/>
    <col min="14356" max="14356" width="7.85546875" style="1543" customWidth="1"/>
    <col min="14357" max="14357" width="7.7109375" style="1543" customWidth="1"/>
    <col min="14358" max="14358" width="7.42578125" style="1543" customWidth="1"/>
    <col min="14359" max="14363" width="6.7109375" style="1543" customWidth="1"/>
    <col min="14364" max="14364" width="8.140625" style="1543" customWidth="1"/>
    <col min="14365" max="14366" width="6.7109375" style="1543" customWidth="1"/>
    <col min="14367" max="14592" width="9.140625" style="1543"/>
    <col min="14593" max="14593" width="5" style="1543" customWidth="1"/>
    <col min="14594" max="14594" width="16.28515625" style="1543" customWidth="1"/>
    <col min="14595" max="14595" width="8.42578125" style="1543" customWidth="1"/>
    <col min="14596" max="14596" width="8.85546875" style="1543" customWidth="1"/>
    <col min="14597" max="14597" width="7.28515625" style="1543" customWidth="1"/>
    <col min="14598" max="14598" width="6.7109375" style="1543" customWidth="1"/>
    <col min="14599" max="14599" width="7.28515625" style="1543" customWidth="1"/>
    <col min="14600" max="14600" width="6.5703125" style="1543" customWidth="1"/>
    <col min="14601" max="14601" width="7.140625" style="1543" customWidth="1"/>
    <col min="14602" max="14605" width="0" style="1543" hidden="1" customWidth="1"/>
    <col min="14606" max="14606" width="7.5703125" style="1543" customWidth="1"/>
    <col min="14607" max="14607" width="9" style="1543" customWidth="1"/>
    <col min="14608" max="14608" width="8.5703125" style="1543" customWidth="1"/>
    <col min="14609" max="14609" width="7.7109375" style="1543" customWidth="1"/>
    <col min="14610" max="14610" width="6.7109375" style="1543" customWidth="1"/>
    <col min="14611" max="14611" width="7.7109375" style="1543" customWidth="1"/>
    <col min="14612" max="14612" width="7.85546875" style="1543" customWidth="1"/>
    <col min="14613" max="14613" width="7.7109375" style="1543" customWidth="1"/>
    <col min="14614" max="14614" width="7.42578125" style="1543" customWidth="1"/>
    <col min="14615" max="14619" width="6.7109375" style="1543" customWidth="1"/>
    <col min="14620" max="14620" width="8.140625" style="1543" customWidth="1"/>
    <col min="14621" max="14622" width="6.7109375" style="1543" customWidth="1"/>
    <col min="14623" max="14848" width="9.140625" style="1543"/>
    <col min="14849" max="14849" width="5" style="1543" customWidth="1"/>
    <col min="14850" max="14850" width="16.28515625" style="1543" customWidth="1"/>
    <col min="14851" max="14851" width="8.42578125" style="1543" customWidth="1"/>
    <col min="14852" max="14852" width="8.85546875" style="1543" customWidth="1"/>
    <col min="14853" max="14853" width="7.28515625" style="1543" customWidth="1"/>
    <col min="14854" max="14854" width="6.7109375" style="1543" customWidth="1"/>
    <col min="14855" max="14855" width="7.28515625" style="1543" customWidth="1"/>
    <col min="14856" max="14856" width="6.5703125" style="1543" customWidth="1"/>
    <col min="14857" max="14857" width="7.140625" style="1543" customWidth="1"/>
    <col min="14858" max="14861" width="0" style="1543" hidden="1" customWidth="1"/>
    <col min="14862" max="14862" width="7.5703125" style="1543" customWidth="1"/>
    <col min="14863" max="14863" width="9" style="1543" customWidth="1"/>
    <col min="14864" max="14864" width="8.5703125" style="1543" customWidth="1"/>
    <col min="14865" max="14865" width="7.7109375" style="1543" customWidth="1"/>
    <col min="14866" max="14866" width="6.7109375" style="1543" customWidth="1"/>
    <col min="14867" max="14867" width="7.7109375" style="1543" customWidth="1"/>
    <col min="14868" max="14868" width="7.85546875" style="1543" customWidth="1"/>
    <col min="14869" max="14869" width="7.7109375" style="1543" customWidth="1"/>
    <col min="14870" max="14870" width="7.42578125" style="1543" customWidth="1"/>
    <col min="14871" max="14875" width="6.7109375" style="1543" customWidth="1"/>
    <col min="14876" max="14876" width="8.140625" style="1543" customWidth="1"/>
    <col min="14877" max="14878" width="6.7109375" style="1543" customWidth="1"/>
    <col min="14879" max="15104" width="9.140625" style="1543"/>
    <col min="15105" max="15105" width="5" style="1543" customWidth="1"/>
    <col min="15106" max="15106" width="16.28515625" style="1543" customWidth="1"/>
    <col min="15107" max="15107" width="8.42578125" style="1543" customWidth="1"/>
    <col min="15108" max="15108" width="8.85546875" style="1543" customWidth="1"/>
    <col min="15109" max="15109" width="7.28515625" style="1543" customWidth="1"/>
    <col min="15110" max="15110" width="6.7109375" style="1543" customWidth="1"/>
    <col min="15111" max="15111" width="7.28515625" style="1543" customWidth="1"/>
    <col min="15112" max="15112" width="6.5703125" style="1543" customWidth="1"/>
    <col min="15113" max="15113" width="7.140625" style="1543" customWidth="1"/>
    <col min="15114" max="15117" width="0" style="1543" hidden="1" customWidth="1"/>
    <col min="15118" max="15118" width="7.5703125" style="1543" customWidth="1"/>
    <col min="15119" max="15119" width="9" style="1543" customWidth="1"/>
    <col min="15120" max="15120" width="8.5703125" style="1543" customWidth="1"/>
    <col min="15121" max="15121" width="7.7109375" style="1543" customWidth="1"/>
    <col min="15122" max="15122" width="6.7109375" style="1543" customWidth="1"/>
    <col min="15123" max="15123" width="7.7109375" style="1543" customWidth="1"/>
    <col min="15124" max="15124" width="7.85546875" style="1543" customWidth="1"/>
    <col min="15125" max="15125" width="7.7109375" style="1543" customWidth="1"/>
    <col min="15126" max="15126" width="7.42578125" style="1543" customWidth="1"/>
    <col min="15127" max="15131" width="6.7109375" style="1543" customWidth="1"/>
    <col min="15132" max="15132" width="8.140625" style="1543" customWidth="1"/>
    <col min="15133" max="15134" width="6.7109375" style="1543" customWidth="1"/>
    <col min="15135" max="15360" width="9.140625" style="1543"/>
    <col min="15361" max="15361" width="5" style="1543" customWidth="1"/>
    <col min="15362" max="15362" width="16.28515625" style="1543" customWidth="1"/>
    <col min="15363" max="15363" width="8.42578125" style="1543" customWidth="1"/>
    <col min="15364" max="15364" width="8.85546875" style="1543" customWidth="1"/>
    <col min="15365" max="15365" width="7.28515625" style="1543" customWidth="1"/>
    <col min="15366" max="15366" width="6.7109375" style="1543" customWidth="1"/>
    <col min="15367" max="15367" width="7.28515625" style="1543" customWidth="1"/>
    <col min="15368" max="15368" width="6.5703125" style="1543" customWidth="1"/>
    <col min="15369" max="15369" width="7.140625" style="1543" customWidth="1"/>
    <col min="15370" max="15373" width="0" style="1543" hidden="1" customWidth="1"/>
    <col min="15374" max="15374" width="7.5703125" style="1543" customWidth="1"/>
    <col min="15375" max="15375" width="9" style="1543" customWidth="1"/>
    <col min="15376" max="15376" width="8.5703125" style="1543" customWidth="1"/>
    <col min="15377" max="15377" width="7.7109375" style="1543" customWidth="1"/>
    <col min="15378" max="15378" width="6.7109375" style="1543" customWidth="1"/>
    <col min="15379" max="15379" width="7.7109375" style="1543" customWidth="1"/>
    <col min="15380" max="15380" width="7.85546875" style="1543" customWidth="1"/>
    <col min="15381" max="15381" width="7.7109375" style="1543" customWidth="1"/>
    <col min="15382" max="15382" width="7.42578125" style="1543" customWidth="1"/>
    <col min="15383" max="15387" width="6.7109375" style="1543" customWidth="1"/>
    <col min="15388" max="15388" width="8.140625" style="1543" customWidth="1"/>
    <col min="15389" max="15390" width="6.7109375" style="1543" customWidth="1"/>
    <col min="15391" max="15616" width="9.140625" style="1543"/>
    <col min="15617" max="15617" width="5" style="1543" customWidth="1"/>
    <col min="15618" max="15618" width="16.28515625" style="1543" customWidth="1"/>
    <col min="15619" max="15619" width="8.42578125" style="1543" customWidth="1"/>
    <col min="15620" max="15620" width="8.85546875" style="1543" customWidth="1"/>
    <col min="15621" max="15621" width="7.28515625" style="1543" customWidth="1"/>
    <col min="15622" max="15622" width="6.7109375" style="1543" customWidth="1"/>
    <col min="15623" max="15623" width="7.28515625" style="1543" customWidth="1"/>
    <col min="15624" max="15624" width="6.5703125" style="1543" customWidth="1"/>
    <col min="15625" max="15625" width="7.140625" style="1543" customWidth="1"/>
    <col min="15626" max="15629" width="0" style="1543" hidden="1" customWidth="1"/>
    <col min="15630" max="15630" width="7.5703125" style="1543" customWidth="1"/>
    <col min="15631" max="15631" width="9" style="1543" customWidth="1"/>
    <col min="15632" max="15632" width="8.5703125" style="1543" customWidth="1"/>
    <col min="15633" max="15633" width="7.7109375" style="1543" customWidth="1"/>
    <col min="15634" max="15634" width="6.7109375" style="1543" customWidth="1"/>
    <col min="15635" max="15635" width="7.7109375" style="1543" customWidth="1"/>
    <col min="15636" max="15636" width="7.85546875" style="1543" customWidth="1"/>
    <col min="15637" max="15637" width="7.7109375" style="1543" customWidth="1"/>
    <col min="15638" max="15638" width="7.42578125" style="1543" customWidth="1"/>
    <col min="15639" max="15643" width="6.7109375" style="1543" customWidth="1"/>
    <col min="15644" max="15644" width="8.140625" style="1543" customWidth="1"/>
    <col min="15645" max="15646" width="6.7109375" style="1543" customWidth="1"/>
    <col min="15647" max="15872" width="9.140625" style="1543"/>
    <col min="15873" max="15873" width="5" style="1543" customWidth="1"/>
    <col min="15874" max="15874" width="16.28515625" style="1543" customWidth="1"/>
    <col min="15875" max="15875" width="8.42578125" style="1543" customWidth="1"/>
    <col min="15876" max="15876" width="8.85546875" style="1543" customWidth="1"/>
    <col min="15877" max="15877" width="7.28515625" style="1543" customWidth="1"/>
    <col min="15878" max="15878" width="6.7109375" style="1543" customWidth="1"/>
    <col min="15879" max="15879" width="7.28515625" style="1543" customWidth="1"/>
    <col min="15880" max="15880" width="6.5703125" style="1543" customWidth="1"/>
    <col min="15881" max="15881" width="7.140625" style="1543" customWidth="1"/>
    <col min="15882" max="15885" width="0" style="1543" hidden="1" customWidth="1"/>
    <col min="15886" max="15886" width="7.5703125" style="1543" customWidth="1"/>
    <col min="15887" max="15887" width="9" style="1543" customWidth="1"/>
    <col min="15888" max="15888" width="8.5703125" style="1543" customWidth="1"/>
    <col min="15889" max="15889" width="7.7109375" style="1543" customWidth="1"/>
    <col min="15890" max="15890" width="6.7109375" style="1543" customWidth="1"/>
    <col min="15891" max="15891" width="7.7109375" style="1543" customWidth="1"/>
    <col min="15892" max="15892" width="7.85546875" style="1543" customWidth="1"/>
    <col min="15893" max="15893" width="7.7109375" style="1543" customWidth="1"/>
    <col min="15894" max="15894" width="7.42578125" style="1543" customWidth="1"/>
    <col min="15895" max="15899" width="6.7109375" style="1543" customWidth="1"/>
    <col min="15900" max="15900" width="8.140625" style="1543" customWidth="1"/>
    <col min="15901" max="15902" width="6.7109375" style="1543" customWidth="1"/>
    <col min="15903" max="16128" width="9.140625" style="1543"/>
    <col min="16129" max="16129" width="5" style="1543" customWidth="1"/>
    <col min="16130" max="16130" width="16.28515625" style="1543" customWidth="1"/>
    <col min="16131" max="16131" width="8.42578125" style="1543" customWidth="1"/>
    <col min="16132" max="16132" width="8.85546875" style="1543" customWidth="1"/>
    <col min="16133" max="16133" width="7.28515625" style="1543" customWidth="1"/>
    <col min="16134" max="16134" width="6.7109375" style="1543" customWidth="1"/>
    <col min="16135" max="16135" width="7.28515625" style="1543" customWidth="1"/>
    <col min="16136" max="16136" width="6.5703125" style="1543" customWidth="1"/>
    <col min="16137" max="16137" width="7.140625" style="1543" customWidth="1"/>
    <col min="16138" max="16141" width="0" style="1543" hidden="1" customWidth="1"/>
    <col min="16142" max="16142" width="7.5703125" style="1543" customWidth="1"/>
    <col min="16143" max="16143" width="9" style="1543" customWidth="1"/>
    <col min="16144" max="16144" width="8.5703125" style="1543" customWidth="1"/>
    <col min="16145" max="16145" width="7.7109375" style="1543" customWidth="1"/>
    <col min="16146" max="16146" width="6.7109375" style="1543" customWidth="1"/>
    <col min="16147" max="16147" width="7.7109375" style="1543" customWidth="1"/>
    <col min="16148" max="16148" width="7.85546875" style="1543" customWidth="1"/>
    <col min="16149" max="16149" width="7.7109375" style="1543" customWidth="1"/>
    <col min="16150" max="16150" width="7.42578125" style="1543" customWidth="1"/>
    <col min="16151" max="16155" width="6.7109375" style="1543" customWidth="1"/>
    <col min="16156" max="16156" width="8.140625" style="1543" customWidth="1"/>
    <col min="16157" max="16158" width="6.7109375" style="1543" customWidth="1"/>
    <col min="16159" max="16384" width="9.140625" style="1543"/>
  </cols>
  <sheetData>
    <row r="1" spans="1:30" ht="24.75" customHeight="1">
      <c r="A1" s="1703" t="s">
        <v>221</v>
      </c>
      <c r="B1" s="1703"/>
      <c r="C1" s="1703"/>
      <c r="D1" s="1703"/>
      <c r="E1" s="1572"/>
      <c r="F1" s="1572"/>
      <c r="G1" s="1572"/>
      <c r="H1" s="1572"/>
      <c r="I1" s="1545"/>
      <c r="J1" s="1546"/>
      <c r="K1" s="1546"/>
      <c r="L1" s="1546"/>
      <c r="M1" s="1546"/>
      <c r="N1" s="1545"/>
      <c r="O1" s="1545"/>
      <c r="P1" s="1545"/>
      <c r="Q1" s="1545"/>
      <c r="R1" s="1545"/>
      <c r="S1" s="1545"/>
      <c r="T1" s="1545"/>
      <c r="U1" s="1545"/>
      <c r="V1" s="1545"/>
      <c r="W1" s="1545"/>
      <c r="X1" s="1545"/>
      <c r="Y1" s="1545"/>
      <c r="Z1" s="1545"/>
      <c r="AA1" s="1681" t="s">
        <v>2230</v>
      </c>
      <c r="AB1" s="1681"/>
      <c r="AC1" s="1681"/>
      <c r="AD1" s="1681"/>
    </row>
    <row r="2" spans="1:30" ht="19.5" customHeight="1">
      <c r="A2" s="1769" t="s">
        <v>2212</v>
      </c>
      <c r="B2" s="1769"/>
      <c r="C2" s="1769"/>
      <c r="D2" s="1769"/>
      <c r="E2" s="1769"/>
      <c r="F2" s="1769"/>
      <c r="G2" s="1769"/>
      <c r="H2" s="1769"/>
      <c r="I2" s="1769"/>
      <c r="J2" s="1769"/>
      <c r="K2" s="1769"/>
      <c r="L2" s="1769"/>
      <c r="M2" s="1769"/>
      <c r="N2" s="1769"/>
      <c r="O2" s="1769"/>
      <c r="P2" s="1769"/>
      <c r="Q2" s="1769"/>
      <c r="R2" s="1769"/>
      <c r="S2" s="1769"/>
      <c r="T2" s="1769"/>
      <c r="U2" s="1769"/>
      <c r="V2" s="1769"/>
      <c r="W2" s="1769"/>
      <c r="X2" s="1769"/>
      <c r="Y2" s="1769"/>
      <c r="Z2" s="1769"/>
      <c r="AA2" s="1769"/>
      <c r="AB2" s="1769"/>
      <c r="AC2" s="1769"/>
      <c r="AD2" s="1769"/>
    </row>
    <row r="3" spans="1:30" ht="19.5" customHeight="1">
      <c r="A3" s="1769" t="str">
        <f>B62CK!A3</f>
        <v>(Quyết toán đã được Hội đồng nhân dân tỉnh phê chuẩn)</v>
      </c>
      <c r="B3" s="1769"/>
      <c r="C3" s="1769"/>
      <c r="D3" s="1769"/>
      <c r="E3" s="1769"/>
      <c r="F3" s="1769"/>
      <c r="G3" s="1769"/>
      <c r="H3" s="1769"/>
      <c r="I3" s="1769"/>
      <c r="J3" s="1769"/>
      <c r="K3" s="1769"/>
      <c r="L3" s="1769"/>
      <c r="M3" s="1769"/>
      <c r="N3" s="1769"/>
      <c r="O3" s="1769"/>
      <c r="P3" s="1769"/>
      <c r="Q3" s="1769"/>
      <c r="R3" s="1769"/>
      <c r="S3" s="1769"/>
      <c r="T3" s="1769"/>
      <c r="U3" s="1769"/>
      <c r="V3" s="1769"/>
      <c r="W3" s="1769"/>
      <c r="X3" s="1769"/>
      <c r="Y3" s="1769"/>
      <c r="Z3" s="1769"/>
      <c r="AA3" s="1769"/>
      <c r="AB3" s="1769"/>
      <c r="AC3" s="1769"/>
      <c r="AD3" s="1769"/>
    </row>
    <row r="4" spans="1:30" ht="18.75" customHeight="1">
      <c r="A4" s="1770" t="str">
        <f>B62CK!A4</f>
        <v>(Kèm theo Quyết định số            /QĐ-UBND ngày         tháng 01 năm 2020 của UBND tỉnh)</v>
      </c>
      <c r="B4" s="1770"/>
      <c r="C4" s="1770"/>
      <c r="D4" s="1770"/>
      <c r="E4" s="1770"/>
      <c r="F4" s="1770"/>
      <c r="G4" s="1770"/>
      <c r="H4" s="1770"/>
      <c r="I4" s="1770"/>
      <c r="J4" s="1770"/>
      <c r="K4" s="1770"/>
      <c r="L4" s="1770"/>
      <c r="M4" s="1770"/>
      <c r="N4" s="1770"/>
      <c r="O4" s="1770"/>
      <c r="P4" s="1770"/>
      <c r="Q4" s="1770"/>
      <c r="R4" s="1770"/>
      <c r="S4" s="1770"/>
      <c r="T4" s="1770"/>
      <c r="U4" s="1770"/>
      <c r="V4" s="1770"/>
      <c r="W4" s="1770"/>
      <c r="X4" s="1770"/>
      <c r="Y4" s="1770"/>
      <c r="Z4" s="1770"/>
      <c r="AA4" s="1770"/>
      <c r="AB4" s="1770"/>
      <c r="AC4" s="1770"/>
      <c r="AD4" s="1770"/>
    </row>
    <row r="5" spans="1:30" ht="15.75">
      <c r="A5" s="1545"/>
      <c r="B5" s="1545"/>
      <c r="C5" s="1545"/>
      <c r="D5" s="1545"/>
      <c r="E5" s="1545"/>
      <c r="F5" s="1545"/>
      <c r="G5" s="1545"/>
      <c r="H5" s="1545"/>
      <c r="I5" s="1545"/>
      <c r="J5" s="1546"/>
      <c r="K5" s="1546"/>
      <c r="L5" s="1546"/>
      <c r="M5" s="1546"/>
      <c r="N5" s="1545"/>
      <c r="O5" s="1545"/>
      <c r="P5" s="1545"/>
      <c r="Q5" s="1545"/>
      <c r="R5" s="1545"/>
      <c r="S5" s="1545"/>
      <c r="T5" s="1545"/>
      <c r="U5" s="1545"/>
      <c r="V5" s="1545"/>
      <c r="W5" s="1545"/>
      <c r="X5" s="1545"/>
      <c r="Y5" s="1545"/>
      <c r="Z5" s="1545"/>
      <c r="AA5" s="1545"/>
      <c r="AB5" s="1771" t="s">
        <v>5</v>
      </c>
      <c r="AC5" s="1771"/>
      <c r="AD5" s="1771"/>
    </row>
    <row r="6" spans="1:30" s="1547" customFormat="1" ht="21" customHeight="1">
      <c r="A6" s="1772" t="s">
        <v>0</v>
      </c>
      <c r="B6" s="1772" t="s">
        <v>2213</v>
      </c>
      <c r="C6" s="1772" t="s">
        <v>136</v>
      </c>
      <c r="D6" s="1772"/>
      <c r="E6" s="1772"/>
      <c r="F6" s="1772"/>
      <c r="G6" s="1772"/>
      <c r="H6" s="1772"/>
      <c r="I6" s="1772"/>
      <c r="J6" s="1772"/>
      <c r="K6" s="1772"/>
      <c r="L6" s="1772"/>
      <c r="M6" s="1772"/>
      <c r="N6" s="1772"/>
      <c r="O6" s="1772" t="s">
        <v>155</v>
      </c>
      <c r="P6" s="1772"/>
      <c r="Q6" s="1772"/>
      <c r="R6" s="1772"/>
      <c r="S6" s="1772"/>
      <c r="T6" s="1772"/>
      <c r="U6" s="1772"/>
      <c r="V6" s="1772"/>
      <c r="W6" s="1772" t="s">
        <v>189</v>
      </c>
      <c r="X6" s="1772"/>
      <c r="Y6" s="1772"/>
      <c r="Z6" s="1772"/>
      <c r="AA6" s="1772"/>
      <c r="AB6" s="1772"/>
      <c r="AC6" s="1772"/>
      <c r="AD6" s="1772"/>
    </row>
    <row r="7" spans="1:30" s="1547" customFormat="1" ht="21" customHeight="1">
      <c r="A7" s="1772"/>
      <c r="B7" s="1772"/>
      <c r="C7" s="1772" t="s">
        <v>25</v>
      </c>
      <c r="D7" s="1772" t="s">
        <v>160</v>
      </c>
      <c r="E7" s="1772" t="s">
        <v>161</v>
      </c>
      <c r="F7" s="1772"/>
      <c r="G7" s="1772"/>
      <c r="H7" s="1772"/>
      <c r="I7" s="1772"/>
      <c r="J7" s="1772"/>
      <c r="K7" s="1772"/>
      <c r="L7" s="1772"/>
      <c r="M7" s="1772"/>
      <c r="N7" s="1772"/>
      <c r="O7" s="1772" t="s">
        <v>25</v>
      </c>
      <c r="P7" s="1772" t="s">
        <v>160</v>
      </c>
      <c r="Q7" s="1772" t="s">
        <v>161</v>
      </c>
      <c r="R7" s="1772"/>
      <c r="S7" s="1772"/>
      <c r="T7" s="1772"/>
      <c r="U7" s="1772"/>
      <c r="V7" s="1772"/>
      <c r="W7" s="1772" t="s">
        <v>25</v>
      </c>
      <c r="X7" s="1772" t="s">
        <v>160</v>
      </c>
      <c r="Y7" s="1772" t="s">
        <v>161</v>
      </c>
      <c r="Z7" s="1772"/>
      <c r="AA7" s="1772"/>
      <c r="AB7" s="1772"/>
      <c r="AC7" s="1772"/>
      <c r="AD7" s="1772"/>
    </row>
    <row r="8" spans="1:30" s="1547" customFormat="1" ht="24.75" customHeight="1">
      <c r="A8" s="1772"/>
      <c r="B8" s="1772"/>
      <c r="C8" s="1772"/>
      <c r="D8" s="1772"/>
      <c r="E8" s="1772" t="s">
        <v>25</v>
      </c>
      <c r="F8" s="1772" t="s">
        <v>190</v>
      </c>
      <c r="G8" s="1772"/>
      <c r="H8" s="1772" t="s">
        <v>191</v>
      </c>
      <c r="I8" s="1772" t="s">
        <v>192</v>
      </c>
      <c r="J8" s="1548"/>
      <c r="K8" s="1548"/>
      <c r="L8" s="1548"/>
      <c r="M8" s="1548"/>
      <c r="N8" s="1772" t="s">
        <v>193</v>
      </c>
      <c r="O8" s="1772"/>
      <c r="P8" s="1772"/>
      <c r="Q8" s="1772" t="s">
        <v>25</v>
      </c>
      <c r="R8" s="1772" t="s">
        <v>190</v>
      </c>
      <c r="S8" s="1772"/>
      <c r="T8" s="1772" t="s">
        <v>191</v>
      </c>
      <c r="U8" s="1772" t="s">
        <v>192</v>
      </c>
      <c r="V8" s="1772" t="s">
        <v>193</v>
      </c>
      <c r="W8" s="1772"/>
      <c r="X8" s="1772"/>
      <c r="Y8" s="1772" t="s">
        <v>25</v>
      </c>
      <c r="Z8" s="1772" t="s">
        <v>190</v>
      </c>
      <c r="AA8" s="1772"/>
      <c r="AB8" s="1772" t="s">
        <v>191</v>
      </c>
      <c r="AC8" s="1772" t="s">
        <v>192</v>
      </c>
      <c r="AD8" s="1772" t="s">
        <v>193</v>
      </c>
    </row>
    <row r="9" spans="1:30" s="1547" customFormat="1" ht="78.75" customHeight="1">
      <c r="A9" s="1772"/>
      <c r="B9" s="1772"/>
      <c r="C9" s="1772"/>
      <c r="D9" s="1772"/>
      <c r="E9" s="1772"/>
      <c r="F9" s="1549" t="s">
        <v>149</v>
      </c>
      <c r="G9" s="1549" t="s">
        <v>29</v>
      </c>
      <c r="H9" s="1772"/>
      <c r="I9" s="1772"/>
      <c r="J9" s="1548" t="s">
        <v>2214</v>
      </c>
      <c r="K9" s="1548" t="s">
        <v>2215</v>
      </c>
      <c r="L9" s="1548" t="s">
        <v>2216</v>
      </c>
      <c r="M9" s="1548" t="s">
        <v>2217</v>
      </c>
      <c r="N9" s="1772"/>
      <c r="O9" s="1772"/>
      <c r="P9" s="1772"/>
      <c r="Q9" s="1772"/>
      <c r="R9" s="1549" t="s">
        <v>149</v>
      </c>
      <c r="S9" s="1549" t="s">
        <v>29</v>
      </c>
      <c r="T9" s="1772"/>
      <c r="U9" s="1772"/>
      <c r="V9" s="1772"/>
      <c r="W9" s="1772"/>
      <c r="X9" s="1772"/>
      <c r="Y9" s="1772"/>
      <c r="Z9" s="1549" t="s">
        <v>149</v>
      </c>
      <c r="AA9" s="1549" t="s">
        <v>29</v>
      </c>
      <c r="AB9" s="1772"/>
      <c r="AC9" s="1772"/>
      <c r="AD9" s="1772"/>
    </row>
    <row r="10" spans="1:30" s="1552" customFormat="1" ht="21.75" customHeight="1">
      <c r="A10" s="1550" t="s">
        <v>2</v>
      </c>
      <c r="B10" s="1550" t="s">
        <v>3</v>
      </c>
      <c r="C10" s="1550">
        <v>1</v>
      </c>
      <c r="D10" s="1550">
        <v>2</v>
      </c>
      <c r="E10" s="1550" t="s">
        <v>194</v>
      </c>
      <c r="F10" s="1550">
        <v>4</v>
      </c>
      <c r="G10" s="1550">
        <v>5</v>
      </c>
      <c r="H10" s="1550">
        <v>6</v>
      </c>
      <c r="I10" s="1550">
        <v>7</v>
      </c>
      <c r="J10" s="1551"/>
      <c r="K10" s="1551"/>
      <c r="L10" s="1551"/>
      <c r="M10" s="1551"/>
      <c r="N10" s="1550">
        <v>8</v>
      </c>
      <c r="O10" s="1550">
        <v>9</v>
      </c>
      <c r="P10" s="1550">
        <v>10</v>
      </c>
      <c r="Q10" s="1550" t="s">
        <v>195</v>
      </c>
      <c r="R10" s="1550">
        <v>12</v>
      </c>
      <c r="S10" s="1550">
        <v>13</v>
      </c>
      <c r="T10" s="1550">
        <v>14</v>
      </c>
      <c r="U10" s="1550">
        <v>15</v>
      </c>
      <c r="V10" s="1550">
        <v>16</v>
      </c>
      <c r="W10" s="1550" t="s">
        <v>196</v>
      </c>
      <c r="X10" s="1550" t="s">
        <v>197</v>
      </c>
      <c r="Y10" s="1550" t="s">
        <v>198</v>
      </c>
      <c r="Z10" s="1550" t="s">
        <v>199</v>
      </c>
      <c r="AA10" s="1550" t="s">
        <v>200</v>
      </c>
      <c r="AB10" s="1550" t="s">
        <v>201</v>
      </c>
      <c r="AC10" s="1550" t="s">
        <v>202</v>
      </c>
      <c r="AD10" s="1550" t="s">
        <v>203</v>
      </c>
    </row>
    <row r="11" spans="1:30" s="1559" customFormat="1" ht="30" customHeight="1">
      <c r="A11" s="1553"/>
      <c r="B11" s="1554" t="s">
        <v>27</v>
      </c>
      <c r="C11" s="1556">
        <f t="shared" ref="C11:I11" si="0">SUM(C12:C19)</f>
        <v>2111242</v>
      </c>
      <c r="D11" s="1555">
        <f t="shared" si="0"/>
        <v>1693712</v>
      </c>
      <c r="E11" s="1555">
        <f t="shared" si="0"/>
        <v>417530</v>
      </c>
      <c r="F11" s="1555">
        <f t="shared" si="0"/>
        <v>0</v>
      </c>
      <c r="G11" s="1555">
        <f t="shared" si="0"/>
        <v>417530</v>
      </c>
      <c r="H11" s="1555">
        <f t="shared" si="0"/>
        <v>0</v>
      </c>
      <c r="I11" s="1556">
        <f t="shared" si="0"/>
        <v>100362</v>
      </c>
      <c r="J11" s="1557">
        <f t="shared" ref="J11:R11" si="1">SUM(J12:J19)</f>
        <v>1608890</v>
      </c>
      <c r="K11" s="1557">
        <f t="shared" si="1"/>
        <v>100362</v>
      </c>
      <c r="L11" s="1557">
        <f t="shared" si="1"/>
        <v>84822</v>
      </c>
      <c r="M11" s="1557">
        <f t="shared" si="1"/>
        <v>3200</v>
      </c>
      <c r="N11" s="1555">
        <f t="shared" si="1"/>
        <v>317168</v>
      </c>
      <c r="O11" s="1555">
        <f t="shared" si="1"/>
        <v>2289806.5540240002</v>
      </c>
      <c r="P11" s="1555">
        <f t="shared" si="1"/>
        <v>1693712</v>
      </c>
      <c r="Q11" s="1555">
        <f t="shared" si="1"/>
        <v>596094.55402399995</v>
      </c>
      <c r="R11" s="1555">
        <f t="shared" si="1"/>
        <v>0</v>
      </c>
      <c r="S11" s="1555">
        <f>SUM(S12:S19)</f>
        <v>596094.55402399995</v>
      </c>
      <c r="T11" s="1555">
        <f>SUM(T12:T19)</f>
        <v>38838</v>
      </c>
      <c r="U11" s="1555">
        <f>SUM(U12:U19)</f>
        <v>230925.73302400002</v>
      </c>
      <c r="V11" s="1555">
        <f>SUM(V12:V19)</f>
        <v>326330.821</v>
      </c>
      <c r="W11" s="1558">
        <f t="shared" ref="W11:Y19" si="2">O11/C11</f>
        <v>1.0845779659669523</v>
      </c>
      <c r="X11" s="1558">
        <f t="shared" si="2"/>
        <v>1</v>
      </c>
      <c r="Y11" s="1558">
        <f t="shared" si="2"/>
        <v>1.4276687999041984</v>
      </c>
      <c r="Z11" s="1558"/>
      <c r="AA11" s="1558">
        <f t="shared" ref="AA11:AA19" si="3">S11/G11</f>
        <v>1.4276687999041984</v>
      </c>
      <c r="AB11" s="1558"/>
      <c r="AC11" s="1558">
        <f t="shared" ref="AC11:AC19" si="4">U11/I11</f>
        <v>2.3009279709850343</v>
      </c>
      <c r="AD11" s="1558">
        <f t="shared" ref="AD11:AD19" si="5">V11/N11</f>
        <v>1.0288894875901731</v>
      </c>
    </row>
    <row r="12" spans="1:30" s="1564" customFormat="1" ht="30" customHeight="1">
      <c r="A12" s="1560">
        <v>1</v>
      </c>
      <c r="B12" s="1561" t="s">
        <v>233</v>
      </c>
      <c r="C12" s="1562">
        <f>D12+E12</f>
        <v>133815</v>
      </c>
      <c r="D12" s="1562">
        <f>J12+L12</f>
        <v>126789</v>
      </c>
      <c r="E12" s="1562">
        <f t="shared" ref="E12:E19" si="6">H12+I12+N12</f>
        <v>7026</v>
      </c>
      <c r="F12" s="1562"/>
      <c r="G12" s="1562">
        <f>E12</f>
        <v>7026</v>
      </c>
      <c r="H12" s="1562"/>
      <c r="I12" s="1562">
        <f>K12</f>
        <v>4859</v>
      </c>
      <c r="J12" s="1563">
        <v>121118</v>
      </c>
      <c r="K12" s="1563">
        <f>'[7]Biểu 04.'!$D$7</f>
        <v>4859</v>
      </c>
      <c r="L12" s="1563">
        <v>5671</v>
      </c>
      <c r="M12" s="1563"/>
      <c r="N12" s="1562">
        <v>2167</v>
      </c>
      <c r="O12" s="1562">
        <f>P12+Q12</f>
        <v>142668.65594599998</v>
      </c>
      <c r="P12" s="1562">
        <f>D12</f>
        <v>126789</v>
      </c>
      <c r="Q12" s="1562">
        <f t="shared" ref="Q12:Q19" si="7">T12+U12+V12</f>
        <v>15879.655945999984</v>
      </c>
      <c r="R12" s="1562"/>
      <c r="S12" s="1562">
        <f>Q12</f>
        <v>15879.655945999984</v>
      </c>
      <c r="T12" s="1562">
        <f>'[8]SỐ BS trong năm'!$H$191</f>
        <v>3723</v>
      </c>
      <c r="U12" s="1562">
        <f>'[8]SỐ BS trong năm'!$H$192</f>
        <v>9988.6559459999844</v>
      </c>
      <c r="V12" s="1562">
        <f>'[8]SỐ BS trong năm'!$H$182</f>
        <v>2168</v>
      </c>
      <c r="W12" s="781">
        <f t="shared" si="2"/>
        <v>1.066163404296977</v>
      </c>
      <c r="X12" s="781">
        <f t="shared" si="2"/>
        <v>1</v>
      </c>
      <c r="Y12" s="781">
        <f t="shared" si="2"/>
        <v>2.2601275186450307</v>
      </c>
      <c r="Z12" s="781"/>
      <c r="AA12" s="781">
        <f t="shared" si="3"/>
        <v>2.2601275186450307</v>
      </c>
      <c r="AB12" s="781"/>
      <c r="AC12" s="781">
        <f t="shared" si="4"/>
        <v>2.0557019851821332</v>
      </c>
      <c r="AD12" s="781">
        <f t="shared" si="5"/>
        <v>1.0004614674665435</v>
      </c>
    </row>
    <row r="13" spans="1:30" s="1564" customFormat="1" ht="30" customHeight="1">
      <c r="A13" s="1560">
        <v>2</v>
      </c>
      <c r="B13" s="1561" t="s">
        <v>234</v>
      </c>
      <c r="C13" s="1562">
        <f t="shared" ref="C13:C19" si="8">D13+E13</f>
        <v>230512</v>
      </c>
      <c r="D13" s="1562">
        <f t="shared" ref="D13:D19" si="9">J13+L13</f>
        <v>189004</v>
      </c>
      <c r="E13" s="1562">
        <f t="shared" si="6"/>
        <v>41508</v>
      </c>
      <c r="F13" s="1562"/>
      <c r="G13" s="1562">
        <f>E13</f>
        <v>41508</v>
      </c>
      <c r="H13" s="1562"/>
      <c r="I13" s="1562">
        <f t="shared" ref="I13:I19" si="10">K13</f>
        <v>11587</v>
      </c>
      <c r="J13" s="1563">
        <v>173042</v>
      </c>
      <c r="K13" s="1563">
        <f>'[7]Biểu 04.'!$J$7</f>
        <v>11587</v>
      </c>
      <c r="L13" s="1563">
        <v>15962</v>
      </c>
      <c r="M13" s="1563">
        <v>400</v>
      </c>
      <c r="N13" s="1562">
        <v>29921</v>
      </c>
      <c r="O13" s="1562">
        <f>P13+Q13</f>
        <v>257919.80032800001</v>
      </c>
      <c r="P13" s="1562">
        <f t="shared" ref="P13:P19" si="11">D13</f>
        <v>189004</v>
      </c>
      <c r="Q13" s="1562">
        <f t="shared" si="7"/>
        <v>68915.800328000012</v>
      </c>
      <c r="R13" s="1562"/>
      <c r="S13" s="1562">
        <f t="shared" ref="S13:S19" si="12">Q13-R13</f>
        <v>68915.800328000012</v>
      </c>
      <c r="T13" s="1562">
        <f>'[8]SỐ BS trong năm'!$I$191</f>
        <v>7807</v>
      </c>
      <c r="U13" s="1562">
        <f>'[8]SỐ BS trong năm'!$I$192</f>
        <v>30342.800328000012</v>
      </c>
      <c r="V13" s="1562">
        <f>'[8]SỐ BS trong năm'!$I$182</f>
        <v>30766</v>
      </c>
      <c r="W13" s="781">
        <f t="shared" si="2"/>
        <v>1.1188996682515444</v>
      </c>
      <c r="X13" s="781">
        <f t="shared" si="2"/>
        <v>1</v>
      </c>
      <c r="Y13" s="781">
        <f t="shared" si="2"/>
        <v>1.6603016365038068</v>
      </c>
      <c r="Z13" s="781"/>
      <c r="AA13" s="781">
        <f t="shared" si="3"/>
        <v>1.6603016365038068</v>
      </c>
      <c r="AB13" s="781"/>
      <c r="AC13" s="781">
        <f t="shared" si="4"/>
        <v>2.6186933915595074</v>
      </c>
      <c r="AD13" s="781">
        <f t="shared" si="5"/>
        <v>1.0282410347247752</v>
      </c>
    </row>
    <row r="14" spans="1:30" s="1564" customFormat="1" ht="30" customHeight="1">
      <c r="A14" s="1560">
        <v>3</v>
      </c>
      <c r="B14" s="1561" t="s">
        <v>235</v>
      </c>
      <c r="C14" s="1562">
        <f t="shared" si="8"/>
        <v>237267</v>
      </c>
      <c r="D14" s="1562">
        <f t="shared" si="9"/>
        <v>199788</v>
      </c>
      <c r="E14" s="1562">
        <f t="shared" si="6"/>
        <v>37479</v>
      </c>
      <c r="F14" s="1562"/>
      <c r="G14" s="1562">
        <f>E14</f>
        <v>37479</v>
      </c>
      <c r="H14" s="1562"/>
      <c r="I14" s="1562">
        <f t="shared" si="10"/>
        <v>10122</v>
      </c>
      <c r="J14" s="1563">
        <v>196687</v>
      </c>
      <c r="K14" s="1563">
        <f>'[7]Biểu 04.'!$P$7</f>
        <v>10122</v>
      </c>
      <c r="L14" s="1563">
        <v>3101</v>
      </c>
      <c r="M14" s="1563">
        <v>400</v>
      </c>
      <c r="N14" s="1562">
        <v>27357</v>
      </c>
      <c r="O14" s="1562">
        <f t="shared" ref="O14:O19" si="13">P14+Q14</f>
        <v>248623.71880999999</v>
      </c>
      <c r="P14" s="1562">
        <f t="shared" si="11"/>
        <v>199788</v>
      </c>
      <c r="Q14" s="1562">
        <f t="shared" si="7"/>
        <v>48835.718809999991</v>
      </c>
      <c r="R14" s="1562"/>
      <c r="S14" s="1562">
        <f t="shared" si="12"/>
        <v>48835.718809999991</v>
      </c>
      <c r="T14" s="1562">
        <f>'[8]SỐ BS trong năm'!$J$191</f>
        <v>6245</v>
      </c>
      <c r="U14" s="1562">
        <f>'[8]SỐ BS trong năm'!$J$192</f>
        <v>14790.718809999991</v>
      </c>
      <c r="V14" s="1562">
        <f>'[8]SỐ BS trong năm'!$J$182</f>
        <v>27800</v>
      </c>
      <c r="W14" s="781">
        <f t="shared" si="2"/>
        <v>1.0478647212212402</v>
      </c>
      <c r="X14" s="781">
        <f t="shared" si="2"/>
        <v>1</v>
      </c>
      <c r="Y14" s="781">
        <f t="shared" si="2"/>
        <v>1.3030155236265639</v>
      </c>
      <c r="Z14" s="781"/>
      <c r="AA14" s="781">
        <f t="shared" si="3"/>
        <v>1.3030155236265639</v>
      </c>
      <c r="AB14" s="781"/>
      <c r="AC14" s="781">
        <f t="shared" si="4"/>
        <v>1.4612446957123089</v>
      </c>
      <c r="AD14" s="781">
        <f t="shared" si="5"/>
        <v>1.0161932960485434</v>
      </c>
    </row>
    <row r="15" spans="1:30" s="1564" customFormat="1" ht="30" customHeight="1">
      <c r="A15" s="1560">
        <v>4</v>
      </c>
      <c r="B15" s="1561" t="s">
        <v>236</v>
      </c>
      <c r="C15" s="1562">
        <f t="shared" si="8"/>
        <v>243084</v>
      </c>
      <c r="D15" s="1562">
        <f t="shared" si="9"/>
        <v>190577</v>
      </c>
      <c r="E15" s="1562">
        <f t="shared" si="6"/>
        <v>52507</v>
      </c>
      <c r="F15" s="1562"/>
      <c r="G15" s="1562">
        <f>E15</f>
        <v>52507</v>
      </c>
      <c r="H15" s="1562"/>
      <c r="I15" s="1562">
        <f t="shared" si="10"/>
        <v>14355</v>
      </c>
      <c r="J15" s="1563">
        <v>190577</v>
      </c>
      <c r="K15" s="1563">
        <f>'[7]Biểu 04.'!$V$7</f>
        <v>14355</v>
      </c>
      <c r="L15" s="1563"/>
      <c r="M15" s="1563">
        <v>400</v>
      </c>
      <c r="N15" s="1562">
        <v>38152</v>
      </c>
      <c r="O15" s="1562">
        <f t="shared" si="13"/>
        <v>262378.48203499999</v>
      </c>
      <c r="P15" s="1562">
        <f t="shared" si="11"/>
        <v>190577</v>
      </c>
      <c r="Q15" s="1562">
        <f t="shared" si="7"/>
        <v>71801.482034999994</v>
      </c>
      <c r="R15" s="1562"/>
      <c r="S15" s="1562">
        <f t="shared" si="12"/>
        <v>71801.482034999994</v>
      </c>
      <c r="T15" s="1562">
        <f>'[8]SỐ BS trong năm'!$K$191</f>
        <v>5707</v>
      </c>
      <c r="U15" s="1562">
        <f>'[8]SỐ BS trong năm'!$K$192</f>
        <v>26629.122034999993</v>
      </c>
      <c r="V15" s="1565">
        <f>'[8]SỐ BS trong năm'!$K$182</f>
        <v>39465.360000000001</v>
      </c>
      <c r="W15" s="781">
        <f t="shared" si="2"/>
        <v>1.0793737228077536</v>
      </c>
      <c r="X15" s="781">
        <f t="shared" si="2"/>
        <v>1</v>
      </c>
      <c r="Y15" s="781">
        <f t="shared" si="2"/>
        <v>1.3674649481973831</v>
      </c>
      <c r="Z15" s="781"/>
      <c r="AA15" s="781">
        <f t="shared" si="3"/>
        <v>1.3674649481973831</v>
      </c>
      <c r="AB15" s="781"/>
      <c r="AC15" s="781">
        <f t="shared" si="4"/>
        <v>1.8550415907349351</v>
      </c>
      <c r="AD15" s="781">
        <f t="shared" si="5"/>
        <v>1.0344244076326274</v>
      </c>
    </row>
    <row r="16" spans="1:30" s="1564" customFormat="1" ht="30" customHeight="1">
      <c r="A16" s="1560">
        <v>5</v>
      </c>
      <c r="B16" s="1561" t="s">
        <v>237</v>
      </c>
      <c r="C16" s="1562">
        <f t="shared" si="8"/>
        <v>358369</v>
      </c>
      <c r="D16" s="1562">
        <f t="shared" si="9"/>
        <v>286923</v>
      </c>
      <c r="E16" s="1562">
        <f t="shared" si="6"/>
        <v>71446</v>
      </c>
      <c r="F16" s="1562"/>
      <c r="G16" s="1562">
        <f>E16-F16</f>
        <v>71446</v>
      </c>
      <c r="H16" s="1562"/>
      <c r="I16" s="1562">
        <f t="shared" si="10"/>
        <v>14489</v>
      </c>
      <c r="J16" s="1563">
        <v>266585</v>
      </c>
      <c r="K16" s="1563">
        <f>'[7]Biểu 04.'!$AB$7</f>
        <v>14489</v>
      </c>
      <c r="L16" s="1563">
        <v>20338</v>
      </c>
      <c r="M16" s="1563">
        <v>400</v>
      </c>
      <c r="N16" s="1562">
        <v>56957</v>
      </c>
      <c r="O16" s="1562">
        <f t="shared" si="13"/>
        <v>396496.59896700003</v>
      </c>
      <c r="P16" s="1562">
        <f t="shared" si="11"/>
        <v>286923</v>
      </c>
      <c r="Q16" s="1562">
        <f t="shared" si="7"/>
        <v>109573.59896700003</v>
      </c>
      <c r="R16" s="1562"/>
      <c r="S16" s="1562">
        <f>Q16-R16</f>
        <v>109573.59896700003</v>
      </c>
      <c r="T16" s="1562">
        <f>'[8]SỐ BS trong năm'!$L$191</f>
        <v>5593</v>
      </c>
      <c r="U16" s="1562">
        <f>'[8]SỐ BS trong năm'!$L$192</f>
        <v>46512.598967000027</v>
      </c>
      <c r="V16" s="1562">
        <f>'[8]SỐ BS trong năm'!$L$193</f>
        <v>57468</v>
      </c>
      <c r="W16" s="781">
        <f t="shared" si="2"/>
        <v>1.1063920120518238</v>
      </c>
      <c r="X16" s="781">
        <f t="shared" si="2"/>
        <v>1</v>
      </c>
      <c r="Y16" s="781">
        <f t="shared" si="2"/>
        <v>1.5336561734316831</v>
      </c>
      <c r="Z16" s="781"/>
      <c r="AA16" s="781">
        <f t="shared" si="3"/>
        <v>1.5336561734316831</v>
      </c>
      <c r="AB16" s="781"/>
      <c r="AC16" s="781">
        <f t="shared" si="4"/>
        <v>3.210200770722619</v>
      </c>
      <c r="AD16" s="781">
        <f t="shared" si="5"/>
        <v>1.00897168039047</v>
      </c>
    </row>
    <row r="17" spans="1:30" s="1564" customFormat="1" ht="30" customHeight="1">
      <c r="A17" s="1560">
        <v>6</v>
      </c>
      <c r="B17" s="1561" t="s">
        <v>238</v>
      </c>
      <c r="C17" s="1562">
        <f t="shared" si="8"/>
        <v>247731</v>
      </c>
      <c r="D17" s="1562">
        <f t="shared" si="9"/>
        <v>200525</v>
      </c>
      <c r="E17" s="1562">
        <f t="shared" si="6"/>
        <v>47206</v>
      </c>
      <c r="F17" s="1562"/>
      <c r="G17" s="1562">
        <f>E17-F17</f>
        <v>47206</v>
      </c>
      <c r="H17" s="1562"/>
      <c r="I17" s="1562">
        <f t="shared" si="10"/>
        <v>14078</v>
      </c>
      <c r="J17" s="1563">
        <v>179656</v>
      </c>
      <c r="K17" s="1563">
        <f>'[7]Biểu 04.'!$AH$7</f>
        <v>14078</v>
      </c>
      <c r="L17" s="1563">
        <v>20869</v>
      </c>
      <c r="M17" s="1563">
        <v>400</v>
      </c>
      <c r="N17" s="1562">
        <v>33128</v>
      </c>
      <c r="O17" s="1562">
        <f t="shared" si="13"/>
        <v>274861.81426999997</v>
      </c>
      <c r="P17" s="1562">
        <f t="shared" si="11"/>
        <v>200525</v>
      </c>
      <c r="Q17" s="1562">
        <f t="shared" si="7"/>
        <v>74336.814269999973</v>
      </c>
      <c r="R17" s="1562"/>
      <c r="S17" s="1562">
        <f t="shared" si="12"/>
        <v>74336.814269999973</v>
      </c>
      <c r="T17" s="1562">
        <f>'[8]SỐ BS trong năm'!$M$191</f>
        <v>3868</v>
      </c>
      <c r="U17" s="1562">
        <f>'[8]SỐ BS trong năm'!$M$192</f>
        <v>32924.814269999973</v>
      </c>
      <c r="V17" s="1562">
        <f>'[8]SỐ BS trong năm'!$M$182</f>
        <v>37544</v>
      </c>
      <c r="W17" s="781">
        <f t="shared" si="2"/>
        <v>1.109517235509484</v>
      </c>
      <c r="X17" s="781">
        <f t="shared" si="2"/>
        <v>1</v>
      </c>
      <c r="Y17" s="781">
        <f t="shared" si="2"/>
        <v>1.5747323278820484</v>
      </c>
      <c r="Z17" s="781"/>
      <c r="AA17" s="781">
        <f t="shared" si="3"/>
        <v>1.5747323278820484</v>
      </c>
      <c r="AB17" s="781"/>
      <c r="AC17" s="781">
        <f t="shared" si="4"/>
        <v>2.3387423121181969</v>
      </c>
      <c r="AD17" s="781">
        <f t="shared" si="5"/>
        <v>1.1333011349915478</v>
      </c>
    </row>
    <row r="18" spans="1:30" s="1564" customFormat="1" ht="30" customHeight="1">
      <c r="A18" s="1560">
        <v>7</v>
      </c>
      <c r="B18" s="1561" t="s">
        <v>239</v>
      </c>
      <c r="C18" s="1562">
        <f t="shared" si="8"/>
        <v>369944</v>
      </c>
      <c r="D18" s="1562">
        <f t="shared" si="9"/>
        <v>285570</v>
      </c>
      <c r="E18" s="1562">
        <f t="shared" si="6"/>
        <v>84374</v>
      </c>
      <c r="F18" s="1562"/>
      <c r="G18" s="1562">
        <f>E18</f>
        <v>84374</v>
      </c>
      <c r="H18" s="1562"/>
      <c r="I18" s="1562">
        <f t="shared" si="10"/>
        <v>13465</v>
      </c>
      <c r="J18" s="1563">
        <v>273783</v>
      </c>
      <c r="K18" s="1563">
        <f>'[7]Biểu 04.'!$AN$7</f>
        <v>13465</v>
      </c>
      <c r="L18" s="1563">
        <v>11787</v>
      </c>
      <c r="M18" s="1563">
        <v>400</v>
      </c>
      <c r="N18" s="1562">
        <v>70909</v>
      </c>
      <c r="O18" s="1562">
        <f t="shared" si="13"/>
        <v>388806.31131900003</v>
      </c>
      <c r="P18" s="1562">
        <f t="shared" si="11"/>
        <v>285570</v>
      </c>
      <c r="Q18" s="1562">
        <f t="shared" si="7"/>
        <v>103236.31131900003</v>
      </c>
      <c r="R18" s="1562"/>
      <c r="S18" s="1562">
        <f t="shared" si="12"/>
        <v>103236.31131900003</v>
      </c>
      <c r="T18" s="1562">
        <f>'[8]SỐ BS trong năm'!$N$191</f>
        <v>4980</v>
      </c>
      <c r="U18" s="1562">
        <f>'[8]SỐ BS trong năm'!$N$192</f>
        <v>26894.311319000029</v>
      </c>
      <c r="V18" s="1562">
        <f>'[8]SỐ BS trong năm'!$N$182</f>
        <v>71362</v>
      </c>
      <c r="W18" s="781">
        <f t="shared" si="2"/>
        <v>1.0509869367228555</v>
      </c>
      <c r="X18" s="781">
        <f t="shared" si="2"/>
        <v>1</v>
      </c>
      <c r="Y18" s="781">
        <f t="shared" si="2"/>
        <v>1.2235559688885205</v>
      </c>
      <c r="Z18" s="781"/>
      <c r="AA18" s="781">
        <f t="shared" si="3"/>
        <v>1.2235559688885205</v>
      </c>
      <c r="AB18" s="781"/>
      <c r="AC18" s="781">
        <f t="shared" si="4"/>
        <v>1.9973495223913873</v>
      </c>
      <c r="AD18" s="781">
        <f t="shared" si="5"/>
        <v>1.0063884697288072</v>
      </c>
    </row>
    <row r="19" spans="1:30" s="1564" customFormat="1" ht="30" customHeight="1">
      <c r="A19" s="1566">
        <v>8</v>
      </c>
      <c r="B19" s="1567" t="s">
        <v>240</v>
      </c>
      <c r="C19" s="1568">
        <f t="shared" si="8"/>
        <v>290520</v>
      </c>
      <c r="D19" s="1568">
        <f t="shared" si="9"/>
        <v>214536</v>
      </c>
      <c r="E19" s="1568">
        <f t="shared" si="6"/>
        <v>75984</v>
      </c>
      <c r="F19" s="1568"/>
      <c r="G19" s="1568">
        <f>E19-F19</f>
        <v>75984</v>
      </c>
      <c r="H19" s="1568"/>
      <c r="I19" s="1568">
        <f t="shared" si="10"/>
        <v>17407</v>
      </c>
      <c r="J19" s="1569">
        <v>207442</v>
      </c>
      <c r="K19" s="1569">
        <f>'[7]Biểu 04.'!$AT$7</f>
        <v>17407</v>
      </c>
      <c r="L19" s="1569">
        <v>7094</v>
      </c>
      <c r="M19" s="1569">
        <v>800</v>
      </c>
      <c r="N19" s="1568">
        <v>58577</v>
      </c>
      <c r="O19" s="1568">
        <f t="shared" si="13"/>
        <v>318051.172349</v>
      </c>
      <c r="P19" s="1568">
        <f t="shared" si="11"/>
        <v>214536</v>
      </c>
      <c r="Q19" s="1568">
        <f t="shared" si="7"/>
        <v>103515.172349</v>
      </c>
      <c r="R19" s="1568"/>
      <c r="S19" s="1568">
        <f t="shared" si="12"/>
        <v>103515.172349</v>
      </c>
      <c r="T19" s="1568">
        <f>'[8]SỐ BS trong năm'!$O$191</f>
        <v>915</v>
      </c>
      <c r="U19" s="1568">
        <f>'[8]SỐ BS trong năm'!$O$192</f>
        <v>42842.711348999997</v>
      </c>
      <c r="V19" s="1568">
        <f>'[8]SỐ BS trong năm'!$O$182</f>
        <v>59757.461000000003</v>
      </c>
      <c r="W19" s="782">
        <f t="shared" si="2"/>
        <v>1.0947651533422829</v>
      </c>
      <c r="X19" s="782">
        <f t="shared" si="2"/>
        <v>1</v>
      </c>
      <c r="Y19" s="782">
        <f t="shared" si="2"/>
        <v>1.3623285474441988</v>
      </c>
      <c r="Z19" s="782"/>
      <c r="AA19" s="782">
        <f t="shared" si="3"/>
        <v>1.3623285474441988</v>
      </c>
      <c r="AB19" s="782"/>
      <c r="AC19" s="782">
        <f t="shared" si="4"/>
        <v>2.4612346383064283</v>
      </c>
      <c r="AD19" s="782">
        <f t="shared" si="5"/>
        <v>1.0201522952694744</v>
      </c>
    </row>
    <row r="20" spans="1:30" ht="18.75" customHeight="1">
      <c r="A20" s="1570"/>
      <c r="J20" s="1543"/>
      <c r="K20" s="1543"/>
      <c r="L20" s="1543"/>
      <c r="M20" s="1543"/>
      <c r="AA20" s="1571"/>
    </row>
  </sheetData>
  <mergeCells count="35">
    <mergeCell ref="C7:C9"/>
    <mergeCell ref="D7:D9"/>
    <mergeCell ref="E7:N7"/>
    <mergeCell ref="O7:O9"/>
    <mergeCell ref="P7:P9"/>
    <mergeCell ref="X7:X9"/>
    <mergeCell ref="Y7:AD7"/>
    <mergeCell ref="E8:E9"/>
    <mergeCell ref="F8:G8"/>
    <mergeCell ref="H8:H9"/>
    <mergeCell ref="I8:I9"/>
    <mergeCell ref="N8:N9"/>
    <mergeCell ref="Q8:Q9"/>
    <mergeCell ref="R8:S8"/>
    <mergeCell ref="Y8:Y9"/>
    <mergeCell ref="Z8:AA8"/>
    <mergeCell ref="AB8:AB9"/>
    <mergeCell ref="AC8:AC9"/>
    <mergeCell ref="AD8:AD9"/>
    <mergeCell ref="AA1:AD1"/>
    <mergeCell ref="A2:AD2"/>
    <mergeCell ref="A4:AD4"/>
    <mergeCell ref="AB5:AD5"/>
    <mergeCell ref="A6:A9"/>
    <mergeCell ref="B6:B9"/>
    <mergeCell ref="C6:N6"/>
    <mergeCell ref="O6:V6"/>
    <mergeCell ref="W6:AD6"/>
    <mergeCell ref="Q7:V7"/>
    <mergeCell ref="T8:T9"/>
    <mergeCell ref="U8:U9"/>
    <mergeCell ref="V8:V9"/>
    <mergeCell ref="A1:D1"/>
    <mergeCell ref="A3:AD3"/>
    <mergeCell ref="W7:W9"/>
  </mergeCells>
  <pageMargins left="0.32" right="0.32" top="0.54" bottom="0.54" header="0.3" footer="0.3"/>
  <pageSetup paperSize="9" scale="70" firstPageNumber="15" fitToHeight="0" orientation="landscape" useFirstPageNumber="1" r:id="rId1"/>
  <headerFooter>
    <oddFooter>&amp;R&amp;P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21"/>
  <sheetViews>
    <sheetView workbookViewId="0">
      <selection activeCell="L23" sqref="L23"/>
    </sheetView>
  </sheetViews>
  <sheetFormatPr defaultRowHeight="15"/>
  <cols>
    <col min="1" max="1" width="6" style="69" customWidth="1"/>
    <col min="2" max="2" width="22.7109375" style="69" customWidth="1"/>
    <col min="3" max="3" width="14.28515625" style="69" customWidth="1"/>
    <col min="4" max="4" width="12" style="69" customWidth="1"/>
    <col min="5" max="5" width="12.42578125" style="69" customWidth="1"/>
    <col min="6" max="6" width="11.7109375" style="69" customWidth="1"/>
    <col min="7" max="7" width="11.42578125" style="69" customWidth="1"/>
    <col min="8" max="8" width="12" style="69" customWidth="1"/>
    <col min="9" max="10" width="11" style="69" customWidth="1"/>
    <col min="11" max="11" width="10.7109375" style="69" customWidth="1"/>
    <col min="12" max="12" width="14" style="69" bestFit="1" customWidth="1"/>
    <col min="13" max="13" width="9.140625" style="69"/>
    <col min="14" max="14" width="14" style="69" bestFit="1" customWidth="1"/>
    <col min="15" max="256" width="9.140625" style="69"/>
    <col min="257" max="257" width="5.5703125" style="69" customWidth="1"/>
    <col min="258" max="258" width="22.7109375" style="69" customWidth="1"/>
    <col min="259" max="259" width="10.140625" style="69" customWidth="1"/>
    <col min="260" max="260" width="8.85546875" style="69" customWidth="1"/>
    <col min="261" max="261" width="10.28515625" style="69" customWidth="1"/>
    <col min="262" max="265" width="8.85546875" style="69" customWidth="1"/>
    <col min="266" max="269" width="9.140625" style="69"/>
    <col min="270" max="270" width="14" style="69" bestFit="1" customWidth="1"/>
    <col min="271" max="512" width="9.140625" style="69"/>
    <col min="513" max="513" width="5.5703125" style="69" customWidth="1"/>
    <col min="514" max="514" width="22.7109375" style="69" customWidth="1"/>
    <col min="515" max="515" width="10.140625" style="69" customWidth="1"/>
    <col min="516" max="516" width="8.85546875" style="69" customWidth="1"/>
    <col min="517" max="517" width="10.28515625" style="69" customWidth="1"/>
    <col min="518" max="521" width="8.85546875" style="69" customWidth="1"/>
    <col min="522" max="525" width="9.140625" style="69"/>
    <col min="526" max="526" width="14" style="69" bestFit="1" customWidth="1"/>
    <col min="527" max="768" width="9.140625" style="69"/>
    <col min="769" max="769" width="5.5703125" style="69" customWidth="1"/>
    <col min="770" max="770" width="22.7109375" style="69" customWidth="1"/>
    <col min="771" max="771" width="10.140625" style="69" customWidth="1"/>
    <col min="772" max="772" width="8.85546875" style="69" customWidth="1"/>
    <col min="773" max="773" width="10.28515625" style="69" customWidth="1"/>
    <col min="774" max="777" width="8.85546875" style="69" customWidth="1"/>
    <col min="778" max="781" width="9.140625" style="69"/>
    <col min="782" max="782" width="14" style="69" bestFit="1" customWidth="1"/>
    <col min="783" max="1024" width="9.140625" style="69"/>
    <col min="1025" max="1025" width="5.5703125" style="69" customWidth="1"/>
    <col min="1026" max="1026" width="22.7109375" style="69" customWidth="1"/>
    <col min="1027" max="1027" width="10.140625" style="69" customWidth="1"/>
    <col min="1028" max="1028" width="8.85546875" style="69" customWidth="1"/>
    <col min="1029" max="1029" width="10.28515625" style="69" customWidth="1"/>
    <col min="1030" max="1033" width="8.85546875" style="69" customWidth="1"/>
    <col min="1034" max="1037" width="9.140625" style="69"/>
    <col min="1038" max="1038" width="14" style="69" bestFit="1" customWidth="1"/>
    <col min="1039" max="1280" width="9.140625" style="69"/>
    <col min="1281" max="1281" width="5.5703125" style="69" customWidth="1"/>
    <col min="1282" max="1282" width="22.7109375" style="69" customWidth="1"/>
    <col min="1283" max="1283" width="10.140625" style="69" customWidth="1"/>
    <col min="1284" max="1284" width="8.85546875" style="69" customWidth="1"/>
    <col min="1285" max="1285" width="10.28515625" style="69" customWidth="1"/>
    <col min="1286" max="1289" width="8.85546875" style="69" customWidth="1"/>
    <col min="1290" max="1293" width="9.140625" style="69"/>
    <col min="1294" max="1294" width="14" style="69" bestFit="1" customWidth="1"/>
    <col min="1295" max="1536" width="9.140625" style="69"/>
    <col min="1537" max="1537" width="5.5703125" style="69" customWidth="1"/>
    <col min="1538" max="1538" width="22.7109375" style="69" customWidth="1"/>
    <col min="1539" max="1539" width="10.140625" style="69" customWidth="1"/>
    <col min="1540" max="1540" width="8.85546875" style="69" customWidth="1"/>
    <col min="1541" max="1541" width="10.28515625" style="69" customWidth="1"/>
    <col min="1542" max="1545" width="8.85546875" style="69" customWidth="1"/>
    <col min="1546" max="1549" width="9.140625" style="69"/>
    <col min="1550" max="1550" width="14" style="69" bestFit="1" customWidth="1"/>
    <col min="1551" max="1792" width="9.140625" style="69"/>
    <col min="1793" max="1793" width="5.5703125" style="69" customWidth="1"/>
    <col min="1794" max="1794" width="22.7109375" style="69" customWidth="1"/>
    <col min="1795" max="1795" width="10.140625" style="69" customWidth="1"/>
    <col min="1796" max="1796" width="8.85546875" style="69" customWidth="1"/>
    <col min="1797" max="1797" width="10.28515625" style="69" customWidth="1"/>
    <col min="1798" max="1801" width="8.85546875" style="69" customWidth="1"/>
    <col min="1802" max="1805" width="9.140625" style="69"/>
    <col min="1806" max="1806" width="14" style="69" bestFit="1" customWidth="1"/>
    <col min="1807" max="2048" width="9.140625" style="69"/>
    <col min="2049" max="2049" width="5.5703125" style="69" customWidth="1"/>
    <col min="2050" max="2050" width="22.7109375" style="69" customWidth="1"/>
    <col min="2051" max="2051" width="10.140625" style="69" customWidth="1"/>
    <col min="2052" max="2052" width="8.85546875" style="69" customWidth="1"/>
    <col min="2053" max="2053" width="10.28515625" style="69" customWidth="1"/>
    <col min="2054" max="2057" width="8.85546875" style="69" customWidth="1"/>
    <col min="2058" max="2061" width="9.140625" style="69"/>
    <col min="2062" max="2062" width="14" style="69" bestFit="1" customWidth="1"/>
    <col min="2063" max="2304" width="9.140625" style="69"/>
    <col min="2305" max="2305" width="5.5703125" style="69" customWidth="1"/>
    <col min="2306" max="2306" width="22.7109375" style="69" customWidth="1"/>
    <col min="2307" max="2307" width="10.140625" style="69" customWidth="1"/>
    <col min="2308" max="2308" width="8.85546875" style="69" customWidth="1"/>
    <col min="2309" max="2309" width="10.28515625" style="69" customWidth="1"/>
    <col min="2310" max="2313" width="8.85546875" style="69" customWidth="1"/>
    <col min="2314" max="2317" width="9.140625" style="69"/>
    <col min="2318" max="2318" width="14" style="69" bestFit="1" customWidth="1"/>
    <col min="2319" max="2560" width="9.140625" style="69"/>
    <col min="2561" max="2561" width="5.5703125" style="69" customWidth="1"/>
    <col min="2562" max="2562" width="22.7109375" style="69" customWidth="1"/>
    <col min="2563" max="2563" width="10.140625" style="69" customWidth="1"/>
    <col min="2564" max="2564" width="8.85546875" style="69" customWidth="1"/>
    <col min="2565" max="2565" width="10.28515625" style="69" customWidth="1"/>
    <col min="2566" max="2569" width="8.85546875" style="69" customWidth="1"/>
    <col min="2570" max="2573" width="9.140625" style="69"/>
    <col min="2574" max="2574" width="14" style="69" bestFit="1" customWidth="1"/>
    <col min="2575" max="2816" width="9.140625" style="69"/>
    <col min="2817" max="2817" width="5.5703125" style="69" customWidth="1"/>
    <col min="2818" max="2818" width="22.7109375" style="69" customWidth="1"/>
    <col min="2819" max="2819" width="10.140625" style="69" customWidth="1"/>
    <col min="2820" max="2820" width="8.85546875" style="69" customWidth="1"/>
    <col min="2821" max="2821" width="10.28515625" style="69" customWidth="1"/>
    <col min="2822" max="2825" width="8.85546875" style="69" customWidth="1"/>
    <col min="2826" max="2829" width="9.140625" style="69"/>
    <col min="2830" max="2830" width="14" style="69" bestFit="1" customWidth="1"/>
    <col min="2831" max="3072" width="9.140625" style="69"/>
    <col min="3073" max="3073" width="5.5703125" style="69" customWidth="1"/>
    <col min="3074" max="3074" width="22.7109375" style="69" customWidth="1"/>
    <col min="3075" max="3075" width="10.140625" style="69" customWidth="1"/>
    <col min="3076" max="3076" width="8.85546875" style="69" customWidth="1"/>
    <col min="3077" max="3077" width="10.28515625" style="69" customWidth="1"/>
    <col min="3078" max="3081" width="8.85546875" style="69" customWidth="1"/>
    <col min="3082" max="3085" width="9.140625" style="69"/>
    <col min="3086" max="3086" width="14" style="69" bestFit="1" customWidth="1"/>
    <col min="3087" max="3328" width="9.140625" style="69"/>
    <col min="3329" max="3329" width="5.5703125" style="69" customWidth="1"/>
    <col min="3330" max="3330" width="22.7109375" style="69" customWidth="1"/>
    <col min="3331" max="3331" width="10.140625" style="69" customWidth="1"/>
    <col min="3332" max="3332" width="8.85546875" style="69" customWidth="1"/>
    <col min="3333" max="3333" width="10.28515625" style="69" customWidth="1"/>
    <col min="3334" max="3337" width="8.85546875" style="69" customWidth="1"/>
    <col min="3338" max="3341" width="9.140625" style="69"/>
    <col min="3342" max="3342" width="14" style="69" bestFit="1" customWidth="1"/>
    <col min="3343" max="3584" width="9.140625" style="69"/>
    <col min="3585" max="3585" width="5.5703125" style="69" customWidth="1"/>
    <col min="3586" max="3586" width="22.7109375" style="69" customWidth="1"/>
    <col min="3587" max="3587" width="10.140625" style="69" customWidth="1"/>
    <col min="3588" max="3588" width="8.85546875" style="69" customWidth="1"/>
    <col min="3589" max="3589" width="10.28515625" style="69" customWidth="1"/>
    <col min="3590" max="3593" width="8.85546875" style="69" customWidth="1"/>
    <col min="3594" max="3597" width="9.140625" style="69"/>
    <col min="3598" max="3598" width="14" style="69" bestFit="1" customWidth="1"/>
    <col min="3599" max="3840" width="9.140625" style="69"/>
    <col min="3841" max="3841" width="5.5703125" style="69" customWidth="1"/>
    <col min="3842" max="3842" width="22.7109375" style="69" customWidth="1"/>
    <col min="3843" max="3843" width="10.140625" style="69" customWidth="1"/>
    <col min="3844" max="3844" width="8.85546875" style="69" customWidth="1"/>
    <col min="3845" max="3845" width="10.28515625" style="69" customWidth="1"/>
    <col min="3846" max="3849" width="8.85546875" style="69" customWidth="1"/>
    <col min="3850" max="3853" width="9.140625" style="69"/>
    <col min="3854" max="3854" width="14" style="69" bestFit="1" customWidth="1"/>
    <col min="3855" max="4096" width="9.140625" style="69"/>
    <col min="4097" max="4097" width="5.5703125" style="69" customWidth="1"/>
    <col min="4098" max="4098" width="22.7109375" style="69" customWidth="1"/>
    <col min="4099" max="4099" width="10.140625" style="69" customWidth="1"/>
    <col min="4100" max="4100" width="8.85546875" style="69" customWidth="1"/>
    <col min="4101" max="4101" width="10.28515625" style="69" customWidth="1"/>
    <col min="4102" max="4105" width="8.85546875" style="69" customWidth="1"/>
    <col min="4106" max="4109" width="9.140625" style="69"/>
    <col min="4110" max="4110" width="14" style="69" bestFit="1" customWidth="1"/>
    <col min="4111" max="4352" width="9.140625" style="69"/>
    <col min="4353" max="4353" width="5.5703125" style="69" customWidth="1"/>
    <col min="4354" max="4354" width="22.7109375" style="69" customWidth="1"/>
    <col min="4355" max="4355" width="10.140625" style="69" customWidth="1"/>
    <col min="4356" max="4356" width="8.85546875" style="69" customWidth="1"/>
    <col min="4357" max="4357" width="10.28515625" style="69" customWidth="1"/>
    <col min="4358" max="4361" width="8.85546875" style="69" customWidth="1"/>
    <col min="4362" max="4365" width="9.140625" style="69"/>
    <col min="4366" max="4366" width="14" style="69" bestFit="1" customWidth="1"/>
    <col min="4367" max="4608" width="9.140625" style="69"/>
    <col min="4609" max="4609" width="5.5703125" style="69" customWidth="1"/>
    <col min="4610" max="4610" width="22.7109375" style="69" customWidth="1"/>
    <col min="4611" max="4611" width="10.140625" style="69" customWidth="1"/>
    <col min="4612" max="4612" width="8.85546875" style="69" customWidth="1"/>
    <col min="4613" max="4613" width="10.28515625" style="69" customWidth="1"/>
    <col min="4614" max="4617" width="8.85546875" style="69" customWidth="1"/>
    <col min="4618" max="4621" width="9.140625" style="69"/>
    <col min="4622" max="4622" width="14" style="69" bestFit="1" customWidth="1"/>
    <col min="4623" max="4864" width="9.140625" style="69"/>
    <col min="4865" max="4865" width="5.5703125" style="69" customWidth="1"/>
    <col min="4866" max="4866" width="22.7109375" style="69" customWidth="1"/>
    <col min="4867" max="4867" width="10.140625" style="69" customWidth="1"/>
    <col min="4868" max="4868" width="8.85546875" style="69" customWidth="1"/>
    <col min="4869" max="4869" width="10.28515625" style="69" customWidth="1"/>
    <col min="4870" max="4873" width="8.85546875" style="69" customWidth="1"/>
    <col min="4874" max="4877" width="9.140625" style="69"/>
    <col min="4878" max="4878" width="14" style="69" bestFit="1" customWidth="1"/>
    <col min="4879" max="5120" width="9.140625" style="69"/>
    <col min="5121" max="5121" width="5.5703125" style="69" customWidth="1"/>
    <col min="5122" max="5122" width="22.7109375" style="69" customWidth="1"/>
    <col min="5123" max="5123" width="10.140625" style="69" customWidth="1"/>
    <col min="5124" max="5124" width="8.85546875" style="69" customWidth="1"/>
    <col min="5125" max="5125" width="10.28515625" style="69" customWidth="1"/>
    <col min="5126" max="5129" width="8.85546875" style="69" customWidth="1"/>
    <col min="5130" max="5133" width="9.140625" style="69"/>
    <col min="5134" max="5134" width="14" style="69" bestFit="1" customWidth="1"/>
    <col min="5135" max="5376" width="9.140625" style="69"/>
    <col min="5377" max="5377" width="5.5703125" style="69" customWidth="1"/>
    <col min="5378" max="5378" width="22.7109375" style="69" customWidth="1"/>
    <col min="5379" max="5379" width="10.140625" style="69" customWidth="1"/>
    <col min="5380" max="5380" width="8.85546875" style="69" customWidth="1"/>
    <col min="5381" max="5381" width="10.28515625" style="69" customWidth="1"/>
    <col min="5382" max="5385" width="8.85546875" style="69" customWidth="1"/>
    <col min="5386" max="5389" width="9.140625" style="69"/>
    <col min="5390" max="5390" width="14" style="69" bestFit="1" customWidth="1"/>
    <col min="5391" max="5632" width="9.140625" style="69"/>
    <col min="5633" max="5633" width="5.5703125" style="69" customWidth="1"/>
    <col min="5634" max="5634" width="22.7109375" style="69" customWidth="1"/>
    <col min="5635" max="5635" width="10.140625" style="69" customWidth="1"/>
    <col min="5636" max="5636" width="8.85546875" style="69" customWidth="1"/>
    <col min="5637" max="5637" width="10.28515625" style="69" customWidth="1"/>
    <col min="5638" max="5641" width="8.85546875" style="69" customWidth="1"/>
    <col min="5642" max="5645" width="9.140625" style="69"/>
    <col min="5646" max="5646" width="14" style="69" bestFit="1" customWidth="1"/>
    <col min="5647" max="5888" width="9.140625" style="69"/>
    <col min="5889" max="5889" width="5.5703125" style="69" customWidth="1"/>
    <col min="5890" max="5890" width="22.7109375" style="69" customWidth="1"/>
    <col min="5891" max="5891" width="10.140625" style="69" customWidth="1"/>
    <col min="5892" max="5892" width="8.85546875" style="69" customWidth="1"/>
    <col min="5893" max="5893" width="10.28515625" style="69" customWidth="1"/>
    <col min="5894" max="5897" width="8.85546875" style="69" customWidth="1"/>
    <col min="5898" max="5901" width="9.140625" style="69"/>
    <col min="5902" max="5902" width="14" style="69" bestFit="1" customWidth="1"/>
    <col min="5903" max="6144" width="9.140625" style="69"/>
    <col min="6145" max="6145" width="5.5703125" style="69" customWidth="1"/>
    <col min="6146" max="6146" width="22.7109375" style="69" customWidth="1"/>
    <col min="6147" max="6147" width="10.140625" style="69" customWidth="1"/>
    <col min="6148" max="6148" width="8.85546875" style="69" customWidth="1"/>
    <col min="6149" max="6149" width="10.28515625" style="69" customWidth="1"/>
    <col min="6150" max="6153" width="8.85546875" style="69" customWidth="1"/>
    <col min="6154" max="6157" width="9.140625" style="69"/>
    <col min="6158" max="6158" width="14" style="69" bestFit="1" customWidth="1"/>
    <col min="6159" max="6400" width="9.140625" style="69"/>
    <col min="6401" max="6401" width="5.5703125" style="69" customWidth="1"/>
    <col min="6402" max="6402" width="22.7109375" style="69" customWidth="1"/>
    <col min="6403" max="6403" width="10.140625" style="69" customWidth="1"/>
    <col min="6404" max="6404" width="8.85546875" style="69" customWidth="1"/>
    <col min="6405" max="6405" width="10.28515625" style="69" customWidth="1"/>
    <col min="6406" max="6409" width="8.85546875" style="69" customWidth="1"/>
    <col min="6410" max="6413" width="9.140625" style="69"/>
    <col min="6414" max="6414" width="14" style="69" bestFit="1" customWidth="1"/>
    <col min="6415" max="6656" width="9.140625" style="69"/>
    <col min="6657" max="6657" width="5.5703125" style="69" customWidth="1"/>
    <col min="6658" max="6658" width="22.7109375" style="69" customWidth="1"/>
    <col min="6659" max="6659" width="10.140625" style="69" customWidth="1"/>
    <col min="6660" max="6660" width="8.85546875" style="69" customWidth="1"/>
    <col min="6661" max="6661" width="10.28515625" style="69" customWidth="1"/>
    <col min="6662" max="6665" width="8.85546875" style="69" customWidth="1"/>
    <col min="6666" max="6669" width="9.140625" style="69"/>
    <col min="6670" max="6670" width="14" style="69" bestFit="1" customWidth="1"/>
    <col min="6671" max="6912" width="9.140625" style="69"/>
    <col min="6913" max="6913" width="5.5703125" style="69" customWidth="1"/>
    <col min="6914" max="6914" width="22.7109375" style="69" customWidth="1"/>
    <col min="6915" max="6915" width="10.140625" style="69" customWidth="1"/>
    <col min="6916" max="6916" width="8.85546875" style="69" customWidth="1"/>
    <col min="6917" max="6917" width="10.28515625" style="69" customWidth="1"/>
    <col min="6918" max="6921" width="8.85546875" style="69" customWidth="1"/>
    <col min="6922" max="6925" width="9.140625" style="69"/>
    <col min="6926" max="6926" width="14" style="69" bestFit="1" customWidth="1"/>
    <col min="6927" max="7168" width="9.140625" style="69"/>
    <col min="7169" max="7169" width="5.5703125" style="69" customWidth="1"/>
    <col min="7170" max="7170" width="22.7109375" style="69" customWidth="1"/>
    <col min="7171" max="7171" width="10.140625" style="69" customWidth="1"/>
    <col min="7172" max="7172" width="8.85546875" style="69" customWidth="1"/>
    <col min="7173" max="7173" width="10.28515625" style="69" customWidth="1"/>
    <col min="7174" max="7177" width="8.85546875" style="69" customWidth="1"/>
    <col min="7178" max="7181" width="9.140625" style="69"/>
    <col min="7182" max="7182" width="14" style="69" bestFit="1" customWidth="1"/>
    <col min="7183" max="7424" width="9.140625" style="69"/>
    <col min="7425" max="7425" width="5.5703125" style="69" customWidth="1"/>
    <col min="7426" max="7426" width="22.7109375" style="69" customWidth="1"/>
    <col min="7427" max="7427" width="10.140625" style="69" customWidth="1"/>
    <col min="7428" max="7428" width="8.85546875" style="69" customWidth="1"/>
    <col min="7429" max="7429" width="10.28515625" style="69" customWidth="1"/>
    <col min="7430" max="7433" width="8.85546875" style="69" customWidth="1"/>
    <col min="7434" max="7437" width="9.140625" style="69"/>
    <col min="7438" max="7438" width="14" style="69" bestFit="1" customWidth="1"/>
    <col min="7439" max="7680" width="9.140625" style="69"/>
    <col min="7681" max="7681" width="5.5703125" style="69" customWidth="1"/>
    <col min="7682" max="7682" width="22.7109375" style="69" customWidth="1"/>
    <col min="7683" max="7683" width="10.140625" style="69" customWidth="1"/>
    <col min="7684" max="7684" width="8.85546875" style="69" customWidth="1"/>
    <col min="7685" max="7685" width="10.28515625" style="69" customWidth="1"/>
    <col min="7686" max="7689" width="8.85546875" style="69" customWidth="1"/>
    <col min="7690" max="7693" width="9.140625" style="69"/>
    <col min="7694" max="7694" width="14" style="69" bestFit="1" customWidth="1"/>
    <col min="7695" max="7936" width="9.140625" style="69"/>
    <col min="7937" max="7937" width="5.5703125" style="69" customWidth="1"/>
    <col min="7938" max="7938" width="22.7109375" style="69" customWidth="1"/>
    <col min="7939" max="7939" width="10.140625" style="69" customWidth="1"/>
    <col min="7940" max="7940" width="8.85546875" style="69" customWidth="1"/>
    <col min="7941" max="7941" width="10.28515625" style="69" customWidth="1"/>
    <col min="7942" max="7945" width="8.85546875" style="69" customWidth="1"/>
    <col min="7946" max="7949" width="9.140625" style="69"/>
    <col min="7950" max="7950" width="14" style="69" bestFit="1" customWidth="1"/>
    <col min="7951" max="8192" width="9.140625" style="69"/>
    <col min="8193" max="8193" width="5.5703125" style="69" customWidth="1"/>
    <col min="8194" max="8194" width="22.7109375" style="69" customWidth="1"/>
    <col min="8195" max="8195" width="10.140625" style="69" customWidth="1"/>
    <col min="8196" max="8196" width="8.85546875" style="69" customWidth="1"/>
    <col min="8197" max="8197" width="10.28515625" style="69" customWidth="1"/>
    <col min="8198" max="8201" width="8.85546875" style="69" customWidth="1"/>
    <col min="8202" max="8205" width="9.140625" style="69"/>
    <col min="8206" max="8206" width="14" style="69" bestFit="1" customWidth="1"/>
    <col min="8207" max="8448" width="9.140625" style="69"/>
    <col min="8449" max="8449" width="5.5703125" style="69" customWidth="1"/>
    <col min="8450" max="8450" width="22.7109375" style="69" customWidth="1"/>
    <col min="8451" max="8451" width="10.140625" style="69" customWidth="1"/>
    <col min="8452" max="8452" width="8.85546875" style="69" customWidth="1"/>
    <col min="8453" max="8453" width="10.28515625" style="69" customWidth="1"/>
    <col min="8454" max="8457" width="8.85546875" style="69" customWidth="1"/>
    <col min="8458" max="8461" width="9.140625" style="69"/>
    <col min="8462" max="8462" width="14" style="69" bestFit="1" customWidth="1"/>
    <col min="8463" max="8704" width="9.140625" style="69"/>
    <col min="8705" max="8705" width="5.5703125" style="69" customWidth="1"/>
    <col min="8706" max="8706" width="22.7109375" style="69" customWidth="1"/>
    <col min="8707" max="8707" width="10.140625" style="69" customWidth="1"/>
    <col min="8708" max="8708" width="8.85546875" style="69" customWidth="1"/>
    <col min="8709" max="8709" width="10.28515625" style="69" customWidth="1"/>
    <col min="8710" max="8713" width="8.85546875" style="69" customWidth="1"/>
    <col min="8714" max="8717" width="9.140625" style="69"/>
    <col min="8718" max="8718" width="14" style="69" bestFit="1" customWidth="1"/>
    <col min="8719" max="8960" width="9.140625" style="69"/>
    <col min="8961" max="8961" width="5.5703125" style="69" customWidth="1"/>
    <col min="8962" max="8962" width="22.7109375" style="69" customWidth="1"/>
    <col min="8963" max="8963" width="10.140625" style="69" customWidth="1"/>
    <col min="8964" max="8964" width="8.85546875" style="69" customWidth="1"/>
    <col min="8965" max="8965" width="10.28515625" style="69" customWidth="1"/>
    <col min="8966" max="8969" width="8.85546875" style="69" customWidth="1"/>
    <col min="8970" max="8973" width="9.140625" style="69"/>
    <col min="8974" max="8974" width="14" style="69" bestFit="1" customWidth="1"/>
    <col min="8975" max="9216" width="9.140625" style="69"/>
    <col min="9217" max="9217" width="5.5703125" style="69" customWidth="1"/>
    <col min="9218" max="9218" width="22.7109375" style="69" customWidth="1"/>
    <col min="9219" max="9219" width="10.140625" style="69" customWidth="1"/>
    <col min="9220" max="9220" width="8.85546875" style="69" customWidth="1"/>
    <col min="9221" max="9221" width="10.28515625" style="69" customWidth="1"/>
    <col min="9222" max="9225" width="8.85546875" style="69" customWidth="1"/>
    <col min="9226" max="9229" width="9.140625" style="69"/>
    <col min="9230" max="9230" width="14" style="69" bestFit="1" customWidth="1"/>
    <col min="9231" max="9472" width="9.140625" style="69"/>
    <col min="9473" max="9473" width="5.5703125" style="69" customWidth="1"/>
    <col min="9474" max="9474" width="22.7109375" style="69" customWidth="1"/>
    <col min="9475" max="9475" width="10.140625" style="69" customWidth="1"/>
    <col min="9476" max="9476" width="8.85546875" style="69" customWidth="1"/>
    <col min="9477" max="9477" width="10.28515625" style="69" customWidth="1"/>
    <col min="9478" max="9481" width="8.85546875" style="69" customWidth="1"/>
    <col min="9482" max="9485" width="9.140625" style="69"/>
    <col min="9486" max="9486" width="14" style="69" bestFit="1" customWidth="1"/>
    <col min="9487" max="9728" width="9.140625" style="69"/>
    <col min="9729" max="9729" width="5.5703125" style="69" customWidth="1"/>
    <col min="9730" max="9730" width="22.7109375" style="69" customWidth="1"/>
    <col min="9731" max="9731" width="10.140625" style="69" customWidth="1"/>
    <col min="9732" max="9732" width="8.85546875" style="69" customWidth="1"/>
    <col min="9733" max="9733" width="10.28515625" style="69" customWidth="1"/>
    <col min="9734" max="9737" width="8.85546875" style="69" customWidth="1"/>
    <col min="9738" max="9741" width="9.140625" style="69"/>
    <col min="9742" max="9742" width="14" style="69" bestFit="1" customWidth="1"/>
    <col min="9743" max="9984" width="9.140625" style="69"/>
    <col min="9985" max="9985" width="5.5703125" style="69" customWidth="1"/>
    <col min="9986" max="9986" width="22.7109375" style="69" customWidth="1"/>
    <col min="9987" max="9987" width="10.140625" style="69" customWidth="1"/>
    <col min="9988" max="9988" width="8.85546875" style="69" customWidth="1"/>
    <col min="9989" max="9989" width="10.28515625" style="69" customWidth="1"/>
    <col min="9990" max="9993" width="8.85546875" style="69" customWidth="1"/>
    <col min="9994" max="9997" width="9.140625" style="69"/>
    <col min="9998" max="9998" width="14" style="69" bestFit="1" customWidth="1"/>
    <col min="9999" max="10240" width="9.140625" style="69"/>
    <col min="10241" max="10241" width="5.5703125" style="69" customWidth="1"/>
    <col min="10242" max="10242" width="22.7109375" style="69" customWidth="1"/>
    <col min="10243" max="10243" width="10.140625" style="69" customWidth="1"/>
    <col min="10244" max="10244" width="8.85546875" style="69" customWidth="1"/>
    <col min="10245" max="10245" width="10.28515625" style="69" customWidth="1"/>
    <col min="10246" max="10249" width="8.85546875" style="69" customWidth="1"/>
    <col min="10250" max="10253" width="9.140625" style="69"/>
    <col min="10254" max="10254" width="14" style="69" bestFit="1" customWidth="1"/>
    <col min="10255" max="10496" width="9.140625" style="69"/>
    <col min="10497" max="10497" width="5.5703125" style="69" customWidth="1"/>
    <col min="10498" max="10498" width="22.7109375" style="69" customWidth="1"/>
    <col min="10499" max="10499" width="10.140625" style="69" customWidth="1"/>
    <col min="10500" max="10500" width="8.85546875" style="69" customWidth="1"/>
    <col min="10501" max="10501" width="10.28515625" style="69" customWidth="1"/>
    <col min="10502" max="10505" width="8.85546875" style="69" customWidth="1"/>
    <col min="10506" max="10509" width="9.140625" style="69"/>
    <col min="10510" max="10510" width="14" style="69" bestFit="1" customWidth="1"/>
    <col min="10511" max="10752" width="9.140625" style="69"/>
    <col min="10753" max="10753" width="5.5703125" style="69" customWidth="1"/>
    <col min="10754" max="10754" width="22.7109375" style="69" customWidth="1"/>
    <col min="10755" max="10755" width="10.140625" style="69" customWidth="1"/>
    <col min="10756" max="10756" width="8.85546875" style="69" customWidth="1"/>
    <col min="10757" max="10757" width="10.28515625" style="69" customWidth="1"/>
    <col min="10758" max="10761" width="8.85546875" style="69" customWidth="1"/>
    <col min="10762" max="10765" width="9.140625" style="69"/>
    <col min="10766" max="10766" width="14" style="69" bestFit="1" customWidth="1"/>
    <col min="10767" max="11008" width="9.140625" style="69"/>
    <col min="11009" max="11009" width="5.5703125" style="69" customWidth="1"/>
    <col min="11010" max="11010" width="22.7109375" style="69" customWidth="1"/>
    <col min="11011" max="11011" width="10.140625" style="69" customWidth="1"/>
    <col min="11012" max="11012" width="8.85546875" style="69" customWidth="1"/>
    <col min="11013" max="11013" width="10.28515625" style="69" customWidth="1"/>
    <col min="11014" max="11017" width="8.85546875" style="69" customWidth="1"/>
    <col min="11018" max="11021" width="9.140625" style="69"/>
    <col min="11022" max="11022" width="14" style="69" bestFit="1" customWidth="1"/>
    <col min="11023" max="11264" width="9.140625" style="69"/>
    <col min="11265" max="11265" width="5.5703125" style="69" customWidth="1"/>
    <col min="11266" max="11266" width="22.7109375" style="69" customWidth="1"/>
    <col min="11267" max="11267" width="10.140625" style="69" customWidth="1"/>
    <col min="11268" max="11268" width="8.85546875" style="69" customWidth="1"/>
    <col min="11269" max="11269" width="10.28515625" style="69" customWidth="1"/>
    <col min="11270" max="11273" width="8.85546875" style="69" customWidth="1"/>
    <col min="11274" max="11277" width="9.140625" style="69"/>
    <col min="11278" max="11278" width="14" style="69" bestFit="1" customWidth="1"/>
    <col min="11279" max="11520" width="9.140625" style="69"/>
    <col min="11521" max="11521" width="5.5703125" style="69" customWidth="1"/>
    <col min="11522" max="11522" width="22.7109375" style="69" customWidth="1"/>
    <col min="11523" max="11523" width="10.140625" style="69" customWidth="1"/>
    <col min="11524" max="11524" width="8.85546875" style="69" customWidth="1"/>
    <col min="11525" max="11525" width="10.28515625" style="69" customWidth="1"/>
    <col min="11526" max="11529" width="8.85546875" style="69" customWidth="1"/>
    <col min="11530" max="11533" width="9.140625" style="69"/>
    <col min="11534" max="11534" width="14" style="69" bestFit="1" customWidth="1"/>
    <col min="11535" max="11776" width="9.140625" style="69"/>
    <col min="11777" max="11777" width="5.5703125" style="69" customWidth="1"/>
    <col min="11778" max="11778" width="22.7109375" style="69" customWidth="1"/>
    <col min="11779" max="11779" width="10.140625" style="69" customWidth="1"/>
    <col min="11780" max="11780" width="8.85546875" style="69" customWidth="1"/>
    <col min="11781" max="11781" width="10.28515625" style="69" customWidth="1"/>
    <col min="11782" max="11785" width="8.85546875" style="69" customWidth="1"/>
    <col min="11786" max="11789" width="9.140625" style="69"/>
    <col min="11790" max="11790" width="14" style="69" bestFit="1" customWidth="1"/>
    <col min="11791" max="12032" width="9.140625" style="69"/>
    <col min="12033" max="12033" width="5.5703125" style="69" customWidth="1"/>
    <col min="12034" max="12034" width="22.7109375" style="69" customWidth="1"/>
    <col min="12035" max="12035" width="10.140625" style="69" customWidth="1"/>
    <col min="12036" max="12036" width="8.85546875" style="69" customWidth="1"/>
    <col min="12037" max="12037" width="10.28515625" style="69" customWidth="1"/>
    <col min="12038" max="12041" width="8.85546875" style="69" customWidth="1"/>
    <col min="12042" max="12045" width="9.140625" style="69"/>
    <col min="12046" max="12046" width="14" style="69" bestFit="1" customWidth="1"/>
    <col min="12047" max="12288" width="9.140625" style="69"/>
    <col min="12289" max="12289" width="5.5703125" style="69" customWidth="1"/>
    <col min="12290" max="12290" width="22.7109375" style="69" customWidth="1"/>
    <col min="12291" max="12291" width="10.140625" style="69" customWidth="1"/>
    <col min="12292" max="12292" width="8.85546875" style="69" customWidth="1"/>
    <col min="12293" max="12293" width="10.28515625" style="69" customWidth="1"/>
    <col min="12294" max="12297" width="8.85546875" style="69" customWidth="1"/>
    <col min="12298" max="12301" width="9.140625" style="69"/>
    <col min="12302" max="12302" width="14" style="69" bestFit="1" customWidth="1"/>
    <col min="12303" max="12544" width="9.140625" style="69"/>
    <col min="12545" max="12545" width="5.5703125" style="69" customWidth="1"/>
    <col min="12546" max="12546" width="22.7109375" style="69" customWidth="1"/>
    <col min="12547" max="12547" width="10.140625" style="69" customWidth="1"/>
    <col min="12548" max="12548" width="8.85546875" style="69" customWidth="1"/>
    <col min="12549" max="12549" width="10.28515625" style="69" customWidth="1"/>
    <col min="12550" max="12553" width="8.85546875" style="69" customWidth="1"/>
    <col min="12554" max="12557" width="9.140625" style="69"/>
    <col min="12558" max="12558" width="14" style="69" bestFit="1" customWidth="1"/>
    <col min="12559" max="12800" width="9.140625" style="69"/>
    <col min="12801" max="12801" width="5.5703125" style="69" customWidth="1"/>
    <col min="12802" max="12802" width="22.7109375" style="69" customWidth="1"/>
    <col min="12803" max="12803" width="10.140625" style="69" customWidth="1"/>
    <col min="12804" max="12804" width="8.85546875" style="69" customWidth="1"/>
    <col min="12805" max="12805" width="10.28515625" style="69" customWidth="1"/>
    <col min="12806" max="12809" width="8.85546875" style="69" customWidth="1"/>
    <col min="12810" max="12813" width="9.140625" style="69"/>
    <col min="12814" max="12814" width="14" style="69" bestFit="1" customWidth="1"/>
    <col min="12815" max="13056" width="9.140625" style="69"/>
    <col min="13057" max="13057" width="5.5703125" style="69" customWidth="1"/>
    <col min="13058" max="13058" width="22.7109375" style="69" customWidth="1"/>
    <col min="13059" max="13059" width="10.140625" style="69" customWidth="1"/>
    <col min="13060" max="13060" width="8.85546875" style="69" customWidth="1"/>
    <col min="13061" max="13061" width="10.28515625" style="69" customWidth="1"/>
    <col min="13062" max="13065" width="8.85546875" style="69" customWidth="1"/>
    <col min="13066" max="13069" width="9.140625" style="69"/>
    <col min="13070" max="13070" width="14" style="69" bestFit="1" customWidth="1"/>
    <col min="13071" max="13312" width="9.140625" style="69"/>
    <col min="13313" max="13313" width="5.5703125" style="69" customWidth="1"/>
    <col min="13314" max="13314" width="22.7109375" style="69" customWidth="1"/>
    <col min="13315" max="13315" width="10.140625" style="69" customWidth="1"/>
    <col min="13316" max="13316" width="8.85546875" style="69" customWidth="1"/>
    <col min="13317" max="13317" width="10.28515625" style="69" customWidth="1"/>
    <col min="13318" max="13321" width="8.85546875" style="69" customWidth="1"/>
    <col min="13322" max="13325" width="9.140625" style="69"/>
    <col min="13326" max="13326" width="14" style="69" bestFit="1" customWidth="1"/>
    <col min="13327" max="13568" width="9.140625" style="69"/>
    <col min="13569" max="13569" width="5.5703125" style="69" customWidth="1"/>
    <col min="13570" max="13570" width="22.7109375" style="69" customWidth="1"/>
    <col min="13571" max="13571" width="10.140625" style="69" customWidth="1"/>
    <col min="13572" max="13572" width="8.85546875" style="69" customWidth="1"/>
    <col min="13573" max="13573" width="10.28515625" style="69" customWidth="1"/>
    <col min="13574" max="13577" width="8.85546875" style="69" customWidth="1"/>
    <col min="13578" max="13581" width="9.140625" style="69"/>
    <col min="13582" max="13582" width="14" style="69" bestFit="1" customWidth="1"/>
    <col min="13583" max="13824" width="9.140625" style="69"/>
    <col min="13825" max="13825" width="5.5703125" style="69" customWidth="1"/>
    <col min="13826" max="13826" width="22.7109375" style="69" customWidth="1"/>
    <col min="13827" max="13827" width="10.140625" style="69" customWidth="1"/>
    <col min="13828" max="13828" width="8.85546875" style="69" customWidth="1"/>
    <col min="13829" max="13829" width="10.28515625" style="69" customWidth="1"/>
    <col min="13830" max="13833" width="8.85546875" style="69" customWidth="1"/>
    <col min="13834" max="13837" width="9.140625" style="69"/>
    <col min="13838" max="13838" width="14" style="69" bestFit="1" customWidth="1"/>
    <col min="13839" max="14080" width="9.140625" style="69"/>
    <col min="14081" max="14081" width="5.5703125" style="69" customWidth="1"/>
    <col min="14082" max="14082" width="22.7109375" style="69" customWidth="1"/>
    <col min="14083" max="14083" width="10.140625" style="69" customWidth="1"/>
    <col min="14084" max="14084" width="8.85546875" style="69" customWidth="1"/>
    <col min="14085" max="14085" width="10.28515625" style="69" customWidth="1"/>
    <col min="14086" max="14089" width="8.85546875" style="69" customWidth="1"/>
    <col min="14090" max="14093" width="9.140625" style="69"/>
    <col min="14094" max="14094" width="14" style="69" bestFit="1" customWidth="1"/>
    <col min="14095" max="14336" width="9.140625" style="69"/>
    <col min="14337" max="14337" width="5.5703125" style="69" customWidth="1"/>
    <col min="14338" max="14338" width="22.7109375" style="69" customWidth="1"/>
    <col min="14339" max="14339" width="10.140625" style="69" customWidth="1"/>
    <col min="14340" max="14340" width="8.85546875" style="69" customWidth="1"/>
    <col min="14341" max="14341" width="10.28515625" style="69" customWidth="1"/>
    <col min="14342" max="14345" width="8.85546875" style="69" customWidth="1"/>
    <col min="14346" max="14349" width="9.140625" style="69"/>
    <col min="14350" max="14350" width="14" style="69" bestFit="1" customWidth="1"/>
    <col min="14351" max="14592" width="9.140625" style="69"/>
    <col min="14593" max="14593" width="5.5703125" style="69" customWidth="1"/>
    <col min="14594" max="14594" width="22.7109375" style="69" customWidth="1"/>
    <col min="14595" max="14595" width="10.140625" style="69" customWidth="1"/>
    <col min="14596" max="14596" width="8.85546875" style="69" customWidth="1"/>
    <col min="14597" max="14597" width="10.28515625" style="69" customWidth="1"/>
    <col min="14598" max="14601" width="8.85546875" style="69" customWidth="1"/>
    <col min="14602" max="14605" width="9.140625" style="69"/>
    <col min="14606" max="14606" width="14" style="69" bestFit="1" customWidth="1"/>
    <col min="14607" max="14848" width="9.140625" style="69"/>
    <col min="14849" max="14849" width="5.5703125" style="69" customWidth="1"/>
    <col min="14850" max="14850" width="22.7109375" style="69" customWidth="1"/>
    <col min="14851" max="14851" width="10.140625" style="69" customWidth="1"/>
    <col min="14852" max="14852" width="8.85546875" style="69" customWidth="1"/>
    <col min="14853" max="14853" width="10.28515625" style="69" customWidth="1"/>
    <col min="14854" max="14857" width="8.85546875" style="69" customWidth="1"/>
    <col min="14858" max="14861" width="9.140625" style="69"/>
    <col min="14862" max="14862" width="14" style="69" bestFit="1" customWidth="1"/>
    <col min="14863" max="15104" width="9.140625" style="69"/>
    <col min="15105" max="15105" width="5.5703125" style="69" customWidth="1"/>
    <col min="15106" max="15106" width="22.7109375" style="69" customWidth="1"/>
    <col min="15107" max="15107" width="10.140625" style="69" customWidth="1"/>
    <col min="15108" max="15108" width="8.85546875" style="69" customWidth="1"/>
    <col min="15109" max="15109" width="10.28515625" style="69" customWidth="1"/>
    <col min="15110" max="15113" width="8.85546875" style="69" customWidth="1"/>
    <col min="15114" max="15117" width="9.140625" style="69"/>
    <col min="15118" max="15118" width="14" style="69" bestFit="1" customWidth="1"/>
    <col min="15119" max="15360" width="9.140625" style="69"/>
    <col min="15361" max="15361" width="5.5703125" style="69" customWidth="1"/>
    <col min="15362" max="15362" width="22.7109375" style="69" customWidth="1"/>
    <col min="15363" max="15363" width="10.140625" style="69" customWidth="1"/>
    <col min="15364" max="15364" width="8.85546875" style="69" customWidth="1"/>
    <col min="15365" max="15365" width="10.28515625" style="69" customWidth="1"/>
    <col min="15366" max="15369" width="8.85546875" style="69" customWidth="1"/>
    <col min="15370" max="15373" width="9.140625" style="69"/>
    <col min="15374" max="15374" width="14" style="69" bestFit="1" customWidth="1"/>
    <col min="15375" max="15616" width="9.140625" style="69"/>
    <col min="15617" max="15617" width="5.5703125" style="69" customWidth="1"/>
    <col min="15618" max="15618" width="22.7109375" style="69" customWidth="1"/>
    <col min="15619" max="15619" width="10.140625" style="69" customWidth="1"/>
    <col min="15620" max="15620" width="8.85546875" style="69" customWidth="1"/>
    <col min="15621" max="15621" width="10.28515625" style="69" customWidth="1"/>
    <col min="15622" max="15625" width="8.85546875" style="69" customWidth="1"/>
    <col min="15626" max="15629" width="9.140625" style="69"/>
    <col min="15630" max="15630" width="14" style="69" bestFit="1" customWidth="1"/>
    <col min="15631" max="15872" width="9.140625" style="69"/>
    <col min="15873" max="15873" width="5.5703125" style="69" customWidth="1"/>
    <col min="15874" max="15874" width="22.7109375" style="69" customWidth="1"/>
    <col min="15875" max="15875" width="10.140625" style="69" customWidth="1"/>
    <col min="15876" max="15876" width="8.85546875" style="69" customWidth="1"/>
    <col min="15877" max="15877" width="10.28515625" style="69" customWidth="1"/>
    <col min="15878" max="15881" width="8.85546875" style="69" customWidth="1"/>
    <col min="15882" max="15885" width="9.140625" style="69"/>
    <col min="15886" max="15886" width="14" style="69" bestFit="1" customWidth="1"/>
    <col min="15887" max="16128" width="9.140625" style="69"/>
    <col min="16129" max="16129" width="5.5703125" style="69" customWidth="1"/>
    <col min="16130" max="16130" width="22.7109375" style="69" customWidth="1"/>
    <col min="16131" max="16131" width="10.140625" style="69" customWidth="1"/>
    <col min="16132" max="16132" width="8.85546875" style="69" customWidth="1"/>
    <col min="16133" max="16133" width="10.28515625" style="69" customWidth="1"/>
    <col min="16134" max="16137" width="8.85546875" style="69" customWidth="1"/>
    <col min="16138" max="16141" width="9.140625" style="69"/>
    <col min="16142" max="16142" width="14" style="69" bestFit="1" customWidth="1"/>
    <col min="16143" max="16384" width="9.140625" style="69"/>
  </cols>
  <sheetData>
    <row r="1" spans="1:14" ht="20.25" customHeight="1">
      <c r="A1" s="1768" t="s">
        <v>221</v>
      </c>
      <c r="B1" s="1768"/>
      <c r="I1" s="1774" t="s">
        <v>1393</v>
      </c>
      <c r="J1" s="1774"/>
      <c r="K1" s="1774"/>
    </row>
    <row r="2" spans="1:14" ht="26.25" customHeight="1">
      <c r="A2" s="1767" t="s">
        <v>226</v>
      </c>
      <c r="B2" s="1767"/>
      <c r="C2" s="1767"/>
      <c r="D2" s="1767"/>
      <c r="E2" s="1767"/>
      <c r="F2" s="1767"/>
      <c r="G2" s="1767"/>
      <c r="H2" s="1767"/>
      <c r="I2" s="1767"/>
      <c r="J2" s="1767"/>
      <c r="K2" s="1767"/>
    </row>
    <row r="3" spans="1:14" ht="15.75">
      <c r="A3" s="1760" t="e">
        <f>#REF!</f>
        <v>#REF!</v>
      </c>
      <c r="B3" s="1760"/>
      <c r="C3" s="1760"/>
      <c r="D3" s="1760"/>
      <c r="E3" s="1760"/>
      <c r="F3" s="1760"/>
      <c r="G3" s="1760"/>
      <c r="H3" s="1760"/>
      <c r="I3" s="1760"/>
      <c r="J3" s="1760"/>
      <c r="K3" s="1760"/>
    </row>
    <row r="4" spans="1:14" ht="15.75">
      <c r="A4" s="765"/>
      <c r="B4" s="765"/>
      <c r="C4" s="765"/>
      <c r="D4" s="765"/>
      <c r="E4" s="765"/>
      <c r="F4" s="765"/>
      <c r="G4" s="765"/>
      <c r="H4" s="765"/>
      <c r="I4" s="766"/>
      <c r="J4" s="765"/>
      <c r="K4" s="766" t="s">
        <v>5</v>
      </c>
      <c r="L4" s="765"/>
    </row>
    <row r="5" spans="1:14" ht="18.75" customHeight="1">
      <c r="A5" s="1773" t="s">
        <v>0</v>
      </c>
      <c r="B5" s="1773" t="s">
        <v>32</v>
      </c>
      <c r="C5" s="1773" t="s">
        <v>205</v>
      </c>
      <c r="D5" s="1773" t="s">
        <v>33</v>
      </c>
      <c r="E5" s="1773"/>
      <c r="F5" s="1773"/>
      <c r="G5" s="1773"/>
      <c r="H5" s="1773"/>
      <c r="I5" s="1773"/>
      <c r="J5" s="1773"/>
      <c r="K5" s="1773"/>
      <c r="L5" s="765"/>
    </row>
    <row r="6" spans="1:14" ht="78.75">
      <c r="A6" s="1773"/>
      <c r="B6" s="1773"/>
      <c r="C6" s="1773"/>
      <c r="D6" s="784" t="s">
        <v>206</v>
      </c>
      <c r="E6" s="784" t="s">
        <v>151</v>
      </c>
      <c r="F6" s="784" t="s">
        <v>1394</v>
      </c>
      <c r="G6" s="784" t="s">
        <v>152</v>
      </c>
      <c r="H6" s="784" t="s">
        <v>46</v>
      </c>
      <c r="I6" s="784" t="s">
        <v>207</v>
      </c>
      <c r="J6" s="784" t="s">
        <v>1395</v>
      </c>
      <c r="K6" s="784" t="s">
        <v>1396</v>
      </c>
      <c r="L6" s="765"/>
    </row>
    <row r="7" spans="1:14" ht="15.75">
      <c r="A7" s="784" t="s">
        <v>2</v>
      </c>
      <c r="B7" s="784" t="s">
        <v>3</v>
      </c>
      <c r="C7" s="784">
        <v>1</v>
      </c>
      <c r="D7" s="784">
        <v>2</v>
      </c>
      <c r="E7" s="784">
        <v>3</v>
      </c>
      <c r="F7" s="784">
        <v>4</v>
      </c>
      <c r="G7" s="784">
        <v>5</v>
      </c>
      <c r="H7" s="784">
        <v>6</v>
      </c>
      <c r="I7" s="784">
        <v>7</v>
      </c>
      <c r="J7" s="784">
        <v>8</v>
      </c>
      <c r="K7" s="784">
        <v>10</v>
      </c>
      <c r="L7" s="783">
        <f>K8-'[9]49-NĐ31'!$D$35</f>
        <v>17163.400000000001</v>
      </c>
    </row>
    <row r="8" spans="1:14" s="209" customFormat="1" ht="24.95" customHeight="1">
      <c r="A8" s="785"/>
      <c r="B8" s="785" t="s">
        <v>27</v>
      </c>
      <c r="C8" s="786" t="e">
        <f>SUM(D8:K8)</f>
        <v>#REF!</v>
      </c>
      <c r="D8" s="787">
        <f>SUM(D9:D16)</f>
        <v>303946</v>
      </c>
      <c r="E8" s="787" t="e">
        <f t="shared" ref="E8:J8" si="0">SUM(E9:E16)</f>
        <v>#REF!</v>
      </c>
      <c r="F8" s="787" t="e">
        <f t="shared" si="0"/>
        <v>#REF!</v>
      </c>
      <c r="G8" s="787">
        <f t="shared" si="0"/>
        <v>3585</v>
      </c>
      <c r="H8" s="787">
        <f t="shared" si="0"/>
        <v>213115</v>
      </c>
      <c r="I8" s="787">
        <f t="shared" si="0"/>
        <v>58691</v>
      </c>
      <c r="J8" s="787">
        <f t="shared" si="0"/>
        <v>9050</v>
      </c>
      <c r="K8" s="787">
        <f>SUM(K9:K16)</f>
        <v>26213.4</v>
      </c>
      <c r="L8" s="300" t="s">
        <v>1397</v>
      </c>
      <c r="M8" s="300"/>
      <c r="N8" s="214"/>
    </row>
    <row r="9" spans="1:14" s="209" customFormat="1" ht="24.95" customHeight="1">
      <c r="A9" s="788">
        <v>1</v>
      </c>
      <c r="B9" s="789" t="s">
        <v>233</v>
      </c>
      <c r="C9" s="790" t="e">
        <f>SUM(D9:K9)</f>
        <v>#REF!</v>
      </c>
      <c r="D9" s="790">
        <f>103425</f>
        <v>103425</v>
      </c>
      <c r="E9" s="790" t="e">
        <f>#REF!</f>
        <v>#REF!</v>
      </c>
      <c r="F9" s="790" t="e">
        <f>#REF!-G9</f>
        <v>#REF!</v>
      </c>
      <c r="G9" s="790">
        <v>373</v>
      </c>
      <c r="H9" s="790">
        <v>14338</v>
      </c>
      <c r="I9" s="790">
        <v>5992</v>
      </c>
      <c r="J9" s="790">
        <v>7</v>
      </c>
      <c r="K9" s="790">
        <v>9125</v>
      </c>
      <c r="L9" s="791" t="e">
        <f>C9-'B58'!H12</f>
        <v>#REF!</v>
      </c>
    </row>
    <row r="10" spans="1:14" s="209" customFormat="1" ht="24.95" customHeight="1">
      <c r="A10" s="788">
        <v>2</v>
      </c>
      <c r="B10" s="789" t="s">
        <v>234</v>
      </c>
      <c r="C10" s="790" t="e">
        <f t="shared" ref="C10:C16" si="1">SUM(D10:K10)</f>
        <v>#REF!</v>
      </c>
      <c r="D10" s="790">
        <f>14709</f>
        <v>14709</v>
      </c>
      <c r="E10" s="790" t="e">
        <f>#REF!</f>
        <v>#REF!</v>
      </c>
      <c r="F10" s="790" t="e">
        <f>#REF!-G10</f>
        <v>#REF!</v>
      </c>
      <c r="G10" s="790">
        <v>0</v>
      </c>
      <c r="H10" s="790">
        <v>10570</v>
      </c>
      <c r="I10" s="790">
        <v>3872</v>
      </c>
      <c r="J10" s="790">
        <v>73</v>
      </c>
      <c r="K10" s="790">
        <f>35</f>
        <v>35</v>
      </c>
      <c r="L10" s="791" t="e">
        <f>C10-'B58'!H13</f>
        <v>#REF!</v>
      </c>
    </row>
    <row r="11" spans="1:14" s="209" customFormat="1" ht="24.95" customHeight="1">
      <c r="A11" s="788">
        <v>3</v>
      </c>
      <c r="B11" s="789" t="s">
        <v>235</v>
      </c>
      <c r="C11" s="790" t="e">
        <f t="shared" si="1"/>
        <v>#REF!</v>
      </c>
      <c r="D11" s="790">
        <v>17099</v>
      </c>
      <c r="E11" s="790" t="e">
        <f>#REF!</f>
        <v>#REF!</v>
      </c>
      <c r="F11" s="790" t="e">
        <f>#REF!-G11</f>
        <v>#REF!</v>
      </c>
      <c r="G11" s="790">
        <v>0</v>
      </c>
      <c r="H11" s="790">
        <v>20468</v>
      </c>
      <c r="I11" s="790">
        <v>8037</v>
      </c>
      <c r="J11" s="790">
        <v>137</v>
      </c>
      <c r="K11" s="790"/>
      <c r="L11" s="791" t="e">
        <f>C11-'B58'!H14</f>
        <v>#REF!</v>
      </c>
    </row>
    <row r="12" spans="1:14" s="209" customFormat="1" ht="24.95" customHeight="1">
      <c r="A12" s="788">
        <v>4</v>
      </c>
      <c r="B12" s="789" t="s">
        <v>236</v>
      </c>
      <c r="C12" s="790" t="e">
        <f t="shared" si="1"/>
        <v>#REF!</v>
      </c>
      <c r="D12" s="790">
        <f>83774+16860</f>
        <v>100634</v>
      </c>
      <c r="E12" s="790" t="e">
        <f>#REF!</f>
        <v>#REF!</v>
      </c>
      <c r="F12" s="790" t="e">
        <f>#REF!-G12</f>
        <v>#REF!</v>
      </c>
      <c r="G12" s="790">
        <v>0</v>
      </c>
      <c r="H12" s="790">
        <v>32656</v>
      </c>
      <c r="I12" s="790">
        <v>15036</v>
      </c>
      <c r="J12" s="790">
        <v>5042</v>
      </c>
      <c r="K12" s="790">
        <v>2524</v>
      </c>
      <c r="L12" s="791" t="e">
        <f>C12-'B58'!H15</f>
        <v>#REF!</v>
      </c>
    </row>
    <row r="13" spans="1:14" s="209" customFormat="1" ht="24.95" customHeight="1">
      <c r="A13" s="788">
        <v>5</v>
      </c>
      <c r="B13" s="789" t="s">
        <v>237</v>
      </c>
      <c r="C13" s="790" t="e">
        <f t="shared" si="1"/>
        <v>#REF!</v>
      </c>
      <c r="D13" s="790">
        <v>19559</v>
      </c>
      <c r="E13" s="790" t="e">
        <f>#REF!</f>
        <v>#REF!</v>
      </c>
      <c r="F13" s="790" t="e">
        <f>#REF!-G13</f>
        <v>#REF!</v>
      </c>
      <c r="G13" s="790"/>
      <c r="H13" s="790">
        <v>41164</v>
      </c>
      <c r="I13" s="790">
        <v>8943</v>
      </c>
      <c r="J13" s="790">
        <v>897</v>
      </c>
      <c r="K13" s="790"/>
      <c r="L13" s="791" t="e">
        <f>C13-'B58'!H16</f>
        <v>#REF!</v>
      </c>
    </row>
    <row r="14" spans="1:14" s="209" customFormat="1" ht="24.95" customHeight="1">
      <c r="A14" s="788">
        <v>6</v>
      </c>
      <c r="B14" s="789" t="s">
        <v>238</v>
      </c>
      <c r="C14" s="790" t="e">
        <f t="shared" si="1"/>
        <v>#REF!</v>
      </c>
      <c r="D14" s="790">
        <v>13279</v>
      </c>
      <c r="E14" s="790" t="e">
        <f>#REF!</f>
        <v>#REF!</v>
      </c>
      <c r="F14" s="790" t="e">
        <f>#REF!-G14</f>
        <v>#REF!</v>
      </c>
      <c r="G14" s="790">
        <v>3212</v>
      </c>
      <c r="H14" s="790">
        <v>26406</v>
      </c>
      <c r="I14" s="790">
        <v>4387</v>
      </c>
      <c r="J14" s="790">
        <v>860</v>
      </c>
      <c r="K14" s="790"/>
      <c r="L14" s="791" t="e">
        <f>C14-'B58'!H17</f>
        <v>#REF!</v>
      </c>
    </row>
    <row r="15" spans="1:14" s="209" customFormat="1" ht="24.95" customHeight="1">
      <c r="A15" s="788">
        <v>7</v>
      </c>
      <c r="B15" s="789" t="s">
        <v>239</v>
      </c>
      <c r="C15" s="790" t="e">
        <f t="shared" si="1"/>
        <v>#REF!</v>
      </c>
      <c r="D15" s="790">
        <f>25720</f>
        <v>25720</v>
      </c>
      <c r="E15" s="790" t="e">
        <f>#REF!</f>
        <v>#REF!</v>
      </c>
      <c r="F15" s="790" t="e">
        <f>#REF!-G15</f>
        <v>#REF!</v>
      </c>
      <c r="G15" s="790">
        <v>0</v>
      </c>
      <c r="H15" s="790">
        <v>36576</v>
      </c>
      <c r="I15" s="790">
        <v>5781</v>
      </c>
      <c r="J15" s="790">
        <v>2034</v>
      </c>
      <c r="K15" s="790">
        <f>13600.4</f>
        <v>13600.4</v>
      </c>
      <c r="L15" s="791" t="e">
        <f>C15-'B58'!H18</f>
        <v>#REF!</v>
      </c>
    </row>
    <row r="16" spans="1:14" s="209" customFormat="1" ht="24.95" customHeight="1">
      <c r="A16" s="792">
        <v>8</v>
      </c>
      <c r="B16" s="793" t="s">
        <v>240</v>
      </c>
      <c r="C16" s="794" t="e">
        <f t="shared" si="1"/>
        <v>#REF!</v>
      </c>
      <c r="D16" s="794">
        <f>10450-929</f>
        <v>9521</v>
      </c>
      <c r="E16" s="794" t="e">
        <f>#REF!</f>
        <v>#REF!</v>
      </c>
      <c r="F16" s="794" t="e">
        <f>#REF!-G16</f>
        <v>#REF!</v>
      </c>
      <c r="G16" s="794"/>
      <c r="H16" s="794">
        <v>30937</v>
      </c>
      <c r="I16" s="794">
        <v>6643</v>
      </c>
      <c r="J16" s="794"/>
      <c r="K16" s="794">
        <v>929</v>
      </c>
      <c r="L16" s="791" t="e">
        <f>C16-'B58'!H19</f>
        <v>#REF!</v>
      </c>
    </row>
    <row r="17" spans="4:11" s="209" customFormat="1">
      <c r="D17" s="215"/>
      <c r="E17" s="215"/>
    </row>
    <row r="18" spans="4:11" ht="15.75">
      <c r="D18" s="211"/>
      <c r="H18" s="1685" t="s">
        <v>2031</v>
      </c>
      <c r="I18" s="1685"/>
      <c r="J18" s="1685"/>
      <c r="K18" s="1685"/>
    </row>
    <row r="19" spans="4:11" ht="18.75" customHeight="1">
      <c r="H19" s="1686" t="s">
        <v>222</v>
      </c>
      <c r="I19" s="1686"/>
      <c r="J19" s="1686"/>
      <c r="K19" s="1686"/>
    </row>
    <row r="20" spans="4:11" ht="18.75" customHeight="1">
      <c r="H20" s="1686" t="s">
        <v>223</v>
      </c>
      <c r="I20" s="1686"/>
      <c r="J20" s="1686"/>
      <c r="K20" s="1686"/>
    </row>
    <row r="21" spans="4:11" ht="15.75">
      <c r="H21" s="1682" t="s">
        <v>224</v>
      </c>
      <c r="I21" s="1682"/>
      <c r="J21" s="1682"/>
      <c r="K21" s="1682"/>
    </row>
  </sheetData>
  <mergeCells count="12">
    <mergeCell ref="A1:B1"/>
    <mergeCell ref="I1:K1"/>
    <mergeCell ref="H18:K18"/>
    <mergeCell ref="H19:K19"/>
    <mergeCell ref="H20:K20"/>
    <mergeCell ref="A3:K3"/>
    <mergeCell ref="H21:K21"/>
    <mergeCell ref="A2:K2"/>
    <mergeCell ref="A5:A6"/>
    <mergeCell ref="B5:B6"/>
    <mergeCell ref="C5:C6"/>
    <mergeCell ref="D5:K5"/>
  </mergeCells>
  <pageMargins left="0.51" right="0.43" top="0.36" bottom="0.45" header="0.3" footer="0.2"/>
  <pageSetup paperSize="9" firstPageNumber="40" orientation="landscape" useFirstPageNumber="1" r:id="rId1"/>
  <headerFooter>
    <oddFooter>&amp;C&amp;P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Y44"/>
  <sheetViews>
    <sheetView zoomScaleNormal="100" workbookViewId="0">
      <pane xSplit="2" ySplit="11" topLeftCell="C12" activePane="bottomRight" state="frozen"/>
      <selection pane="topRight" activeCell="C1" sqref="C1"/>
      <selection pane="bottomLeft" activeCell="A11" sqref="A11"/>
      <selection pane="bottomRight" activeCell="A3" sqref="A3:Y3"/>
    </sheetView>
  </sheetViews>
  <sheetFormatPr defaultColWidth="10.140625" defaultRowHeight="15"/>
  <cols>
    <col min="1" max="1" width="4" style="1574" customWidth="1"/>
    <col min="2" max="2" width="27.28515625" style="1574" customWidth="1"/>
    <col min="3" max="4" width="8.42578125" style="1574" customWidth="1"/>
    <col min="5" max="5" width="7.28515625" style="1574" customWidth="1"/>
    <col min="6" max="6" width="8.28515625" style="1574" customWidth="1"/>
    <col min="7" max="7" width="8.7109375" style="1574" customWidth="1"/>
    <col min="8" max="8" width="8.42578125" style="1574" customWidth="1"/>
    <col min="9" max="9" width="8.7109375" style="1574" customWidth="1"/>
    <col min="10" max="10" width="8.42578125" style="1574" customWidth="1"/>
    <col min="11" max="11" width="8.28515625" style="1574" customWidth="1"/>
    <col min="12" max="12" width="5.5703125" style="1574" customWidth="1"/>
    <col min="13" max="13" width="7.85546875" style="1574" bestFit="1" customWidth="1"/>
    <col min="14" max="14" width="7.5703125" style="1574" customWidth="1"/>
    <col min="15" max="15" width="5.85546875" style="1574" customWidth="1"/>
    <col min="16" max="18" width="8.85546875" style="1574" bestFit="1" customWidth="1"/>
    <col min="19" max="19" width="6.5703125" style="1574" customWidth="1"/>
    <col min="20" max="21" width="7.85546875" style="1574" bestFit="1" customWidth="1"/>
    <col min="22" max="22" width="5.7109375" style="1574" customWidth="1"/>
    <col min="23" max="23" width="6.7109375" style="1642" customWidth="1"/>
    <col min="24" max="24" width="6.85546875" style="1642" customWidth="1"/>
    <col min="25" max="25" width="6.7109375" style="1642" customWidth="1"/>
    <col min="26" max="256" width="10.140625" style="1574"/>
    <col min="257" max="257" width="4" style="1574" customWidth="1"/>
    <col min="258" max="258" width="27.28515625" style="1574" customWidth="1"/>
    <col min="259" max="260" width="8.42578125" style="1574" customWidth="1"/>
    <col min="261" max="261" width="7.28515625" style="1574" customWidth="1"/>
    <col min="262" max="262" width="8.28515625" style="1574" customWidth="1"/>
    <col min="263" max="263" width="8.7109375" style="1574" customWidth="1"/>
    <col min="264" max="264" width="8.42578125" style="1574" customWidth="1"/>
    <col min="265" max="265" width="8.7109375" style="1574" customWidth="1"/>
    <col min="266" max="266" width="8.42578125" style="1574" customWidth="1"/>
    <col min="267" max="267" width="8.28515625" style="1574" customWidth="1"/>
    <col min="268" max="268" width="5.5703125" style="1574" customWidth="1"/>
    <col min="269" max="269" width="7.85546875" style="1574" bestFit="1" customWidth="1"/>
    <col min="270" max="270" width="7.5703125" style="1574" customWidth="1"/>
    <col min="271" max="271" width="5.85546875" style="1574" customWidth="1"/>
    <col min="272" max="274" width="8.85546875" style="1574" bestFit="1" customWidth="1"/>
    <col min="275" max="275" width="6.5703125" style="1574" customWidth="1"/>
    <col min="276" max="277" width="7.85546875" style="1574" bestFit="1" customWidth="1"/>
    <col min="278" max="278" width="5.7109375" style="1574" customWidth="1"/>
    <col min="279" max="279" width="6.7109375" style="1574" customWidth="1"/>
    <col min="280" max="280" width="6.85546875" style="1574" customWidth="1"/>
    <col min="281" max="281" width="6.7109375" style="1574" customWidth="1"/>
    <col min="282" max="512" width="10.140625" style="1574"/>
    <col min="513" max="513" width="4" style="1574" customWidth="1"/>
    <col min="514" max="514" width="27.28515625" style="1574" customWidth="1"/>
    <col min="515" max="516" width="8.42578125" style="1574" customWidth="1"/>
    <col min="517" max="517" width="7.28515625" style="1574" customWidth="1"/>
    <col min="518" max="518" width="8.28515625" style="1574" customWidth="1"/>
    <col min="519" max="519" width="8.7109375" style="1574" customWidth="1"/>
    <col min="520" max="520" width="8.42578125" style="1574" customWidth="1"/>
    <col min="521" max="521" width="8.7109375" style="1574" customWidth="1"/>
    <col min="522" max="522" width="8.42578125" style="1574" customWidth="1"/>
    <col min="523" max="523" width="8.28515625" style="1574" customWidth="1"/>
    <col min="524" max="524" width="5.5703125" style="1574" customWidth="1"/>
    <col min="525" max="525" width="7.85546875" style="1574" bestFit="1" customWidth="1"/>
    <col min="526" max="526" width="7.5703125" style="1574" customWidth="1"/>
    <col min="527" max="527" width="5.85546875" style="1574" customWidth="1"/>
    <col min="528" max="530" width="8.85546875" style="1574" bestFit="1" customWidth="1"/>
    <col min="531" max="531" width="6.5703125" style="1574" customWidth="1"/>
    <col min="532" max="533" width="7.85546875" style="1574" bestFit="1" customWidth="1"/>
    <col min="534" max="534" width="5.7109375" style="1574" customWidth="1"/>
    <col min="535" max="535" width="6.7109375" style="1574" customWidth="1"/>
    <col min="536" max="536" width="6.85546875" style="1574" customWidth="1"/>
    <col min="537" max="537" width="6.7109375" style="1574" customWidth="1"/>
    <col min="538" max="768" width="10.140625" style="1574"/>
    <col min="769" max="769" width="4" style="1574" customWidth="1"/>
    <col min="770" max="770" width="27.28515625" style="1574" customWidth="1"/>
    <col min="771" max="772" width="8.42578125" style="1574" customWidth="1"/>
    <col min="773" max="773" width="7.28515625" style="1574" customWidth="1"/>
    <col min="774" max="774" width="8.28515625" style="1574" customWidth="1"/>
    <col min="775" max="775" width="8.7109375" style="1574" customWidth="1"/>
    <col min="776" max="776" width="8.42578125" style="1574" customWidth="1"/>
    <col min="777" max="777" width="8.7109375" style="1574" customWidth="1"/>
    <col min="778" max="778" width="8.42578125" style="1574" customWidth="1"/>
    <col min="779" max="779" width="8.28515625" style="1574" customWidth="1"/>
    <col min="780" max="780" width="5.5703125" style="1574" customWidth="1"/>
    <col min="781" max="781" width="7.85546875" style="1574" bestFit="1" customWidth="1"/>
    <col min="782" max="782" width="7.5703125" style="1574" customWidth="1"/>
    <col min="783" max="783" width="5.85546875" style="1574" customWidth="1"/>
    <col min="784" max="786" width="8.85546875" style="1574" bestFit="1" customWidth="1"/>
    <col min="787" max="787" width="6.5703125" style="1574" customWidth="1"/>
    <col min="788" max="789" width="7.85546875" style="1574" bestFit="1" customWidth="1"/>
    <col min="790" max="790" width="5.7109375" style="1574" customWidth="1"/>
    <col min="791" max="791" width="6.7109375" style="1574" customWidth="1"/>
    <col min="792" max="792" width="6.85546875" style="1574" customWidth="1"/>
    <col min="793" max="793" width="6.7109375" style="1574" customWidth="1"/>
    <col min="794" max="1024" width="10.140625" style="1574"/>
    <col min="1025" max="1025" width="4" style="1574" customWidth="1"/>
    <col min="1026" max="1026" width="27.28515625" style="1574" customWidth="1"/>
    <col min="1027" max="1028" width="8.42578125" style="1574" customWidth="1"/>
    <col min="1029" max="1029" width="7.28515625" style="1574" customWidth="1"/>
    <col min="1030" max="1030" width="8.28515625" style="1574" customWidth="1"/>
    <col min="1031" max="1031" width="8.7109375" style="1574" customWidth="1"/>
    <col min="1032" max="1032" width="8.42578125" style="1574" customWidth="1"/>
    <col min="1033" max="1033" width="8.7109375" style="1574" customWidth="1"/>
    <col min="1034" max="1034" width="8.42578125" style="1574" customWidth="1"/>
    <col min="1035" max="1035" width="8.28515625" style="1574" customWidth="1"/>
    <col min="1036" max="1036" width="5.5703125" style="1574" customWidth="1"/>
    <col min="1037" max="1037" width="7.85546875" style="1574" bestFit="1" customWidth="1"/>
    <col min="1038" max="1038" width="7.5703125" style="1574" customWidth="1"/>
    <col min="1039" max="1039" width="5.85546875" style="1574" customWidth="1"/>
    <col min="1040" max="1042" width="8.85546875" style="1574" bestFit="1" customWidth="1"/>
    <col min="1043" max="1043" width="6.5703125" style="1574" customWidth="1"/>
    <col min="1044" max="1045" width="7.85546875" style="1574" bestFit="1" customWidth="1"/>
    <col min="1046" max="1046" width="5.7109375" style="1574" customWidth="1"/>
    <col min="1047" max="1047" width="6.7109375" style="1574" customWidth="1"/>
    <col min="1048" max="1048" width="6.85546875" style="1574" customWidth="1"/>
    <col min="1049" max="1049" width="6.7109375" style="1574" customWidth="1"/>
    <col min="1050" max="1280" width="10.140625" style="1574"/>
    <col min="1281" max="1281" width="4" style="1574" customWidth="1"/>
    <col min="1282" max="1282" width="27.28515625" style="1574" customWidth="1"/>
    <col min="1283" max="1284" width="8.42578125" style="1574" customWidth="1"/>
    <col min="1285" max="1285" width="7.28515625" style="1574" customWidth="1"/>
    <col min="1286" max="1286" width="8.28515625" style="1574" customWidth="1"/>
    <col min="1287" max="1287" width="8.7109375" style="1574" customWidth="1"/>
    <col min="1288" max="1288" width="8.42578125" style="1574" customWidth="1"/>
    <col min="1289" max="1289" width="8.7109375" style="1574" customWidth="1"/>
    <col min="1290" max="1290" width="8.42578125" style="1574" customWidth="1"/>
    <col min="1291" max="1291" width="8.28515625" style="1574" customWidth="1"/>
    <col min="1292" max="1292" width="5.5703125" style="1574" customWidth="1"/>
    <col min="1293" max="1293" width="7.85546875" style="1574" bestFit="1" customWidth="1"/>
    <col min="1294" max="1294" width="7.5703125" style="1574" customWidth="1"/>
    <col min="1295" max="1295" width="5.85546875" style="1574" customWidth="1"/>
    <col min="1296" max="1298" width="8.85546875" style="1574" bestFit="1" customWidth="1"/>
    <col min="1299" max="1299" width="6.5703125" style="1574" customWidth="1"/>
    <col min="1300" max="1301" width="7.85546875" style="1574" bestFit="1" customWidth="1"/>
    <col min="1302" max="1302" width="5.7109375" style="1574" customWidth="1"/>
    <col min="1303" max="1303" width="6.7109375" style="1574" customWidth="1"/>
    <col min="1304" max="1304" width="6.85546875" style="1574" customWidth="1"/>
    <col min="1305" max="1305" width="6.7109375" style="1574" customWidth="1"/>
    <col min="1306" max="1536" width="10.140625" style="1574"/>
    <col min="1537" max="1537" width="4" style="1574" customWidth="1"/>
    <col min="1538" max="1538" width="27.28515625" style="1574" customWidth="1"/>
    <col min="1539" max="1540" width="8.42578125" style="1574" customWidth="1"/>
    <col min="1541" max="1541" width="7.28515625" style="1574" customWidth="1"/>
    <col min="1542" max="1542" width="8.28515625" style="1574" customWidth="1"/>
    <col min="1543" max="1543" width="8.7109375" style="1574" customWidth="1"/>
    <col min="1544" max="1544" width="8.42578125" style="1574" customWidth="1"/>
    <col min="1545" max="1545" width="8.7109375" style="1574" customWidth="1"/>
    <col min="1546" max="1546" width="8.42578125" style="1574" customWidth="1"/>
    <col min="1547" max="1547" width="8.28515625" style="1574" customWidth="1"/>
    <col min="1548" max="1548" width="5.5703125" style="1574" customWidth="1"/>
    <col min="1549" max="1549" width="7.85546875" style="1574" bestFit="1" customWidth="1"/>
    <col min="1550" max="1550" width="7.5703125" style="1574" customWidth="1"/>
    <col min="1551" max="1551" width="5.85546875" style="1574" customWidth="1"/>
    <col min="1552" max="1554" width="8.85546875" style="1574" bestFit="1" customWidth="1"/>
    <col min="1555" max="1555" width="6.5703125" style="1574" customWidth="1"/>
    <col min="1556" max="1557" width="7.85546875" style="1574" bestFit="1" customWidth="1"/>
    <col min="1558" max="1558" width="5.7109375" style="1574" customWidth="1"/>
    <col min="1559" max="1559" width="6.7109375" style="1574" customWidth="1"/>
    <col min="1560" max="1560" width="6.85546875" style="1574" customWidth="1"/>
    <col min="1561" max="1561" width="6.7109375" style="1574" customWidth="1"/>
    <col min="1562" max="1792" width="10.140625" style="1574"/>
    <col min="1793" max="1793" width="4" style="1574" customWidth="1"/>
    <col min="1794" max="1794" width="27.28515625" style="1574" customWidth="1"/>
    <col min="1795" max="1796" width="8.42578125" style="1574" customWidth="1"/>
    <col min="1797" max="1797" width="7.28515625" style="1574" customWidth="1"/>
    <col min="1798" max="1798" width="8.28515625" style="1574" customWidth="1"/>
    <col min="1799" max="1799" width="8.7109375" style="1574" customWidth="1"/>
    <col min="1800" max="1800" width="8.42578125" style="1574" customWidth="1"/>
    <col min="1801" max="1801" width="8.7109375" style="1574" customWidth="1"/>
    <col min="1802" max="1802" width="8.42578125" style="1574" customWidth="1"/>
    <col min="1803" max="1803" width="8.28515625" style="1574" customWidth="1"/>
    <col min="1804" max="1804" width="5.5703125" style="1574" customWidth="1"/>
    <col min="1805" max="1805" width="7.85546875" style="1574" bestFit="1" customWidth="1"/>
    <col min="1806" max="1806" width="7.5703125" style="1574" customWidth="1"/>
    <col min="1807" max="1807" width="5.85546875" style="1574" customWidth="1"/>
    <col min="1808" max="1810" width="8.85546875" style="1574" bestFit="1" customWidth="1"/>
    <col min="1811" max="1811" width="6.5703125" style="1574" customWidth="1"/>
    <col min="1812" max="1813" width="7.85546875" style="1574" bestFit="1" customWidth="1"/>
    <col min="1814" max="1814" width="5.7109375" style="1574" customWidth="1"/>
    <col min="1815" max="1815" width="6.7109375" style="1574" customWidth="1"/>
    <col min="1816" max="1816" width="6.85546875" style="1574" customWidth="1"/>
    <col min="1817" max="1817" width="6.7109375" style="1574" customWidth="1"/>
    <col min="1818" max="2048" width="10.140625" style="1574"/>
    <col min="2049" max="2049" width="4" style="1574" customWidth="1"/>
    <col min="2050" max="2050" width="27.28515625" style="1574" customWidth="1"/>
    <col min="2051" max="2052" width="8.42578125" style="1574" customWidth="1"/>
    <col min="2053" max="2053" width="7.28515625" style="1574" customWidth="1"/>
    <col min="2054" max="2054" width="8.28515625" style="1574" customWidth="1"/>
    <col min="2055" max="2055" width="8.7109375" style="1574" customWidth="1"/>
    <col min="2056" max="2056" width="8.42578125" style="1574" customWidth="1"/>
    <col min="2057" max="2057" width="8.7109375" style="1574" customWidth="1"/>
    <col min="2058" max="2058" width="8.42578125" style="1574" customWidth="1"/>
    <col min="2059" max="2059" width="8.28515625" style="1574" customWidth="1"/>
    <col min="2060" max="2060" width="5.5703125" style="1574" customWidth="1"/>
    <col min="2061" max="2061" width="7.85546875" style="1574" bestFit="1" customWidth="1"/>
    <col min="2062" max="2062" width="7.5703125" style="1574" customWidth="1"/>
    <col min="2063" max="2063" width="5.85546875" style="1574" customWidth="1"/>
    <col min="2064" max="2066" width="8.85546875" style="1574" bestFit="1" customWidth="1"/>
    <col min="2067" max="2067" width="6.5703125" style="1574" customWidth="1"/>
    <col min="2068" max="2069" width="7.85546875" style="1574" bestFit="1" customWidth="1"/>
    <col min="2070" max="2070" width="5.7109375" style="1574" customWidth="1"/>
    <col min="2071" max="2071" width="6.7109375" style="1574" customWidth="1"/>
    <col min="2072" max="2072" width="6.85546875" style="1574" customWidth="1"/>
    <col min="2073" max="2073" width="6.7109375" style="1574" customWidth="1"/>
    <col min="2074" max="2304" width="10.140625" style="1574"/>
    <col min="2305" max="2305" width="4" style="1574" customWidth="1"/>
    <col min="2306" max="2306" width="27.28515625" style="1574" customWidth="1"/>
    <col min="2307" max="2308" width="8.42578125" style="1574" customWidth="1"/>
    <col min="2309" max="2309" width="7.28515625" style="1574" customWidth="1"/>
    <col min="2310" max="2310" width="8.28515625" style="1574" customWidth="1"/>
    <col min="2311" max="2311" width="8.7109375" style="1574" customWidth="1"/>
    <col min="2312" max="2312" width="8.42578125" style="1574" customWidth="1"/>
    <col min="2313" max="2313" width="8.7109375" style="1574" customWidth="1"/>
    <col min="2314" max="2314" width="8.42578125" style="1574" customWidth="1"/>
    <col min="2315" max="2315" width="8.28515625" style="1574" customWidth="1"/>
    <col min="2316" max="2316" width="5.5703125" style="1574" customWidth="1"/>
    <col min="2317" max="2317" width="7.85546875" style="1574" bestFit="1" customWidth="1"/>
    <col min="2318" max="2318" width="7.5703125" style="1574" customWidth="1"/>
    <col min="2319" max="2319" width="5.85546875" style="1574" customWidth="1"/>
    <col min="2320" max="2322" width="8.85546875" style="1574" bestFit="1" customWidth="1"/>
    <col min="2323" max="2323" width="6.5703125" style="1574" customWidth="1"/>
    <col min="2324" max="2325" width="7.85546875" style="1574" bestFit="1" customWidth="1"/>
    <col min="2326" max="2326" width="5.7109375" style="1574" customWidth="1"/>
    <col min="2327" max="2327" width="6.7109375" style="1574" customWidth="1"/>
    <col min="2328" max="2328" width="6.85546875" style="1574" customWidth="1"/>
    <col min="2329" max="2329" width="6.7109375" style="1574" customWidth="1"/>
    <col min="2330" max="2560" width="10.140625" style="1574"/>
    <col min="2561" max="2561" width="4" style="1574" customWidth="1"/>
    <col min="2562" max="2562" width="27.28515625" style="1574" customWidth="1"/>
    <col min="2563" max="2564" width="8.42578125" style="1574" customWidth="1"/>
    <col min="2565" max="2565" width="7.28515625" style="1574" customWidth="1"/>
    <col min="2566" max="2566" width="8.28515625" style="1574" customWidth="1"/>
    <col min="2567" max="2567" width="8.7109375" style="1574" customWidth="1"/>
    <col min="2568" max="2568" width="8.42578125" style="1574" customWidth="1"/>
    <col min="2569" max="2569" width="8.7109375" style="1574" customWidth="1"/>
    <col min="2570" max="2570" width="8.42578125" style="1574" customWidth="1"/>
    <col min="2571" max="2571" width="8.28515625" style="1574" customWidth="1"/>
    <col min="2572" max="2572" width="5.5703125" style="1574" customWidth="1"/>
    <col min="2573" max="2573" width="7.85546875" style="1574" bestFit="1" customWidth="1"/>
    <col min="2574" max="2574" width="7.5703125" style="1574" customWidth="1"/>
    <col min="2575" max="2575" width="5.85546875" style="1574" customWidth="1"/>
    <col min="2576" max="2578" width="8.85546875" style="1574" bestFit="1" customWidth="1"/>
    <col min="2579" max="2579" width="6.5703125" style="1574" customWidth="1"/>
    <col min="2580" max="2581" width="7.85546875" style="1574" bestFit="1" customWidth="1"/>
    <col min="2582" max="2582" width="5.7109375" style="1574" customWidth="1"/>
    <col min="2583" max="2583" width="6.7109375" style="1574" customWidth="1"/>
    <col min="2584" max="2584" width="6.85546875" style="1574" customWidth="1"/>
    <col min="2585" max="2585" width="6.7109375" style="1574" customWidth="1"/>
    <col min="2586" max="2816" width="10.140625" style="1574"/>
    <col min="2817" max="2817" width="4" style="1574" customWidth="1"/>
    <col min="2818" max="2818" width="27.28515625" style="1574" customWidth="1"/>
    <col min="2819" max="2820" width="8.42578125" style="1574" customWidth="1"/>
    <col min="2821" max="2821" width="7.28515625" style="1574" customWidth="1"/>
    <col min="2822" max="2822" width="8.28515625" style="1574" customWidth="1"/>
    <col min="2823" max="2823" width="8.7109375" style="1574" customWidth="1"/>
    <col min="2824" max="2824" width="8.42578125" style="1574" customWidth="1"/>
    <col min="2825" max="2825" width="8.7109375" style="1574" customWidth="1"/>
    <col min="2826" max="2826" width="8.42578125" style="1574" customWidth="1"/>
    <col min="2827" max="2827" width="8.28515625" style="1574" customWidth="1"/>
    <col min="2828" max="2828" width="5.5703125" style="1574" customWidth="1"/>
    <col min="2829" max="2829" width="7.85546875" style="1574" bestFit="1" customWidth="1"/>
    <col min="2830" max="2830" width="7.5703125" style="1574" customWidth="1"/>
    <col min="2831" max="2831" width="5.85546875" style="1574" customWidth="1"/>
    <col min="2832" max="2834" width="8.85546875" style="1574" bestFit="1" customWidth="1"/>
    <col min="2835" max="2835" width="6.5703125" style="1574" customWidth="1"/>
    <col min="2836" max="2837" width="7.85546875" style="1574" bestFit="1" customWidth="1"/>
    <col min="2838" max="2838" width="5.7109375" style="1574" customWidth="1"/>
    <col min="2839" max="2839" width="6.7109375" style="1574" customWidth="1"/>
    <col min="2840" max="2840" width="6.85546875" style="1574" customWidth="1"/>
    <col min="2841" max="2841" width="6.7109375" style="1574" customWidth="1"/>
    <col min="2842" max="3072" width="10.140625" style="1574"/>
    <col min="3073" max="3073" width="4" style="1574" customWidth="1"/>
    <col min="3074" max="3074" width="27.28515625" style="1574" customWidth="1"/>
    <col min="3075" max="3076" width="8.42578125" style="1574" customWidth="1"/>
    <col min="3077" max="3077" width="7.28515625" style="1574" customWidth="1"/>
    <col min="3078" max="3078" width="8.28515625" style="1574" customWidth="1"/>
    <col min="3079" max="3079" width="8.7109375" style="1574" customWidth="1"/>
    <col min="3080" max="3080" width="8.42578125" style="1574" customWidth="1"/>
    <col min="3081" max="3081" width="8.7109375" style="1574" customWidth="1"/>
    <col min="3082" max="3082" width="8.42578125" style="1574" customWidth="1"/>
    <col min="3083" max="3083" width="8.28515625" style="1574" customWidth="1"/>
    <col min="3084" max="3084" width="5.5703125" style="1574" customWidth="1"/>
    <col min="3085" max="3085" width="7.85546875" style="1574" bestFit="1" customWidth="1"/>
    <col min="3086" max="3086" width="7.5703125" style="1574" customWidth="1"/>
    <col min="3087" max="3087" width="5.85546875" style="1574" customWidth="1"/>
    <col min="3088" max="3090" width="8.85546875" style="1574" bestFit="1" customWidth="1"/>
    <col min="3091" max="3091" width="6.5703125" style="1574" customWidth="1"/>
    <col min="3092" max="3093" width="7.85546875" style="1574" bestFit="1" customWidth="1"/>
    <col min="3094" max="3094" width="5.7109375" style="1574" customWidth="1"/>
    <col min="3095" max="3095" width="6.7109375" style="1574" customWidth="1"/>
    <col min="3096" max="3096" width="6.85546875" style="1574" customWidth="1"/>
    <col min="3097" max="3097" width="6.7109375" style="1574" customWidth="1"/>
    <col min="3098" max="3328" width="10.140625" style="1574"/>
    <col min="3329" max="3329" width="4" style="1574" customWidth="1"/>
    <col min="3330" max="3330" width="27.28515625" style="1574" customWidth="1"/>
    <col min="3331" max="3332" width="8.42578125" style="1574" customWidth="1"/>
    <col min="3333" max="3333" width="7.28515625" style="1574" customWidth="1"/>
    <col min="3334" max="3334" width="8.28515625" style="1574" customWidth="1"/>
    <col min="3335" max="3335" width="8.7109375" style="1574" customWidth="1"/>
    <col min="3336" max="3336" width="8.42578125" style="1574" customWidth="1"/>
    <col min="3337" max="3337" width="8.7109375" style="1574" customWidth="1"/>
    <col min="3338" max="3338" width="8.42578125" style="1574" customWidth="1"/>
    <col min="3339" max="3339" width="8.28515625" style="1574" customWidth="1"/>
    <col min="3340" max="3340" width="5.5703125" style="1574" customWidth="1"/>
    <col min="3341" max="3341" width="7.85546875" style="1574" bestFit="1" customWidth="1"/>
    <col min="3342" max="3342" width="7.5703125" style="1574" customWidth="1"/>
    <col min="3343" max="3343" width="5.85546875" style="1574" customWidth="1"/>
    <col min="3344" max="3346" width="8.85546875" style="1574" bestFit="1" customWidth="1"/>
    <col min="3347" max="3347" width="6.5703125" style="1574" customWidth="1"/>
    <col min="3348" max="3349" width="7.85546875" style="1574" bestFit="1" customWidth="1"/>
    <col min="3350" max="3350" width="5.7109375" style="1574" customWidth="1"/>
    <col min="3351" max="3351" width="6.7109375" style="1574" customWidth="1"/>
    <col min="3352" max="3352" width="6.85546875" style="1574" customWidth="1"/>
    <col min="3353" max="3353" width="6.7109375" style="1574" customWidth="1"/>
    <col min="3354" max="3584" width="10.140625" style="1574"/>
    <col min="3585" max="3585" width="4" style="1574" customWidth="1"/>
    <col min="3586" max="3586" width="27.28515625" style="1574" customWidth="1"/>
    <col min="3587" max="3588" width="8.42578125" style="1574" customWidth="1"/>
    <col min="3589" max="3589" width="7.28515625" style="1574" customWidth="1"/>
    <col min="3590" max="3590" width="8.28515625" style="1574" customWidth="1"/>
    <col min="3591" max="3591" width="8.7109375" style="1574" customWidth="1"/>
    <col min="3592" max="3592" width="8.42578125" style="1574" customWidth="1"/>
    <col min="3593" max="3593" width="8.7109375" style="1574" customWidth="1"/>
    <col min="3594" max="3594" width="8.42578125" style="1574" customWidth="1"/>
    <col min="3595" max="3595" width="8.28515625" style="1574" customWidth="1"/>
    <col min="3596" max="3596" width="5.5703125" style="1574" customWidth="1"/>
    <col min="3597" max="3597" width="7.85546875" style="1574" bestFit="1" customWidth="1"/>
    <col min="3598" max="3598" width="7.5703125" style="1574" customWidth="1"/>
    <col min="3599" max="3599" width="5.85546875" style="1574" customWidth="1"/>
    <col min="3600" max="3602" width="8.85546875" style="1574" bestFit="1" customWidth="1"/>
    <col min="3603" max="3603" width="6.5703125" style="1574" customWidth="1"/>
    <col min="3604" max="3605" width="7.85546875" style="1574" bestFit="1" customWidth="1"/>
    <col min="3606" max="3606" width="5.7109375" style="1574" customWidth="1"/>
    <col min="3607" max="3607" width="6.7109375" style="1574" customWidth="1"/>
    <col min="3608" max="3608" width="6.85546875" style="1574" customWidth="1"/>
    <col min="3609" max="3609" width="6.7109375" style="1574" customWidth="1"/>
    <col min="3610" max="3840" width="10.140625" style="1574"/>
    <col min="3841" max="3841" width="4" style="1574" customWidth="1"/>
    <col min="3842" max="3842" width="27.28515625" style="1574" customWidth="1"/>
    <col min="3843" max="3844" width="8.42578125" style="1574" customWidth="1"/>
    <col min="3845" max="3845" width="7.28515625" style="1574" customWidth="1"/>
    <col min="3846" max="3846" width="8.28515625" style="1574" customWidth="1"/>
    <col min="3847" max="3847" width="8.7109375" style="1574" customWidth="1"/>
    <col min="3848" max="3848" width="8.42578125" style="1574" customWidth="1"/>
    <col min="3849" max="3849" width="8.7109375" style="1574" customWidth="1"/>
    <col min="3850" max="3850" width="8.42578125" style="1574" customWidth="1"/>
    <col min="3851" max="3851" width="8.28515625" style="1574" customWidth="1"/>
    <col min="3852" max="3852" width="5.5703125" style="1574" customWidth="1"/>
    <col min="3853" max="3853" width="7.85546875" style="1574" bestFit="1" customWidth="1"/>
    <col min="3854" max="3854" width="7.5703125" style="1574" customWidth="1"/>
    <col min="3855" max="3855" width="5.85546875" style="1574" customWidth="1"/>
    <col min="3856" max="3858" width="8.85546875" style="1574" bestFit="1" customWidth="1"/>
    <col min="3859" max="3859" width="6.5703125" style="1574" customWidth="1"/>
    <col min="3860" max="3861" width="7.85546875" style="1574" bestFit="1" customWidth="1"/>
    <col min="3862" max="3862" width="5.7109375" style="1574" customWidth="1"/>
    <col min="3863" max="3863" width="6.7109375" style="1574" customWidth="1"/>
    <col min="3864" max="3864" width="6.85546875" style="1574" customWidth="1"/>
    <col min="3865" max="3865" width="6.7109375" style="1574" customWidth="1"/>
    <col min="3866" max="4096" width="10.140625" style="1574"/>
    <col min="4097" max="4097" width="4" style="1574" customWidth="1"/>
    <col min="4098" max="4098" width="27.28515625" style="1574" customWidth="1"/>
    <col min="4099" max="4100" width="8.42578125" style="1574" customWidth="1"/>
    <col min="4101" max="4101" width="7.28515625" style="1574" customWidth="1"/>
    <col min="4102" max="4102" width="8.28515625" style="1574" customWidth="1"/>
    <col min="4103" max="4103" width="8.7109375" style="1574" customWidth="1"/>
    <col min="4104" max="4104" width="8.42578125" style="1574" customWidth="1"/>
    <col min="4105" max="4105" width="8.7109375" style="1574" customWidth="1"/>
    <col min="4106" max="4106" width="8.42578125" style="1574" customWidth="1"/>
    <col min="4107" max="4107" width="8.28515625" style="1574" customWidth="1"/>
    <col min="4108" max="4108" width="5.5703125" style="1574" customWidth="1"/>
    <col min="4109" max="4109" width="7.85546875" style="1574" bestFit="1" customWidth="1"/>
    <col min="4110" max="4110" width="7.5703125" style="1574" customWidth="1"/>
    <col min="4111" max="4111" width="5.85546875" style="1574" customWidth="1"/>
    <col min="4112" max="4114" width="8.85546875" style="1574" bestFit="1" customWidth="1"/>
    <col min="4115" max="4115" width="6.5703125" style="1574" customWidth="1"/>
    <col min="4116" max="4117" width="7.85546875" style="1574" bestFit="1" customWidth="1"/>
    <col min="4118" max="4118" width="5.7109375" style="1574" customWidth="1"/>
    <col min="4119" max="4119" width="6.7109375" style="1574" customWidth="1"/>
    <col min="4120" max="4120" width="6.85546875" style="1574" customWidth="1"/>
    <col min="4121" max="4121" width="6.7109375" style="1574" customWidth="1"/>
    <col min="4122" max="4352" width="10.140625" style="1574"/>
    <col min="4353" max="4353" width="4" style="1574" customWidth="1"/>
    <col min="4354" max="4354" width="27.28515625" style="1574" customWidth="1"/>
    <col min="4355" max="4356" width="8.42578125" style="1574" customWidth="1"/>
    <col min="4357" max="4357" width="7.28515625" style="1574" customWidth="1"/>
    <col min="4358" max="4358" width="8.28515625" style="1574" customWidth="1"/>
    <col min="4359" max="4359" width="8.7109375" style="1574" customWidth="1"/>
    <col min="4360" max="4360" width="8.42578125" style="1574" customWidth="1"/>
    <col min="4361" max="4361" width="8.7109375" style="1574" customWidth="1"/>
    <col min="4362" max="4362" width="8.42578125" style="1574" customWidth="1"/>
    <col min="4363" max="4363" width="8.28515625" style="1574" customWidth="1"/>
    <col min="4364" max="4364" width="5.5703125" style="1574" customWidth="1"/>
    <col min="4365" max="4365" width="7.85546875" style="1574" bestFit="1" customWidth="1"/>
    <col min="4366" max="4366" width="7.5703125" style="1574" customWidth="1"/>
    <col min="4367" max="4367" width="5.85546875" style="1574" customWidth="1"/>
    <col min="4368" max="4370" width="8.85546875" style="1574" bestFit="1" customWidth="1"/>
    <col min="4371" max="4371" width="6.5703125" style="1574" customWidth="1"/>
    <col min="4372" max="4373" width="7.85546875" style="1574" bestFit="1" customWidth="1"/>
    <col min="4374" max="4374" width="5.7109375" style="1574" customWidth="1"/>
    <col min="4375" max="4375" width="6.7109375" style="1574" customWidth="1"/>
    <col min="4376" max="4376" width="6.85546875" style="1574" customWidth="1"/>
    <col min="4377" max="4377" width="6.7109375" style="1574" customWidth="1"/>
    <col min="4378" max="4608" width="10.140625" style="1574"/>
    <col min="4609" max="4609" width="4" style="1574" customWidth="1"/>
    <col min="4610" max="4610" width="27.28515625" style="1574" customWidth="1"/>
    <col min="4611" max="4612" width="8.42578125" style="1574" customWidth="1"/>
    <col min="4613" max="4613" width="7.28515625" style="1574" customWidth="1"/>
    <col min="4614" max="4614" width="8.28515625" style="1574" customWidth="1"/>
    <col min="4615" max="4615" width="8.7109375" style="1574" customWidth="1"/>
    <col min="4616" max="4616" width="8.42578125" style="1574" customWidth="1"/>
    <col min="4617" max="4617" width="8.7109375" style="1574" customWidth="1"/>
    <col min="4618" max="4618" width="8.42578125" style="1574" customWidth="1"/>
    <col min="4619" max="4619" width="8.28515625" style="1574" customWidth="1"/>
    <col min="4620" max="4620" width="5.5703125" style="1574" customWidth="1"/>
    <col min="4621" max="4621" width="7.85546875" style="1574" bestFit="1" customWidth="1"/>
    <col min="4622" max="4622" width="7.5703125" style="1574" customWidth="1"/>
    <col min="4623" max="4623" width="5.85546875" style="1574" customWidth="1"/>
    <col min="4624" max="4626" width="8.85546875" style="1574" bestFit="1" customWidth="1"/>
    <col min="4627" max="4627" width="6.5703125" style="1574" customWidth="1"/>
    <col min="4628" max="4629" width="7.85546875" style="1574" bestFit="1" customWidth="1"/>
    <col min="4630" max="4630" width="5.7109375" style="1574" customWidth="1"/>
    <col min="4631" max="4631" width="6.7109375" style="1574" customWidth="1"/>
    <col min="4632" max="4632" width="6.85546875" style="1574" customWidth="1"/>
    <col min="4633" max="4633" width="6.7109375" style="1574" customWidth="1"/>
    <col min="4634" max="4864" width="10.140625" style="1574"/>
    <col min="4865" max="4865" width="4" style="1574" customWidth="1"/>
    <col min="4866" max="4866" width="27.28515625" style="1574" customWidth="1"/>
    <col min="4867" max="4868" width="8.42578125" style="1574" customWidth="1"/>
    <col min="4869" max="4869" width="7.28515625" style="1574" customWidth="1"/>
    <col min="4870" max="4870" width="8.28515625" style="1574" customWidth="1"/>
    <col min="4871" max="4871" width="8.7109375" style="1574" customWidth="1"/>
    <col min="4872" max="4872" width="8.42578125" style="1574" customWidth="1"/>
    <col min="4873" max="4873" width="8.7109375" style="1574" customWidth="1"/>
    <col min="4874" max="4874" width="8.42578125" style="1574" customWidth="1"/>
    <col min="4875" max="4875" width="8.28515625" style="1574" customWidth="1"/>
    <col min="4876" max="4876" width="5.5703125" style="1574" customWidth="1"/>
    <col min="4877" max="4877" width="7.85546875" style="1574" bestFit="1" customWidth="1"/>
    <col min="4878" max="4878" width="7.5703125" style="1574" customWidth="1"/>
    <col min="4879" max="4879" width="5.85546875" style="1574" customWidth="1"/>
    <col min="4880" max="4882" width="8.85546875" style="1574" bestFit="1" customWidth="1"/>
    <col min="4883" max="4883" width="6.5703125" style="1574" customWidth="1"/>
    <col min="4884" max="4885" width="7.85546875" style="1574" bestFit="1" customWidth="1"/>
    <col min="4886" max="4886" width="5.7109375" style="1574" customWidth="1"/>
    <col min="4887" max="4887" width="6.7109375" style="1574" customWidth="1"/>
    <col min="4888" max="4888" width="6.85546875" style="1574" customWidth="1"/>
    <col min="4889" max="4889" width="6.7109375" style="1574" customWidth="1"/>
    <col min="4890" max="5120" width="10.140625" style="1574"/>
    <col min="5121" max="5121" width="4" style="1574" customWidth="1"/>
    <col min="5122" max="5122" width="27.28515625" style="1574" customWidth="1"/>
    <col min="5123" max="5124" width="8.42578125" style="1574" customWidth="1"/>
    <col min="5125" max="5125" width="7.28515625" style="1574" customWidth="1"/>
    <col min="5126" max="5126" width="8.28515625" style="1574" customWidth="1"/>
    <col min="5127" max="5127" width="8.7109375" style="1574" customWidth="1"/>
    <col min="5128" max="5128" width="8.42578125" style="1574" customWidth="1"/>
    <col min="5129" max="5129" width="8.7109375" style="1574" customWidth="1"/>
    <col min="5130" max="5130" width="8.42578125" style="1574" customWidth="1"/>
    <col min="5131" max="5131" width="8.28515625" style="1574" customWidth="1"/>
    <col min="5132" max="5132" width="5.5703125" style="1574" customWidth="1"/>
    <col min="5133" max="5133" width="7.85546875" style="1574" bestFit="1" customWidth="1"/>
    <col min="5134" max="5134" width="7.5703125" style="1574" customWidth="1"/>
    <col min="5135" max="5135" width="5.85546875" style="1574" customWidth="1"/>
    <col min="5136" max="5138" width="8.85546875" style="1574" bestFit="1" customWidth="1"/>
    <col min="5139" max="5139" width="6.5703125" style="1574" customWidth="1"/>
    <col min="5140" max="5141" width="7.85546875" style="1574" bestFit="1" customWidth="1"/>
    <col min="5142" max="5142" width="5.7109375" style="1574" customWidth="1"/>
    <col min="5143" max="5143" width="6.7109375" style="1574" customWidth="1"/>
    <col min="5144" max="5144" width="6.85546875" style="1574" customWidth="1"/>
    <col min="5145" max="5145" width="6.7109375" style="1574" customWidth="1"/>
    <col min="5146" max="5376" width="10.140625" style="1574"/>
    <col min="5377" max="5377" width="4" style="1574" customWidth="1"/>
    <col min="5378" max="5378" width="27.28515625" style="1574" customWidth="1"/>
    <col min="5379" max="5380" width="8.42578125" style="1574" customWidth="1"/>
    <col min="5381" max="5381" width="7.28515625" style="1574" customWidth="1"/>
    <col min="5382" max="5382" width="8.28515625" style="1574" customWidth="1"/>
    <col min="5383" max="5383" width="8.7109375" style="1574" customWidth="1"/>
    <col min="5384" max="5384" width="8.42578125" style="1574" customWidth="1"/>
    <col min="5385" max="5385" width="8.7109375" style="1574" customWidth="1"/>
    <col min="5386" max="5386" width="8.42578125" style="1574" customWidth="1"/>
    <col min="5387" max="5387" width="8.28515625" style="1574" customWidth="1"/>
    <col min="5388" max="5388" width="5.5703125" style="1574" customWidth="1"/>
    <col min="5389" max="5389" width="7.85546875" style="1574" bestFit="1" customWidth="1"/>
    <col min="5390" max="5390" width="7.5703125" style="1574" customWidth="1"/>
    <col min="5391" max="5391" width="5.85546875" style="1574" customWidth="1"/>
    <col min="5392" max="5394" width="8.85546875" style="1574" bestFit="1" customWidth="1"/>
    <col min="5395" max="5395" width="6.5703125" style="1574" customWidth="1"/>
    <col min="5396" max="5397" width="7.85546875" style="1574" bestFit="1" customWidth="1"/>
    <col min="5398" max="5398" width="5.7109375" style="1574" customWidth="1"/>
    <col min="5399" max="5399" width="6.7109375" style="1574" customWidth="1"/>
    <col min="5400" max="5400" width="6.85546875" style="1574" customWidth="1"/>
    <col min="5401" max="5401" width="6.7109375" style="1574" customWidth="1"/>
    <col min="5402" max="5632" width="10.140625" style="1574"/>
    <col min="5633" max="5633" width="4" style="1574" customWidth="1"/>
    <col min="5634" max="5634" width="27.28515625" style="1574" customWidth="1"/>
    <col min="5635" max="5636" width="8.42578125" style="1574" customWidth="1"/>
    <col min="5637" max="5637" width="7.28515625" style="1574" customWidth="1"/>
    <col min="5638" max="5638" width="8.28515625" style="1574" customWidth="1"/>
    <col min="5639" max="5639" width="8.7109375" style="1574" customWidth="1"/>
    <col min="5640" max="5640" width="8.42578125" style="1574" customWidth="1"/>
    <col min="5641" max="5641" width="8.7109375" style="1574" customWidth="1"/>
    <col min="5642" max="5642" width="8.42578125" style="1574" customWidth="1"/>
    <col min="5643" max="5643" width="8.28515625" style="1574" customWidth="1"/>
    <col min="5644" max="5644" width="5.5703125" style="1574" customWidth="1"/>
    <col min="5645" max="5645" width="7.85546875" style="1574" bestFit="1" customWidth="1"/>
    <col min="5646" max="5646" width="7.5703125" style="1574" customWidth="1"/>
    <col min="5647" max="5647" width="5.85546875" style="1574" customWidth="1"/>
    <col min="5648" max="5650" width="8.85546875" style="1574" bestFit="1" customWidth="1"/>
    <col min="5651" max="5651" width="6.5703125" style="1574" customWidth="1"/>
    <col min="5652" max="5653" width="7.85546875" style="1574" bestFit="1" customWidth="1"/>
    <col min="5654" max="5654" width="5.7109375" style="1574" customWidth="1"/>
    <col min="5655" max="5655" width="6.7109375" style="1574" customWidth="1"/>
    <col min="5656" max="5656" width="6.85546875" style="1574" customWidth="1"/>
    <col min="5657" max="5657" width="6.7109375" style="1574" customWidth="1"/>
    <col min="5658" max="5888" width="10.140625" style="1574"/>
    <col min="5889" max="5889" width="4" style="1574" customWidth="1"/>
    <col min="5890" max="5890" width="27.28515625" style="1574" customWidth="1"/>
    <col min="5891" max="5892" width="8.42578125" style="1574" customWidth="1"/>
    <col min="5893" max="5893" width="7.28515625" style="1574" customWidth="1"/>
    <col min="5894" max="5894" width="8.28515625" style="1574" customWidth="1"/>
    <col min="5895" max="5895" width="8.7109375" style="1574" customWidth="1"/>
    <col min="5896" max="5896" width="8.42578125" style="1574" customWidth="1"/>
    <col min="5897" max="5897" width="8.7109375" style="1574" customWidth="1"/>
    <col min="5898" max="5898" width="8.42578125" style="1574" customWidth="1"/>
    <col min="5899" max="5899" width="8.28515625" style="1574" customWidth="1"/>
    <col min="5900" max="5900" width="5.5703125" style="1574" customWidth="1"/>
    <col min="5901" max="5901" width="7.85546875" style="1574" bestFit="1" customWidth="1"/>
    <col min="5902" max="5902" width="7.5703125" style="1574" customWidth="1"/>
    <col min="5903" max="5903" width="5.85546875" style="1574" customWidth="1"/>
    <col min="5904" max="5906" width="8.85546875" style="1574" bestFit="1" customWidth="1"/>
    <col min="5907" max="5907" width="6.5703125" style="1574" customWidth="1"/>
    <col min="5908" max="5909" width="7.85546875" style="1574" bestFit="1" customWidth="1"/>
    <col min="5910" max="5910" width="5.7109375" style="1574" customWidth="1"/>
    <col min="5911" max="5911" width="6.7109375" style="1574" customWidth="1"/>
    <col min="5912" max="5912" width="6.85546875" style="1574" customWidth="1"/>
    <col min="5913" max="5913" width="6.7109375" style="1574" customWidth="1"/>
    <col min="5914" max="6144" width="10.140625" style="1574"/>
    <col min="6145" max="6145" width="4" style="1574" customWidth="1"/>
    <col min="6146" max="6146" width="27.28515625" style="1574" customWidth="1"/>
    <col min="6147" max="6148" width="8.42578125" style="1574" customWidth="1"/>
    <col min="6149" max="6149" width="7.28515625" style="1574" customWidth="1"/>
    <col min="6150" max="6150" width="8.28515625" style="1574" customWidth="1"/>
    <col min="6151" max="6151" width="8.7109375" style="1574" customWidth="1"/>
    <col min="6152" max="6152" width="8.42578125" style="1574" customWidth="1"/>
    <col min="6153" max="6153" width="8.7109375" style="1574" customWidth="1"/>
    <col min="6154" max="6154" width="8.42578125" style="1574" customWidth="1"/>
    <col min="6155" max="6155" width="8.28515625" style="1574" customWidth="1"/>
    <col min="6156" max="6156" width="5.5703125" style="1574" customWidth="1"/>
    <col min="6157" max="6157" width="7.85546875" style="1574" bestFit="1" customWidth="1"/>
    <col min="6158" max="6158" width="7.5703125" style="1574" customWidth="1"/>
    <col min="6159" max="6159" width="5.85546875" style="1574" customWidth="1"/>
    <col min="6160" max="6162" width="8.85546875" style="1574" bestFit="1" customWidth="1"/>
    <col min="6163" max="6163" width="6.5703125" style="1574" customWidth="1"/>
    <col min="6164" max="6165" width="7.85546875" style="1574" bestFit="1" customWidth="1"/>
    <col min="6166" max="6166" width="5.7109375" style="1574" customWidth="1"/>
    <col min="6167" max="6167" width="6.7109375" style="1574" customWidth="1"/>
    <col min="6168" max="6168" width="6.85546875" style="1574" customWidth="1"/>
    <col min="6169" max="6169" width="6.7109375" style="1574" customWidth="1"/>
    <col min="6170" max="6400" width="10.140625" style="1574"/>
    <col min="6401" max="6401" width="4" style="1574" customWidth="1"/>
    <col min="6402" max="6402" width="27.28515625" style="1574" customWidth="1"/>
    <col min="6403" max="6404" width="8.42578125" style="1574" customWidth="1"/>
    <col min="6405" max="6405" width="7.28515625" style="1574" customWidth="1"/>
    <col min="6406" max="6406" width="8.28515625" style="1574" customWidth="1"/>
    <col min="6407" max="6407" width="8.7109375" style="1574" customWidth="1"/>
    <col min="6408" max="6408" width="8.42578125" style="1574" customWidth="1"/>
    <col min="6409" max="6409" width="8.7109375" style="1574" customWidth="1"/>
    <col min="6410" max="6410" width="8.42578125" style="1574" customWidth="1"/>
    <col min="6411" max="6411" width="8.28515625" style="1574" customWidth="1"/>
    <col min="6412" max="6412" width="5.5703125" style="1574" customWidth="1"/>
    <col min="6413" max="6413" width="7.85546875" style="1574" bestFit="1" customWidth="1"/>
    <col min="6414" max="6414" width="7.5703125" style="1574" customWidth="1"/>
    <col min="6415" max="6415" width="5.85546875" style="1574" customWidth="1"/>
    <col min="6416" max="6418" width="8.85546875" style="1574" bestFit="1" customWidth="1"/>
    <col min="6419" max="6419" width="6.5703125" style="1574" customWidth="1"/>
    <col min="6420" max="6421" width="7.85546875" style="1574" bestFit="1" customWidth="1"/>
    <col min="6422" max="6422" width="5.7109375" style="1574" customWidth="1"/>
    <col min="6423" max="6423" width="6.7109375" style="1574" customWidth="1"/>
    <col min="6424" max="6424" width="6.85546875" style="1574" customWidth="1"/>
    <col min="6425" max="6425" width="6.7109375" style="1574" customWidth="1"/>
    <col min="6426" max="6656" width="10.140625" style="1574"/>
    <col min="6657" max="6657" width="4" style="1574" customWidth="1"/>
    <col min="6658" max="6658" width="27.28515625" style="1574" customWidth="1"/>
    <col min="6659" max="6660" width="8.42578125" style="1574" customWidth="1"/>
    <col min="6661" max="6661" width="7.28515625" style="1574" customWidth="1"/>
    <col min="6662" max="6662" width="8.28515625" style="1574" customWidth="1"/>
    <col min="6663" max="6663" width="8.7109375" style="1574" customWidth="1"/>
    <col min="6664" max="6664" width="8.42578125" style="1574" customWidth="1"/>
    <col min="6665" max="6665" width="8.7109375" style="1574" customWidth="1"/>
    <col min="6666" max="6666" width="8.42578125" style="1574" customWidth="1"/>
    <col min="6667" max="6667" width="8.28515625" style="1574" customWidth="1"/>
    <col min="6668" max="6668" width="5.5703125" style="1574" customWidth="1"/>
    <col min="6669" max="6669" width="7.85546875" style="1574" bestFit="1" customWidth="1"/>
    <col min="6670" max="6670" width="7.5703125" style="1574" customWidth="1"/>
    <col min="6671" max="6671" width="5.85546875" style="1574" customWidth="1"/>
    <col min="6672" max="6674" width="8.85546875" style="1574" bestFit="1" customWidth="1"/>
    <col min="6675" max="6675" width="6.5703125" style="1574" customWidth="1"/>
    <col min="6676" max="6677" width="7.85546875" style="1574" bestFit="1" customWidth="1"/>
    <col min="6678" max="6678" width="5.7109375" style="1574" customWidth="1"/>
    <col min="6679" max="6679" width="6.7109375" style="1574" customWidth="1"/>
    <col min="6680" max="6680" width="6.85546875" style="1574" customWidth="1"/>
    <col min="6681" max="6681" width="6.7109375" style="1574" customWidth="1"/>
    <col min="6682" max="6912" width="10.140625" style="1574"/>
    <col min="6913" max="6913" width="4" style="1574" customWidth="1"/>
    <col min="6914" max="6914" width="27.28515625" style="1574" customWidth="1"/>
    <col min="6915" max="6916" width="8.42578125" style="1574" customWidth="1"/>
    <col min="6917" max="6917" width="7.28515625" style="1574" customWidth="1"/>
    <col min="6918" max="6918" width="8.28515625" style="1574" customWidth="1"/>
    <col min="6919" max="6919" width="8.7109375" style="1574" customWidth="1"/>
    <col min="6920" max="6920" width="8.42578125" style="1574" customWidth="1"/>
    <col min="6921" max="6921" width="8.7109375" style="1574" customWidth="1"/>
    <col min="6922" max="6922" width="8.42578125" style="1574" customWidth="1"/>
    <col min="6923" max="6923" width="8.28515625" style="1574" customWidth="1"/>
    <col min="6924" max="6924" width="5.5703125" style="1574" customWidth="1"/>
    <col min="6925" max="6925" width="7.85546875" style="1574" bestFit="1" customWidth="1"/>
    <col min="6926" max="6926" width="7.5703125" style="1574" customWidth="1"/>
    <col min="6927" max="6927" width="5.85546875" style="1574" customWidth="1"/>
    <col min="6928" max="6930" width="8.85546875" style="1574" bestFit="1" customWidth="1"/>
    <col min="6931" max="6931" width="6.5703125" style="1574" customWidth="1"/>
    <col min="6932" max="6933" width="7.85546875" style="1574" bestFit="1" customWidth="1"/>
    <col min="6934" max="6934" width="5.7109375" style="1574" customWidth="1"/>
    <col min="6935" max="6935" width="6.7109375" style="1574" customWidth="1"/>
    <col min="6936" max="6936" width="6.85546875" style="1574" customWidth="1"/>
    <col min="6937" max="6937" width="6.7109375" style="1574" customWidth="1"/>
    <col min="6938" max="7168" width="10.140625" style="1574"/>
    <col min="7169" max="7169" width="4" style="1574" customWidth="1"/>
    <col min="7170" max="7170" width="27.28515625" style="1574" customWidth="1"/>
    <col min="7171" max="7172" width="8.42578125" style="1574" customWidth="1"/>
    <col min="7173" max="7173" width="7.28515625" style="1574" customWidth="1"/>
    <col min="7174" max="7174" width="8.28515625" style="1574" customWidth="1"/>
    <col min="7175" max="7175" width="8.7109375" style="1574" customWidth="1"/>
    <col min="7176" max="7176" width="8.42578125" style="1574" customWidth="1"/>
    <col min="7177" max="7177" width="8.7109375" style="1574" customWidth="1"/>
    <col min="7178" max="7178" width="8.42578125" style="1574" customWidth="1"/>
    <col min="7179" max="7179" width="8.28515625" style="1574" customWidth="1"/>
    <col min="7180" max="7180" width="5.5703125" style="1574" customWidth="1"/>
    <col min="7181" max="7181" width="7.85546875" style="1574" bestFit="1" customWidth="1"/>
    <col min="7182" max="7182" width="7.5703125" style="1574" customWidth="1"/>
    <col min="7183" max="7183" width="5.85546875" style="1574" customWidth="1"/>
    <col min="7184" max="7186" width="8.85546875" style="1574" bestFit="1" customWidth="1"/>
    <col min="7187" max="7187" width="6.5703125" style="1574" customWidth="1"/>
    <col min="7188" max="7189" width="7.85546875" style="1574" bestFit="1" customWidth="1"/>
    <col min="7190" max="7190" width="5.7109375" style="1574" customWidth="1"/>
    <col min="7191" max="7191" width="6.7109375" style="1574" customWidth="1"/>
    <col min="7192" max="7192" width="6.85546875" style="1574" customWidth="1"/>
    <col min="7193" max="7193" width="6.7109375" style="1574" customWidth="1"/>
    <col min="7194" max="7424" width="10.140625" style="1574"/>
    <col min="7425" max="7425" width="4" style="1574" customWidth="1"/>
    <col min="7426" max="7426" width="27.28515625" style="1574" customWidth="1"/>
    <col min="7427" max="7428" width="8.42578125" style="1574" customWidth="1"/>
    <col min="7429" max="7429" width="7.28515625" style="1574" customWidth="1"/>
    <col min="7430" max="7430" width="8.28515625" style="1574" customWidth="1"/>
    <col min="7431" max="7431" width="8.7109375" style="1574" customWidth="1"/>
    <col min="7432" max="7432" width="8.42578125" style="1574" customWidth="1"/>
    <col min="7433" max="7433" width="8.7109375" style="1574" customWidth="1"/>
    <col min="7434" max="7434" width="8.42578125" style="1574" customWidth="1"/>
    <col min="7435" max="7435" width="8.28515625" style="1574" customWidth="1"/>
    <col min="7436" max="7436" width="5.5703125" style="1574" customWidth="1"/>
    <col min="7437" max="7437" width="7.85546875" style="1574" bestFit="1" customWidth="1"/>
    <col min="7438" max="7438" width="7.5703125" style="1574" customWidth="1"/>
    <col min="7439" max="7439" width="5.85546875" style="1574" customWidth="1"/>
    <col min="7440" max="7442" width="8.85546875" style="1574" bestFit="1" customWidth="1"/>
    <col min="7443" max="7443" width="6.5703125" style="1574" customWidth="1"/>
    <col min="7444" max="7445" width="7.85546875" style="1574" bestFit="1" customWidth="1"/>
    <col min="7446" max="7446" width="5.7109375" style="1574" customWidth="1"/>
    <col min="7447" max="7447" width="6.7109375" style="1574" customWidth="1"/>
    <col min="7448" max="7448" width="6.85546875" style="1574" customWidth="1"/>
    <col min="7449" max="7449" width="6.7109375" style="1574" customWidth="1"/>
    <col min="7450" max="7680" width="10.140625" style="1574"/>
    <col min="7681" max="7681" width="4" style="1574" customWidth="1"/>
    <col min="7682" max="7682" width="27.28515625" style="1574" customWidth="1"/>
    <col min="7683" max="7684" width="8.42578125" style="1574" customWidth="1"/>
    <col min="7685" max="7685" width="7.28515625" style="1574" customWidth="1"/>
    <col min="7686" max="7686" width="8.28515625" style="1574" customWidth="1"/>
    <col min="7687" max="7687" width="8.7109375" style="1574" customWidth="1"/>
    <col min="7688" max="7688" width="8.42578125" style="1574" customWidth="1"/>
    <col min="7689" max="7689" width="8.7109375" style="1574" customWidth="1"/>
    <col min="7690" max="7690" width="8.42578125" style="1574" customWidth="1"/>
    <col min="7691" max="7691" width="8.28515625" style="1574" customWidth="1"/>
    <col min="7692" max="7692" width="5.5703125" style="1574" customWidth="1"/>
    <col min="7693" max="7693" width="7.85546875" style="1574" bestFit="1" customWidth="1"/>
    <col min="7694" max="7694" width="7.5703125" style="1574" customWidth="1"/>
    <col min="7695" max="7695" width="5.85546875" style="1574" customWidth="1"/>
    <col min="7696" max="7698" width="8.85546875" style="1574" bestFit="1" customWidth="1"/>
    <col min="7699" max="7699" width="6.5703125" style="1574" customWidth="1"/>
    <col min="7700" max="7701" width="7.85546875" style="1574" bestFit="1" customWidth="1"/>
    <col min="7702" max="7702" width="5.7109375" style="1574" customWidth="1"/>
    <col min="7703" max="7703" width="6.7109375" style="1574" customWidth="1"/>
    <col min="7704" max="7704" width="6.85546875" style="1574" customWidth="1"/>
    <col min="7705" max="7705" width="6.7109375" style="1574" customWidth="1"/>
    <col min="7706" max="7936" width="10.140625" style="1574"/>
    <col min="7937" max="7937" width="4" style="1574" customWidth="1"/>
    <col min="7938" max="7938" width="27.28515625" style="1574" customWidth="1"/>
    <col min="7939" max="7940" width="8.42578125" style="1574" customWidth="1"/>
    <col min="7941" max="7941" width="7.28515625" style="1574" customWidth="1"/>
    <col min="7942" max="7942" width="8.28515625" style="1574" customWidth="1"/>
    <col min="7943" max="7943" width="8.7109375" style="1574" customWidth="1"/>
    <col min="7944" max="7944" width="8.42578125" style="1574" customWidth="1"/>
    <col min="7945" max="7945" width="8.7109375" style="1574" customWidth="1"/>
    <col min="7946" max="7946" width="8.42578125" style="1574" customWidth="1"/>
    <col min="7947" max="7947" width="8.28515625" style="1574" customWidth="1"/>
    <col min="7948" max="7948" width="5.5703125" style="1574" customWidth="1"/>
    <col min="7949" max="7949" width="7.85546875" style="1574" bestFit="1" customWidth="1"/>
    <col min="7950" max="7950" width="7.5703125" style="1574" customWidth="1"/>
    <col min="7951" max="7951" width="5.85546875" style="1574" customWidth="1"/>
    <col min="7952" max="7954" width="8.85546875" style="1574" bestFit="1" customWidth="1"/>
    <col min="7955" max="7955" width="6.5703125" style="1574" customWidth="1"/>
    <col min="7956" max="7957" width="7.85546875" style="1574" bestFit="1" customWidth="1"/>
    <col min="7958" max="7958" width="5.7109375" style="1574" customWidth="1"/>
    <col min="7959" max="7959" width="6.7109375" style="1574" customWidth="1"/>
    <col min="7960" max="7960" width="6.85546875" style="1574" customWidth="1"/>
    <col min="7961" max="7961" width="6.7109375" style="1574" customWidth="1"/>
    <col min="7962" max="8192" width="10.140625" style="1574"/>
    <col min="8193" max="8193" width="4" style="1574" customWidth="1"/>
    <col min="8194" max="8194" width="27.28515625" style="1574" customWidth="1"/>
    <col min="8195" max="8196" width="8.42578125" style="1574" customWidth="1"/>
    <col min="8197" max="8197" width="7.28515625" style="1574" customWidth="1"/>
    <col min="8198" max="8198" width="8.28515625" style="1574" customWidth="1"/>
    <col min="8199" max="8199" width="8.7109375" style="1574" customWidth="1"/>
    <col min="8200" max="8200" width="8.42578125" style="1574" customWidth="1"/>
    <col min="8201" max="8201" width="8.7109375" style="1574" customWidth="1"/>
    <col min="8202" max="8202" width="8.42578125" style="1574" customWidth="1"/>
    <col min="8203" max="8203" width="8.28515625" style="1574" customWidth="1"/>
    <col min="8204" max="8204" width="5.5703125" style="1574" customWidth="1"/>
    <col min="8205" max="8205" width="7.85546875" style="1574" bestFit="1" customWidth="1"/>
    <col min="8206" max="8206" width="7.5703125" style="1574" customWidth="1"/>
    <col min="8207" max="8207" width="5.85546875" style="1574" customWidth="1"/>
    <col min="8208" max="8210" width="8.85546875" style="1574" bestFit="1" customWidth="1"/>
    <col min="8211" max="8211" width="6.5703125" style="1574" customWidth="1"/>
    <col min="8212" max="8213" width="7.85546875" style="1574" bestFit="1" customWidth="1"/>
    <col min="8214" max="8214" width="5.7109375" style="1574" customWidth="1"/>
    <col min="8215" max="8215" width="6.7109375" style="1574" customWidth="1"/>
    <col min="8216" max="8216" width="6.85546875" style="1574" customWidth="1"/>
    <col min="8217" max="8217" width="6.7109375" style="1574" customWidth="1"/>
    <col min="8218" max="8448" width="10.140625" style="1574"/>
    <col min="8449" max="8449" width="4" style="1574" customWidth="1"/>
    <col min="8450" max="8450" width="27.28515625" style="1574" customWidth="1"/>
    <col min="8451" max="8452" width="8.42578125" style="1574" customWidth="1"/>
    <col min="8453" max="8453" width="7.28515625" style="1574" customWidth="1"/>
    <col min="8454" max="8454" width="8.28515625" style="1574" customWidth="1"/>
    <col min="8455" max="8455" width="8.7109375" style="1574" customWidth="1"/>
    <col min="8456" max="8456" width="8.42578125" style="1574" customWidth="1"/>
    <col min="8457" max="8457" width="8.7109375" style="1574" customWidth="1"/>
    <col min="8458" max="8458" width="8.42578125" style="1574" customWidth="1"/>
    <col min="8459" max="8459" width="8.28515625" style="1574" customWidth="1"/>
    <col min="8460" max="8460" width="5.5703125" style="1574" customWidth="1"/>
    <col min="8461" max="8461" width="7.85546875" style="1574" bestFit="1" customWidth="1"/>
    <col min="8462" max="8462" width="7.5703125" style="1574" customWidth="1"/>
    <col min="8463" max="8463" width="5.85546875" style="1574" customWidth="1"/>
    <col min="8464" max="8466" width="8.85546875" style="1574" bestFit="1" customWidth="1"/>
    <col min="8467" max="8467" width="6.5703125" style="1574" customWidth="1"/>
    <col min="8468" max="8469" width="7.85546875" style="1574" bestFit="1" customWidth="1"/>
    <col min="8470" max="8470" width="5.7109375" style="1574" customWidth="1"/>
    <col min="8471" max="8471" width="6.7109375" style="1574" customWidth="1"/>
    <col min="8472" max="8472" width="6.85546875" style="1574" customWidth="1"/>
    <col min="8473" max="8473" width="6.7109375" style="1574" customWidth="1"/>
    <col min="8474" max="8704" width="10.140625" style="1574"/>
    <col min="8705" max="8705" width="4" style="1574" customWidth="1"/>
    <col min="8706" max="8706" width="27.28515625" style="1574" customWidth="1"/>
    <col min="8707" max="8708" width="8.42578125" style="1574" customWidth="1"/>
    <col min="8709" max="8709" width="7.28515625" style="1574" customWidth="1"/>
    <col min="8710" max="8710" width="8.28515625" style="1574" customWidth="1"/>
    <col min="8711" max="8711" width="8.7109375" style="1574" customWidth="1"/>
    <col min="8712" max="8712" width="8.42578125" style="1574" customWidth="1"/>
    <col min="8713" max="8713" width="8.7109375" style="1574" customWidth="1"/>
    <col min="8714" max="8714" width="8.42578125" style="1574" customWidth="1"/>
    <col min="8715" max="8715" width="8.28515625" style="1574" customWidth="1"/>
    <col min="8716" max="8716" width="5.5703125" style="1574" customWidth="1"/>
    <col min="8717" max="8717" width="7.85546875" style="1574" bestFit="1" customWidth="1"/>
    <col min="8718" max="8718" width="7.5703125" style="1574" customWidth="1"/>
    <col min="8719" max="8719" width="5.85546875" style="1574" customWidth="1"/>
    <col min="8720" max="8722" width="8.85546875" style="1574" bestFit="1" customWidth="1"/>
    <col min="8723" max="8723" width="6.5703125" style="1574" customWidth="1"/>
    <col min="8724" max="8725" width="7.85546875" style="1574" bestFit="1" customWidth="1"/>
    <col min="8726" max="8726" width="5.7109375" style="1574" customWidth="1"/>
    <col min="8727" max="8727" width="6.7109375" style="1574" customWidth="1"/>
    <col min="8728" max="8728" width="6.85546875" style="1574" customWidth="1"/>
    <col min="8729" max="8729" width="6.7109375" style="1574" customWidth="1"/>
    <col min="8730" max="8960" width="10.140625" style="1574"/>
    <col min="8961" max="8961" width="4" style="1574" customWidth="1"/>
    <col min="8962" max="8962" width="27.28515625" style="1574" customWidth="1"/>
    <col min="8963" max="8964" width="8.42578125" style="1574" customWidth="1"/>
    <col min="8965" max="8965" width="7.28515625" style="1574" customWidth="1"/>
    <col min="8966" max="8966" width="8.28515625" style="1574" customWidth="1"/>
    <col min="8967" max="8967" width="8.7109375" style="1574" customWidth="1"/>
    <col min="8968" max="8968" width="8.42578125" style="1574" customWidth="1"/>
    <col min="8969" max="8969" width="8.7109375" style="1574" customWidth="1"/>
    <col min="8970" max="8970" width="8.42578125" style="1574" customWidth="1"/>
    <col min="8971" max="8971" width="8.28515625" style="1574" customWidth="1"/>
    <col min="8972" max="8972" width="5.5703125" style="1574" customWidth="1"/>
    <col min="8973" max="8973" width="7.85546875" style="1574" bestFit="1" customWidth="1"/>
    <col min="8974" max="8974" width="7.5703125" style="1574" customWidth="1"/>
    <col min="8975" max="8975" width="5.85546875" style="1574" customWidth="1"/>
    <col min="8976" max="8978" width="8.85546875" style="1574" bestFit="1" customWidth="1"/>
    <col min="8979" max="8979" width="6.5703125" style="1574" customWidth="1"/>
    <col min="8980" max="8981" width="7.85546875" style="1574" bestFit="1" customWidth="1"/>
    <col min="8982" max="8982" width="5.7109375" style="1574" customWidth="1"/>
    <col min="8983" max="8983" width="6.7109375" style="1574" customWidth="1"/>
    <col min="8984" max="8984" width="6.85546875" style="1574" customWidth="1"/>
    <col min="8985" max="8985" width="6.7109375" style="1574" customWidth="1"/>
    <col min="8986" max="9216" width="10.140625" style="1574"/>
    <col min="9217" max="9217" width="4" style="1574" customWidth="1"/>
    <col min="9218" max="9218" width="27.28515625" style="1574" customWidth="1"/>
    <col min="9219" max="9220" width="8.42578125" style="1574" customWidth="1"/>
    <col min="9221" max="9221" width="7.28515625" style="1574" customWidth="1"/>
    <col min="9222" max="9222" width="8.28515625" style="1574" customWidth="1"/>
    <col min="9223" max="9223" width="8.7109375" style="1574" customWidth="1"/>
    <col min="9224" max="9224" width="8.42578125" style="1574" customWidth="1"/>
    <col min="9225" max="9225" width="8.7109375" style="1574" customWidth="1"/>
    <col min="9226" max="9226" width="8.42578125" style="1574" customWidth="1"/>
    <col min="9227" max="9227" width="8.28515625" style="1574" customWidth="1"/>
    <col min="9228" max="9228" width="5.5703125" style="1574" customWidth="1"/>
    <col min="9229" max="9229" width="7.85546875" style="1574" bestFit="1" customWidth="1"/>
    <col min="9230" max="9230" width="7.5703125" style="1574" customWidth="1"/>
    <col min="9231" max="9231" width="5.85546875" style="1574" customWidth="1"/>
    <col min="9232" max="9234" width="8.85546875" style="1574" bestFit="1" customWidth="1"/>
    <col min="9235" max="9235" width="6.5703125" style="1574" customWidth="1"/>
    <col min="9236" max="9237" width="7.85546875" style="1574" bestFit="1" customWidth="1"/>
    <col min="9238" max="9238" width="5.7109375" style="1574" customWidth="1"/>
    <col min="9239" max="9239" width="6.7109375" style="1574" customWidth="1"/>
    <col min="9240" max="9240" width="6.85546875" style="1574" customWidth="1"/>
    <col min="9241" max="9241" width="6.7109375" style="1574" customWidth="1"/>
    <col min="9242" max="9472" width="10.140625" style="1574"/>
    <col min="9473" max="9473" width="4" style="1574" customWidth="1"/>
    <col min="9474" max="9474" width="27.28515625" style="1574" customWidth="1"/>
    <col min="9475" max="9476" width="8.42578125" style="1574" customWidth="1"/>
    <col min="9477" max="9477" width="7.28515625" style="1574" customWidth="1"/>
    <col min="9478" max="9478" width="8.28515625" style="1574" customWidth="1"/>
    <col min="9479" max="9479" width="8.7109375" style="1574" customWidth="1"/>
    <col min="9480" max="9480" width="8.42578125" style="1574" customWidth="1"/>
    <col min="9481" max="9481" width="8.7109375" style="1574" customWidth="1"/>
    <col min="9482" max="9482" width="8.42578125" style="1574" customWidth="1"/>
    <col min="9483" max="9483" width="8.28515625" style="1574" customWidth="1"/>
    <col min="9484" max="9484" width="5.5703125" style="1574" customWidth="1"/>
    <col min="9485" max="9485" width="7.85546875" style="1574" bestFit="1" customWidth="1"/>
    <col min="9486" max="9486" width="7.5703125" style="1574" customWidth="1"/>
    <col min="9487" max="9487" width="5.85546875" style="1574" customWidth="1"/>
    <col min="9488" max="9490" width="8.85546875" style="1574" bestFit="1" customWidth="1"/>
    <col min="9491" max="9491" width="6.5703125" style="1574" customWidth="1"/>
    <col min="9492" max="9493" width="7.85546875" style="1574" bestFit="1" customWidth="1"/>
    <col min="9494" max="9494" width="5.7109375" style="1574" customWidth="1"/>
    <col min="9495" max="9495" width="6.7109375" style="1574" customWidth="1"/>
    <col min="9496" max="9496" width="6.85546875" style="1574" customWidth="1"/>
    <col min="9497" max="9497" width="6.7109375" style="1574" customWidth="1"/>
    <col min="9498" max="9728" width="10.140625" style="1574"/>
    <col min="9729" max="9729" width="4" style="1574" customWidth="1"/>
    <col min="9730" max="9730" width="27.28515625" style="1574" customWidth="1"/>
    <col min="9731" max="9732" width="8.42578125" style="1574" customWidth="1"/>
    <col min="9733" max="9733" width="7.28515625" style="1574" customWidth="1"/>
    <col min="9734" max="9734" width="8.28515625" style="1574" customWidth="1"/>
    <col min="9735" max="9735" width="8.7109375" style="1574" customWidth="1"/>
    <col min="9736" max="9736" width="8.42578125" style="1574" customWidth="1"/>
    <col min="9737" max="9737" width="8.7109375" style="1574" customWidth="1"/>
    <col min="9738" max="9738" width="8.42578125" style="1574" customWidth="1"/>
    <col min="9739" max="9739" width="8.28515625" style="1574" customWidth="1"/>
    <col min="9740" max="9740" width="5.5703125" style="1574" customWidth="1"/>
    <col min="9741" max="9741" width="7.85546875" style="1574" bestFit="1" customWidth="1"/>
    <col min="9742" max="9742" width="7.5703125" style="1574" customWidth="1"/>
    <col min="9743" max="9743" width="5.85546875" style="1574" customWidth="1"/>
    <col min="9744" max="9746" width="8.85546875" style="1574" bestFit="1" customWidth="1"/>
    <col min="9747" max="9747" width="6.5703125" style="1574" customWidth="1"/>
    <col min="9748" max="9749" width="7.85546875" style="1574" bestFit="1" customWidth="1"/>
    <col min="9750" max="9750" width="5.7109375" style="1574" customWidth="1"/>
    <col min="9751" max="9751" width="6.7109375" style="1574" customWidth="1"/>
    <col min="9752" max="9752" width="6.85546875" style="1574" customWidth="1"/>
    <col min="9753" max="9753" width="6.7109375" style="1574" customWidth="1"/>
    <col min="9754" max="9984" width="10.140625" style="1574"/>
    <col min="9985" max="9985" width="4" style="1574" customWidth="1"/>
    <col min="9986" max="9986" width="27.28515625" style="1574" customWidth="1"/>
    <col min="9987" max="9988" width="8.42578125" style="1574" customWidth="1"/>
    <col min="9989" max="9989" width="7.28515625" style="1574" customWidth="1"/>
    <col min="9990" max="9990" width="8.28515625" style="1574" customWidth="1"/>
    <col min="9991" max="9991" width="8.7109375" style="1574" customWidth="1"/>
    <col min="9992" max="9992" width="8.42578125" style="1574" customWidth="1"/>
    <col min="9993" max="9993" width="8.7109375" style="1574" customWidth="1"/>
    <col min="9994" max="9994" width="8.42578125" style="1574" customWidth="1"/>
    <col min="9995" max="9995" width="8.28515625" style="1574" customWidth="1"/>
    <col min="9996" max="9996" width="5.5703125" style="1574" customWidth="1"/>
    <col min="9997" max="9997" width="7.85546875" style="1574" bestFit="1" customWidth="1"/>
    <col min="9998" max="9998" width="7.5703125" style="1574" customWidth="1"/>
    <col min="9999" max="9999" width="5.85546875" style="1574" customWidth="1"/>
    <col min="10000" max="10002" width="8.85546875" style="1574" bestFit="1" customWidth="1"/>
    <col min="10003" max="10003" width="6.5703125" style="1574" customWidth="1"/>
    <col min="10004" max="10005" width="7.85546875" style="1574" bestFit="1" customWidth="1"/>
    <col min="10006" max="10006" width="5.7109375" style="1574" customWidth="1"/>
    <col min="10007" max="10007" width="6.7109375" style="1574" customWidth="1"/>
    <col min="10008" max="10008" width="6.85546875" style="1574" customWidth="1"/>
    <col min="10009" max="10009" width="6.7109375" style="1574" customWidth="1"/>
    <col min="10010" max="10240" width="10.140625" style="1574"/>
    <col min="10241" max="10241" width="4" style="1574" customWidth="1"/>
    <col min="10242" max="10242" width="27.28515625" style="1574" customWidth="1"/>
    <col min="10243" max="10244" width="8.42578125" style="1574" customWidth="1"/>
    <col min="10245" max="10245" width="7.28515625" style="1574" customWidth="1"/>
    <col min="10246" max="10246" width="8.28515625" style="1574" customWidth="1"/>
    <col min="10247" max="10247" width="8.7109375" style="1574" customWidth="1"/>
    <col min="10248" max="10248" width="8.42578125" style="1574" customWidth="1"/>
    <col min="10249" max="10249" width="8.7109375" style="1574" customWidth="1"/>
    <col min="10250" max="10250" width="8.42578125" style="1574" customWidth="1"/>
    <col min="10251" max="10251" width="8.28515625" style="1574" customWidth="1"/>
    <col min="10252" max="10252" width="5.5703125" style="1574" customWidth="1"/>
    <col min="10253" max="10253" width="7.85546875" style="1574" bestFit="1" customWidth="1"/>
    <col min="10254" max="10254" width="7.5703125" style="1574" customWidth="1"/>
    <col min="10255" max="10255" width="5.85546875" style="1574" customWidth="1"/>
    <col min="10256" max="10258" width="8.85546875" style="1574" bestFit="1" customWidth="1"/>
    <col min="10259" max="10259" width="6.5703125" style="1574" customWidth="1"/>
    <col min="10260" max="10261" width="7.85546875" style="1574" bestFit="1" customWidth="1"/>
    <col min="10262" max="10262" width="5.7109375" style="1574" customWidth="1"/>
    <col min="10263" max="10263" width="6.7109375" style="1574" customWidth="1"/>
    <col min="10264" max="10264" width="6.85546875" style="1574" customWidth="1"/>
    <col min="10265" max="10265" width="6.7109375" style="1574" customWidth="1"/>
    <col min="10266" max="10496" width="10.140625" style="1574"/>
    <col min="10497" max="10497" width="4" style="1574" customWidth="1"/>
    <col min="10498" max="10498" width="27.28515625" style="1574" customWidth="1"/>
    <col min="10499" max="10500" width="8.42578125" style="1574" customWidth="1"/>
    <col min="10501" max="10501" width="7.28515625" style="1574" customWidth="1"/>
    <col min="10502" max="10502" width="8.28515625" style="1574" customWidth="1"/>
    <col min="10503" max="10503" width="8.7109375" style="1574" customWidth="1"/>
    <col min="10504" max="10504" width="8.42578125" style="1574" customWidth="1"/>
    <col min="10505" max="10505" width="8.7109375" style="1574" customWidth="1"/>
    <col min="10506" max="10506" width="8.42578125" style="1574" customWidth="1"/>
    <col min="10507" max="10507" width="8.28515625" style="1574" customWidth="1"/>
    <col min="10508" max="10508" width="5.5703125" style="1574" customWidth="1"/>
    <col min="10509" max="10509" width="7.85546875" style="1574" bestFit="1" customWidth="1"/>
    <col min="10510" max="10510" width="7.5703125" style="1574" customWidth="1"/>
    <col min="10511" max="10511" width="5.85546875" style="1574" customWidth="1"/>
    <col min="10512" max="10514" width="8.85546875" style="1574" bestFit="1" customWidth="1"/>
    <col min="10515" max="10515" width="6.5703125" style="1574" customWidth="1"/>
    <col min="10516" max="10517" width="7.85546875" style="1574" bestFit="1" customWidth="1"/>
    <col min="10518" max="10518" width="5.7109375" style="1574" customWidth="1"/>
    <col min="10519" max="10519" width="6.7109375" style="1574" customWidth="1"/>
    <col min="10520" max="10520" width="6.85546875" style="1574" customWidth="1"/>
    <col min="10521" max="10521" width="6.7109375" style="1574" customWidth="1"/>
    <col min="10522" max="10752" width="10.140625" style="1574"/>
    <col min="10753" max="10753" width="4" style="1574" customWidth="1"/>
    <col min="10754" max="10754" width="27.28515625" style="1574" customWidth="1"/>
    <col min="10755" max="10756" width="8.42578125" style="1574" customWidth="1"/>
    <col min="10757" max="10757" width="7.28515625" style="1574" customWidth="1"/>
    <col min="10758" max="10758" width="8.28515625" style="1574" customWidth="1"/>
    <col min="10759" max="10759" width="8.7109375" style="1574" customWidth="1"/>
    <col min="10760" max="10760" width="8.42578125" style="1574" customWidth="1"/>
    <col min="10761" max="10761" width="8.7109375" style="1574" customWidth="1"/>
    <col min="10762" max="10762" width="8.42578125" style="1574" customWidth="1"/>
    <col min="10763" max="10763" width="8.28515625" style="1574" customWidth="1"/>
    <col min="10764" max="10764" width="5.5703125" style="1574" customWidth="1"/>
    <col min="10765" max="10765" width="7.85546875" style="1574" bestFit="1" customWidth="1"/>
    <col min="10766" max="10766" width="7.5703125" style="1574" customWidth="1"/>
    <col min="10767" max="10767" width="5.85546875" style="1574" customWidth="1"/>
    <col min="10768" max="10770" width="8.85546875" style="1574" bestFit="1" customWidth="1"/>
    <col min="10771" max="10771" width="6.5703125" style="1574" customWidth="1"/>
    <col min="10772" max="10773" width="7.85546875" style="1574" bestFit="1" customWidth="1"/>
    <col min="10774" max="10774" width="5.7109375" style="1574" customWidth="1"/>
    <col min="10775" max="10775" width="6.7109375" style="1574" customWidth="1"/>
    <col min="10776" max="10776" width="6.85546875" style="1574" customWidth="1"/>
    <col min="10777" max="10777" width="6.7109375" style="1574" customWidth="1"/>
    <col min="10778" max="11008" width="10.140625" style="1574"/>
    <col min="11009" max="11009" width="4" style="1574" customWidth="1"/>
    <col min="11010" max="11010" width="27.28515625" style="1574" customWidth="1"/>
    <col min="11011" max="11012" width="8.42578125" style="1574" customWidth="1"/>
    <col min="11013" max="11013" width="7.28515625" style="1574" customWidth="1"/>
    <col min="11014" max="11014" width="8.28515625" style="1574" customWidth="1"/>
    <col min="11015" max="11015" width="8.7109375" style="1574" customWidth="1"/>
    <col min="11016" max="11016" width="8.42578125" style="1574" customWidth="1"/>
    <col min="11017" max="11017" width="8.7109375" style="1574" customWidth="1"/>
    <col min="11018" max="11018" width="8.42578125" style="1574" customWidth="1"/>
    <col min="11019" max="11019" width="8.28515625" style="1574" customWidth="1"/>
    <col min="11020" max="11020" width="5.5703125" style="1574" customWidth="1"/>
    <col min="11021" max="11021" width="7.85546875" style="1574" bestFit="1" customWidth="1"/>
    <col min="11022" max="11022" width="7.5703125" style="1574" customWidth="1"/>
    <col min="11023" max="11023" width="5.85546875" style="1574" customWidth="1"/>
    <col min="11024" max="11026" width="8.85546875" style="1574" bestFit="1" customWidth="1"/>
    <col min="11027" max="11027" width="6.5703125" style="1574" customWidth="1"/>
    <col min="11028" max="11029" width="7.85546875" style="1574" bestFit="1" customWidth="1"/>
    <col min="11030" max="11030" width="5.7109375" style="1574" customWidth="1"/>
    <col min="11031" max="11031" width="6.7109375" style="1574" customWidth="1"/>
    <col min="11032" max="11032" width="6.85546875" style="1574" customWidth="1"/>
    <col min="11033" max="11033" width="6.7109375" style="1574" customWidth="1"/>
    <col min="11034" max="11264" width="10.140625" style="1574"/>
    <col min="11265" max="11265" width="4" style="1574" customWidth="1"/>
    <col min="11266" max="11266" width="27.28515625" style="1574" customWidth="1"/>
    <col min="11267" max="11268" width="8.42578125" style="1574" customWidth="1"/>
    <col min="11269" max="11269" width="7.28515625" style="1574" customWidth="1"/>
    <col min="11270" max="11270" width="8.28515625" style="1574" customWidth="1"/>
    <col min="11271" max="11271" width="8.7109375" style="1574" customWidth="1"/>
    <col min="11272" max="11272" width="8.42578125" style="1574" customWidth="1"/>
    <col min="11273" max="11273" width="8.7109375" style="1574" customWidth="1"/>
    <col min="11274" max="11274" width="8.42578125" style="1574" customWidth="1"/>
    <col min="11275" max="11275" width="8.28515625" style="1574" customWidth="1"/>
    <col min="11276" max="11276" width="5.5703125" style="1574" customWidth="1"/>
    <col min="11277" max="11277" width="7.85546875" style="1574" bestFit="1" customWidth="1"/>
    <col min="11278" max="11278" width="7.5703125" style="1574" customWidth="1"/>
    <col min="11279" max="11279" width="5.85546875" style="1574" customWidth="1"/>
    <col min="11280" max="11282" width="8.85546875" style="1574" bestFit="1" customWidth="1"/>
    <col min="11283" max="11283" width="6.5703125" style="1574" customWidth="1"/>
    <col min="11284" max="11285" width="7.85546875" style="1574" bestFit="1" customWidth="1"/>
    <col min="11286" max="11286" width="5.7109375" style="1574" customWidth="1"/>
    <col min="11287" max="11287" width="6.7109375" style="1574" customWidth="1"/>
    <col min="11288" max="11288" width="6.85546875" style="1574" customWidth="1"/>
    <col min="11289" max="11289" width="6.7109375" style="1574" customWidth="1"/>
    <col min="11290" max="11520" width="10.140625" style="1574"/>
    <col min="11521" max="11521" width="4" style="1574" customWidth="1"/>
    <col min="11522" max="11522" width="27.28515625" style="1574" customWidth="1"/>
    <col min="11523" max="11524" width="8.42578125" style="1574" customWidth="1"/>
    <col min="11525" max="11525" width="7.28515625" style="1574" customWidth="1"/>
    <col min="11526" max="11526" width="8.28515625" style="1574" customWidth="1"/>
    <col min="11527" max="11527" width="8.7109375" style="1574" customWidth="1"/>
    <col min="11528" max="11528" width="8.42578125" style="1574" customWidth="1"/>
    <col min="11529" max="11529" width="8.7109375" style="1574" customWidth="1"/>
    <col min="11530" max="11530" width="8.42578125" style="1574" customWidth="1"/>
    <col min="11531" max="11531" width="8.28515625" style="1574" customWidth="1"/>
    <col min="11532" max="11532" width="5.5703125" style="1574" customWidth="1"/>
    <col min="11533" max="11533" width="7.85546875" style="1574" bestFit="1" customWidth="1"/>
    <col min="11534" max="11534" width="7.5703125" style="1574" customWidth="1"/>
    <col min="11535" max="11535" width="5.85546875" style="1574" customWidth="1"/>
    <col min="11536" max="11538" width="8.85546875" style="1574" bestFit="1" customWidth="1"/>
    <col min="11539" max="11539" width="6.5703125" style="1574" customWidth="1"/>
    <col min="11540" max="11541" width="7.85546875" style="1574" bestFit="1" customWidth="1"/>
    <col min="11542" max="11542" width="5.7109375" style="1574" customWidth="1"/>
    <col min="11543" max="11543" width="6.7109375" style="1574" customWidth="1"/>
    <col min="11544" max="11544" width="6.85546875" style="1574" customWidth="1"/>
    <col min="11545" max="11545" width="6.7109375" style="1574" customWidth="1"/>
    <col min="11546" max="11776" width="10.140625" style="1574"/>
    <col min="11777" max="11777" width="4" style="1574" customWidth="1"/>
    <col min="11778" max="11778" width="27.28515625" style="1574" customWidth="1"/>
    <col min="11779" max="11780" width="8.42578125" style="1574" customWidth="1"/>
    <col min="11781" max="11781" width="7.28515625" style="1574" customWidth="1"/>
    <col min="11782" max="11782" width="8.28515625" style="1574" customWidth="1"/>
    <col min="11783" max="11783" width="8.7109375" style="1574" customWidth="1"/>
    <col min="11784" max="11784" width="8.42578125" style="1574" customWidth="1"/>
    <col min="11785" max="11785" width="8.7109375" style="1574" customWidth="1"/>
    <col min="11786" max="11786" width="8.42578125" style="1574" customWidth="1"/>
    <col min="11787" max="11787" width="8.28515625" style="1574" customWidth="1"/>
    <col min="11788" max="11788" width="5.5703125" style="1574" customWidth="1"/>
    <col min="11789" max="11789" width="7.85546875" style="1574" bestFit="1" customWidth="1"/>
    <col min="11790" max="11790" width="7.5703125" style="1574" customWidth="1"/>
    <col min="11791" max="11791" width="5.85546875" style="1574" customWidth="1"/>
    <col min="11792" max="11794" width="8.85546875" style="1574" bestFit="1" customWidth="1"/>
    <col min="11795" max="11795" width="6.5703125" style="1574" customWidth="1"/>
    <col min="11796" max="11797" width="7.85546875" style="1574" bestFit="1" customWidth="1"/>
    <col min="11798" max="11798" width="5.7109375" style="1574" customWidth="1"/>
    <col min="11799" max="11799" width="6.7109375" style="1574" customWidth="1"/>
    <col min="11800" max="11800" width="6.85546875" style="1574" customWidth="1"/>
    <col min="11801" max="11801" width="6.7109375" style="1574" customWidth="1"/>
    <col min="11802" max="12032" width="10.140625" style="1574"/>
    <col min="12033" max="12033" width="4" style="1574" customWidth="1"/>
    <col min="12034" max="12034" width="27.28515625" style="1574" customWidth="1"/>
    <col min="12035" max="12036" width="8.42578125" style="1574" customWidth="1"/>
    <col min="12037" max="12037" width="7.28515625" style="1574" customWidth="1"/>
    <col min="12038" max="12038" width="8.28515625" style="1574" customWidth="1"/>
    <col min="12039" max="12039" width="8.7109375" style="1574" customWidth="1"/>
    <col min="12040" max="12040" width="8.42578125" style="1574" customWidth="1"/>
    <col min="12041" max="12041" width="8.7109375" style="1574" customWidth="1"/>
    <col min="12042" max="12042" width="8.42578125" style="1574" customWidth="1"/>
    <col min="12043" max="12043" width="8.28515625" style="1574" customWidth="1"/>
    <col min="12044" max="12044" width="5.5703125" style="1574" customWidth="1"/>
    <col min="12045" max="12045" width="7.85546875" style="1574" bestFit="1" customWidth="1"/>
    <col min="12046" max="12046" width="7.5703125" style="1574" customWidth="1"/>
    <col min="12047" max="12047" width="5.85546875" style="1574" customWidth="1"/>
    <col min="12048" max="12050" width="8.85546875" style="1574" bestFit="1" customWidth="1"/>
    <col min="12051" max="12051" width="6.5703125" style="1574" customWidth="1"/>
    <col min="12052" max="12053" width="7.85546875" style="1574" bestFit="1" customWidth="1"/>
    <col min="12054" max="12054" width="5.7109375" style="1574" customWidth="1"/>
    <col min="12055" max="12055" width="6.7109375" style="1574" customWidth="1"/>
    <col min="12056" max="12056" width="6.85546875" style="1574" customWidth="1"/>
    <col min="12057" max="12057" width="6.7109375" style="1574" customWidth="1"/>
    <col min="12058" max="12288" width="10.140625" style="1574"/>
    <col min="12289" max="12289" width="4" style="1574" customWidth="1"/>
    <col min="12290" max="12290" width="27.28515625" style="1574" customWidth="1"/>
    <col min="12291" max="12292" width="8.42578125" style="1574" customWidth="1"/>
    <col min="12293" max="12293" width="7.28515625" style="1574" customWidth="1"/>
    <col min="12294" max="12294" width="8.28515625" style="1574" customWidth="1"/>
    <col min="12295" max="12295" width="8.7109375" style="1574" customWidth="1"/>
    <col min="12296" max="12296" width="8.42578125" style="1574" customWidth="1"/>
    <col min="12297" max="12297" width="8.7109375" style="1574" customWidth="1"/>
    <col min="12298" max="12298" width="8.42578125" style="1574" customWidth="1"/>
    <col min="12299" max="12299" width="8.28515625" style="1574" customWidth="1"/>
    <col min="12300" max="12300" width="5.5703125" style="1574" customWidth="1"/>
    <col min="12301" max="12301" width="7.85546875" style="1574" bestFit="1" customWidth="1"/>
    <col min="12302" max="12302" width="7.5703125" style="1574" customWidth="1"/>
    <col min="12303" max="12303" width="5.85546875" style="1574" customWidth="1"/>
    <col min="12304" max="12306" width="8.85546875" style="1574" bestFit="1" customWidth="1"/>
    <col min="12307" max="12307" width="6.5703125" style="1574" customWidth="1"/>
    <col min="12308" max="12309" width="7.85546875" style="1574" bestFit="1" customWidth="1"/>
    <col min="12310" max="12310" width="5.7109375" style="1574" customWidth="1"/>
    <col min="12311" max="12311" width="6.7109375" style="1574" customWidth="1"/>
    <col min="12312" max="12312" width="6.85546875" style="1574" customWidth="1"/>
    <col min="12313" max="12313" width="6.7109375" style="1574" customWidth="1"/>
    <col min="12314" max="12544" width="10.140625" style="1574"/>
    <col min="12545" max="12545" width="4" style="1574" customWidth="1"/>
    <col min="12546" max="12546" width="27.28515625" style="1574" customWidth="1"/>
    <col min="12547" max="12548" width="8.42578125" style="1574" customWidth="1"/>
    <col min="12549" max="12549" width="7.28515625" style="1574" customWidth="1"/>
    <col min="12550" max="12550" width="8.28515625" style="1574" customWidth="1"/>
    <col min="12551" max="12551" width="8.7109375" style="1574" customWidth="1"/>
    <col min="12552" max="12552" width="8.42578125" style="1574" customWidth="1"/>
    <col min="12553" max="12553" width="8.7109375" style="1574" customWidth="1"/>
    <col min="12554" max="12554" width="8.42578125" style="1574" customWidth="1"/>
    <col min="12555" max="12555" width="8.28515625" style="1574" customWidth="1"/>
    <col min="12556" max="12556" width="5.5703125" style="1574" customWidth="1"/>
    <col min="12557" max="12557" width="7.85546875" style="1574" bestFit="1" customWidth="1"/>
    <col min="12558" max="12558" width="7.5703125" style="1574" customWidth="1"/>
    <col min="12559" max="12559" width="5.85546875" style="1574" customWidth="1"/>
    <col min="12560" max="12562" width="8.85546875" style="1574" bestFit="1" customWidth="1"/>
    <col min="12563" max="12563" width="6.5703125" style="1574" customWidth="1"/>
    <col min="12564" max="12565" width="7.85546875" style="1574" bestFit="1" customWidth="1"/>
    <col min="12566" max="12566" width="5.7109375" style="1574" customWidth="1"/>
    <col min="12567" max="12567" width="6.7109375" style="1574" customWidth="1"/>
    <col min="12568" max="12568" width="6.85546875" style="1574" customWidth="1"/>
    <col min="12569" max="12569" width="6.7109375" style="1574" customWidth="1"/>
    <col min="12570" max="12800" width="10.140625" style="1574"/>
    <col min="12801" max="12801" width="4" style="1574" customWidth="1"/>
    <col min="12802" max="12802" width="27.28515625" style="1574" customWidth="1"/>
    <col min="12803" max="12804" width="8.42578125" style="1574" customWidth="1"/>
    <col min="12805" max="12805" width="7.28515625" style="1574" customWidth="1"/>
    <col min="12806" max="12806" width="8.28515625" style="1574" customWidth="1"/>
    <col min="12807" max="12807" width="8.7109375" style="1574" customWidth="1"/>
    <col min="12808" max="12808" width="8.42578125" style="1574" customWidth="1"/>
    <col min="12809" max="12809" width="8.7109375" style="1574" customWidth="1"/>
    <col min="12810" max="12810" width="8.42578125" style="1574" customWidth="1"/>
    <col min="12811" max="12811" width="8.28515625" style="1574" customWidth="1"/>
    <col min="12812" max="12812" width="5.5703125" style="1574" customWidth="1"/>
    <col min="12813" max="12813" width="7.85546875" style="1574" bestFit="1" customWidth="1"/>
    <col min="12814" max="12814" width="7.5703125" style="1574" customWidth="1"/>
    <col min="12815" max="12815" width="5.85546875" style="1574" customWidth="1"/>
    <col min="12816" max="12818" width="8.85546875" style="1574" bestFit="1" customWidth="1"/>
    <col min="12819" max="12819" width="6.5703125" style="1574" customWidth="1"/>
    <col min="12820" max="12821" width="7.85546875" style="1574" bestFit="1" customWidth="1"/>
    <col min="12822" max="12822" width="5.7109375" style="1574" customWidth="1"/>
    <col min="12823" max="12823" width="6.7109375" style="1574" customWidth="1"/>
    <col min="12824" max="12824" width="6.85546875" style="1574" customWidth="1"/>
    <col min="12825" max="12825" width="6.7109375" style="1574" customWidth="1"/>
    <col min="12826" max="13056" width="10.140625" style="1574"/>
    <col min="13057" max="13057" width="4" style="1574" customWidth="1"/>
    <col min="13058" max="13058" width="27.28515625" style="1574" customWidth="1"/>
    <col min="13059" max="13060" width="8.42578125" style="1574" customWidth="1"/>
    <col min="13061" max="13061" width="7.28515625" style="1574" customWidth="1"/>
    <col min="13062" max="13062" width="8.28515625" style="1574" customWidth="1"/>
    <col min="13063" max="13063" width="8.7109375" style="1574" customWidth="1"/>
    <col min="13064" max="13064" width="8.42578125" style="1574" customWidth="1"/>
    <col min="13065" max="13065" width="8.7109375" style="1574" customWidth="1"/>
    <col min="13066" max="13066" width="8.42578125" style="1574" customWidth="1"/>
    <col min="13067" max="13067" width="8.28515625" style="1574" customWidth="1"/>
    <col min="13068" max="13068" width="5.5703125" style="1574" customWidth="1"/>
    <col min="13069" max="13069" width="7.85546875" style="1574" bestFit="1" customWidth="1"/>
    <col min="13070" max="13070" width="7.5703125" style="1574" customWidth="1"/>
    <col min="13071" max="13071" width="5.85546875" style="1574" customWidth="1"/>
    <col min="13072" max="13074" width="8.85546875" style="1574" bestFit="1" customWidth="1"/>
    <col min="13075" max="13075" width="6.5703125" style="1574" customWidth="1"/>
    <col min="13076" max="13077" width="7.85546875" style="1574" bestFit="1" customWidth="1"/>
    <col min="13078" max="13078" width="5.7109375" style="1574" customWidth="1"/>
    <col min="13079" max="13079" width="6.7109375" style="1574" customWidth="1"/>
    <col min="13080" max="13080" width="6.85546875" style="1574" customWidth="1"/>
    <col min="13081" max="13081" width="6.7109375" style="1574" customWidth="1"/>
    <col min="13082" max="13312" width="10.140625" style="1574"/>
    <col min="13313" max="13313" width="4" style="1574" customWidth="1"/>
    <col min="13314" max="13314" width="27.28515625" style="1574" customWidth="1"/>
    <col min="13315" max="13316" width="8.42578125" style="1574" customWidth="1"/>
    <col min="13317" max="13317" width="7.28515625" style="1574" customWidth="1"/>
    <col min="13318" max="13318" width="8.28515625" style="1574" customWidth="1"/>
    <col min="13319" max="13319" width="8.7109375" style="1574" customWidth="1"/>
    <col min="13320" max="13320" width="8.42578125" style="1574" customWidth="1"/>
    <col min="13321" max="13321" width="8.7109375" style="1574" customWidth="1"/>
    <col min="13322" max="13322" width="8.42578125" style="1574" customWidth="1"/>
    <col min="13323" max="13323" width="8.28515625" style="1574" customWidth="1"/>
    <col min="13324" max="13324" width="5.5703125" style="1574" customWidth="1"/>
    <col min="13325" max="13325" width="7.85546875" style="1574" bestFit="1" customWidth="1"/>
    <col min="13326" max="13326" width="7.5703125" style="1574" customWidth="1"/>
    <col min="13327" max="13327" width="5.85546875" style="1574" customWidth="1"/>
    <col min="13328" max="13330" width="8.85546875" style="1574" bestFit="1" customWidth="1"/>
    <col min="13331" max="13331" width="6.5703125" style="1574" customWidth="1"/>
    <col min="13332" max="13333" width="7.85546875" style="1574" bestFit="1" customWidth="1"/>
    <col min="13334" max="13334" width="5.7109375" style="1574" customWidth="1"/>
    <col min="13335" max="13335" width="6.7109375" style="1574" customWidth="1"/>
    <col min="13336" max="13336" width="6.85546875" style="1574" customWidth="1"/>
    <col min="13337" max="13337" width="6.7109375" style="1574" customWidth="1"/>
    <col min="13338" max="13568" width="10.140625" style="1574"/>
    <col min="13569" max="13569" width="4" style="1574" customWidth="1"/>
    <col min="13570" max="13570" width="27.28515625" style="1574" customWidth="1"/>
    <col min="13571" max="13572" width="8.42578125" style="1574" customWidth="1"/>
    <col min="13573" max="13573" width="7.28515625" style="1574" customWidth="1"/>
    <col min="13574" max="13574" width="8.28515625" style="1574" customWidth="1"/>
    <col min="13575" max="13575" width="8.7109375" style="1574" customWidth="1"/>
    <col min="13576" max="13576" width="8.42578125" style="1574" customWidth="1"/>
    <col min="13577" max="13577" width="8.7109375" style="1574" customWidth="1"/>
    <col min="13578" max="13578" width="8.42578125" style="1574" customWidth="1"/>
    <col min="13579" max="13579" width="8.28515625" style="1574" customWidth="1"/>
    <col min="13580" max="13580" width="5.5703125" style="1574" customWidth="1"/>
    <col min="13581" max="13581" width="7.85546875" style="1574" bestFit="1" customWidth="1"/>
    <col min="13582" max="13582" width="7.5703125" style="1574" customWidth="1"/>
    <col min="13583" max="13583" width="5.85546875" style="1574" customWidth="1"/>
    <col min="13584" max="13586" width="8.85546875" style="1574" bestFit="1" customWidth="1"/>
    <col min="13587" max="13587" width="6.5703125" style="1574" customWidth="1"/>
    <col min="13588" max="13589" width="7.85546875" style="1574" bestFit="1" customWidth="1"/>
    <col min="13590" max="13590" width="5.7109375" style="1574" customWidth="1"/>
    <col min="13591" max="13591" width="6.7109375" style="1574" customWidth="1"/>
    <col min="13592" max="13592" width="6.85546875" style="1574" customWidth="1"/>
    <col min="13593" max="13593" width="6.7109375" style="1574" customWidth="1"/>
    <col min="13594" max="13824" width="10.140625" style="1574"/>
    <col min="13825" max="13825" width="4" style="1574" customWidth="1"/>
    <col min="13826" max="13826" width="27.28515625" style="1574" customWidth="1"/>
    <col min="13827" max="13828" width="8.42578125" style="1574" customWidth="1"/>
    <col min="13829" max="13829" width="7.28515625" style="1574" customWidth="1"/>
    <col min="13830" max="13830" width="8.28515625" style="1574" customWidth="1"/>
    <col min="13831" max="13831" width="8.7109375" style="1574" customWidth="1"/>
    <col min="13832" max="13832" width="8.42578125" style="1574" customWidth="1"/>
    <col min="13833" max="13833" width="8.7109375" style="1574" customWidth="1"/>
    <col min="13834" max="13834" width="8.42578125" style="1574" customWidth="1"/>
    <col min="13835" max="13835" width="8.28515625" style="1574" customWidth="1"/>
    <col min="13836" max="13836" width="5.5703125" style="1574" customWidth="1"/>
    <col min="13837" max="13837" width="7.85546875" style="1574" bestFit="1" customWidth="1"/>
    <col min="13838" max="13838" width="7.5703125" style="1574" customWidth="1"/>
    <col min="13839" max="13839" width="5.85546875" style="1574" customWidth="1"/>
    <col min="13840" max="13842" width="8.85546875" style="1574" bestFit="1" customWidth="1"/>
    <col min="13843" max="13843" width="6.5703125" style="1574" customWidth="1"/>
    <col min="13844" max="13845" width="7.85546875" style="1574" bestFit="1" customWidth="1"/>
    <col min="13846" max="13846" width="5.7109375" style="1574" customWidth="1"/>
    <col min="13847" max="13847" width="6.7109375" style="1574" customWidth="1"/>
    <col min="13848" max="13848" width="6.85546875" style="1574" customWidth="1"/>
    <col min="13849" max="13849" width="6.7109375" style="1574" customWidth="1"/>
    <col min="13850" max="14080" width="10.140625" style="1574"/>
    <col min="14081" max="14081" width="4" style="1574" customWidth="1"/>
    <col min="14082" max="14082" width="27.28515625" style="1574" customWidth="1"/>
    <col min="14083" max="14084" width="8.42578125" style="1574" customWidth="1"/>
    <col min="14085" max="14085" width="7.28515625" style="1574" customWidth="1"/>
    <col min="14086" max="14086" width="8.28515625" style="1574" customWidth="1"/>
    <col min="14087" max="14087" width="8.7109375" style="1574" customWidth="1"/>
    <col min="14088" max="14088" width="8.42578125" style="1574" customWidth="1"/>
    <col min="14089" max="14089" width="8.7109375" style="1574" customWidth="1"/>
    <col min="14090" max="14090" width="8.42578125" style="1574" customWidth="1"/>
    <col min="14091" max="14091" width="8.28515625" style="1574" customWidth="1"/>
    <col min="14092" max="14092" width="5.5703125" style="1574" customWidth="1"/>
    <col min="14093" max="14093" width="7.85546875" style="1574" bestFit="1" customWidth="1"/>
    <col min="14094" max="14094" width="7.5703125" style="1574" customWidth="1"/>
    <col min="14095" max="14095" width="5.85546875" style="1574" customWidth="1"/>
    <col min="14096" max="14098" width="8.85546875" style="1574" bestFit="1" customWidth="1"/>
    <col min="14099" max="14099" width="6.5703125" style="1574" customWidth="1"/>
    <col min="14100" max="14101" width="7.85546875" style="1574" bestFit="1" customWidth="1"/>
    <col min="14102" max="14102" width="5.7109375" style="1574" customWidth="1"/>
    <col min="14103" max="14103" width="6.7109375" style="1574" customWidth="1"/>
    <col min="14104" max="14104" width="6.85546875" style="1574" customWidth="1"/>
    <col min="14105" max="14105" width="6.7109375" style="1574" customWidth="1"/>
    <col min="14106" max="14336" width="10.140625" style="1574"/>
    <col min="14337" max="14337" width="4" style="1574" customWidth="1"/>
    <col min="14338" max="14338" width="27.28515625" style="1574" customWidth="1"/>
    <col min="14339" max="14340" width="8.42578125" style="1574" customWidth="1"/>
    <col min="14341" max="14341" width="7.28515625" style="1574" customWidth="1"/>
    <col min="14342" max="14342" width="8.28515625" style="1574" customWidth="1"/>
    <col min="14343" max="14343" width="8.7109375" style="1574" customWidth="1"/>
    <col min="14344" max="14344" width="8.42578125" style="1574" customWidth="1"/>
    <col min="14345" max="14345" width="8.7109375" style="1574" customWidth="1"/>
    <col min="14346" max="14346" width="8.42578125" style="1574" customWidth="1"/>
    <col min="14347" max="14347" width="8.28515625" style="1574" customWidth="1"/>
    <col min="14348" max="14348" width="5.5703125" style="1574" customWidth="1"/>
    <col min="14349" max="14349" width="7.85546875" style="1574" bestFit="1" customWidth="1"/>
    <col min="14350" max="14350" width="7.5703125" style="1574" customWidth="1"/>
    <col min="14351" max="14351" width="5.85546875" style="1574" customWidth="1"/>
    <col min="14352" max="14354" width="8.85546875" style="1574" bestFit="1" customWidth="1"/>
    <col min="14355" max="14355" width="6.5703125" style="1574" customWidth="1"/>
    <col min="14356" max="14357" width="7.85546875" style="1574" bestFit="1" customWidth="1"/>
    <col min="14358" max="14358" width="5.7109375" style="1574" customWidth="1"/>
    <col min="14359" max="14359" width="6.7109375" style="1574" customWidth="1"/>
    <col min="14360" max="14360" width="6.85546875" style="1574" customWidth="1"/>
    <col min="14361" max="14361" width="6.7109375" style="1574" customWidth="1"/>
    <col min="14362" max="14592" width="10.140625" style="1574"/>
    <col min="14593" max="14593" width="4" style="1574" customWidth="1"/>
    <col min="14594" max="14594" width="27.28515625" style="1574" customWidth="1"/>
    <col min="14595" max="14596" width="8.42578125" style="1574" customWidth="1"/>
    <col min="14597" max="14597" width="7.28515625" style="1574" customWidth="1"/>
    <col min="14598" max="14598" width="8.28515625" style="1574" customWidth="1"/>
    <col min="14599" max="14599" width="8.7109375" style="1574" customWidth="1"/>
    <col min="14600" max="14600" width="8.42578125" style="1574" customWidth="1"/>
    <col min="14601" max="14601" width="8.7109375" style="1574" customWidth="1"/>
    <col min="14602" max="14602" width="8.42578125" style="1574" customWidth="1"/>
    <col min="14603" max="14603" width="8.28515625" style="1574" customWidth="1"/>
    <col min="14604" max="14604" width="5.5703125" style="1574" customWidth="1"/>
    <col min="14605" max="14605" width="7.85546875" style="1574" bestFit="1" customWidth="1"/>
    <col min="14606" max="14606" width="7.5703125" style="1574" customWidth="1"/>
    <col min="14607" max="14607" width="5.85546875" style="1574" customWidth="1"/>
    <col min="14608" max="14610" width="8.85546875" style="1574" bestFit="1" customWidth="1"/>
    <col min="14611" max="14611" width="6.5703125" style="1574" customWidth="1"/>
    <col min="14612" max="14613" width="7.85546875" style="1574" bestFit="1" customWidth="1"/>
    <col min="14614" max="14614" width="5.7109375" style="1574" customWidth="1"/>
    <col min="14615" max="14615" width="6.7109375" style="1574" customWidth="1"/>
    <col min="14616" max="14616" width="6.85546875" style="1574" customWidth="1"/>
    <col min="14617" max="14617" width="6.7109375" style="1574" customWidth="1"/>
    <col min="14618" max="14848" width="10.140625" style="1574"/>
    <col min="14849" max="14849" width="4" style="1574" customWidth="1"/>
    <col min="14850" max="14850" width="27.28515625" style="1574" customWidth="1"/>
    <col min="14851" max="14852" width="8.42578125" style="1574" customWidth="1"/>
    <col min="14853" max="14853" width="7.28515625" style="1574" customWidth="1"/>
    <col min="14854" max="14854" width="8.28515625" style="1574" customWidth="1"/>
    <col min="14855" max="14855" width="8.7109375" style="1574" customWidth="1"/>
    <col min="14856" max="14856" width="8.42578125" style="1574" customWidth="1"/>
    <col min="14857" max="14857" width="8.7109375" style="1574" customWidth="1"/>
    <col min="14858" max="14858" width="8.42578125" style="1574" customWidth="1"/>
    <col min="14859" max="14859" width="8.28515625" style="1574" customWidth="1"/>
    <col min="14860" max="14860" width="5.5703125" style="1574" customWidth="1"/>
    <col min="14861" max="14861" width="7.85546875" style="1574" bestFit="1" customWidth="1"/>
    <col min="14862" max="14862" width="7.5703125" style="1574" customWidth="1"/>
    <col min="14863" max="14863" width="5.85546875" style="1574" customWidth="1"/>
    <col min="14864" max="14866" width="8.85546875" style="1574" bestFit="1" customWidth="1"/>
    <col min="14867" max="14867" width="6.5703125" style="1574" customWidth="1"/>
    <col min="14868" max="14869" width="7.85546875" style="1574" bestFit="1" customWidth="1"/>
    <col min="14870" max="14870" width="5.7109375" style="1574" customWidth="1"/>
    <col min="14871" max="14871" width="6.7109375" style="1574" customWidth="1"/>
    <col min="14872" max="14872" width="6.85546875" style="1574" customWidth="1"/>
    <col min="14873" max="14873" width="6.7109375" style="1574" customWidth="1"/>
    <col min="14874" max="15104" width="10.140625" style="1574"/>
    <col min="15105" max="15105" width="4" style="1574" customWidth="1"/>
    <col min="15106" max="15106" width="27.28515625" style="1574" customWidth="1"/>
    <col min="15107" max="15108" width="8.42578125" style="1574" customWidth="1"/>
    <col min="15109" max="15109" width="7.28515625" style="1574" customWidth="1"/>
    <col min="15110" max="15110" width="8.28515625" style="1574" customWidth="1"/>
    <col min="15111" max="15111" width="8.7109375" style="1574" customWidth="1"/>
    <col min="15112" max="15112" width="8.42578125" style="1574" customWidth="1"/>
    <col min="15113" max="15113" width="8.7109375" style="1574" customWidth="1"/>
    <col min="15114" max="15114" width="8.42578125" style="1574" customWidth="1"/>
    <col min="15115" max="15115" width="8.28515625" style="1574" customWidth="1"/>
    <col min="15116" max="15116" width="5.5703125" style="1574" customWidth="1"/>
    <col min="15117" max="15117" width="7.85546875" style="1574" bestFit="1" customWidth="1"/>
    <col min="15118" max="15118" width="7.5703125" style="1574" customWidth="1"/>
    <col min="15119" max="15119" width="5.85546875" style="1574" customWidth="1"/>
    <col min="15120" max="15122" width="8.85546875" style="1574" bestFit="1" customWidth="1"/>
    <col min="15123" max="15123" width="6.5703125" style="1574" customWidth="1"/>
    <col min="15124" max="15125" width="7.85546875" style="1574" bestFit="1" customWidth="1"/>
    <col min="15126" max="15126" width="5.7109375" style="1574" customWidth="1"/>
    <col min="15127" max="15127" width="6.7109375" style="1574" customWidth="1"/>
    <col min="15128" max="15128" width="6.85546875" style="1574" customWidth="1"/>
    <col min="15129" max="15129" width="6.7109375" style="1574" customWidth="1"/>
    <col min="15130" max="15360" width="10.140625" style="1574"/>
    <col min="15361" max="15361" width="4" style="1574" customWidth="1"/>
    <col min="15362" max="15362" width="27.28515625" style="1574" customWidth="1"/>
    <col min="15363" max="15364" width="8.42578125" style="1574" customWidth="1"/>
    <col min="15365" max="15365" width="7.28515625" style="1574" customWidth="1"/>
    <col min="15366" max="15366" width="8.28515625" style="1574" customWidth="1"/>
    <col min="15367" max="15367" width="8.7109375" style="1574" customWidth="1"/>
    <col min="15368" max="15368" width="8.42578125" style="1574" customWidth="1"/>
    <col min="15369" max="15369" width="8.7109375" style="1574" customWidth="1"/>
    <col min="15370" max="15370" width="8.42578125" style="1574" customWidth="1"/>
    <col min="15371" max="15371" width="8.28515625" style="1574" customWidth="1"/>
    <col min="15372" max="15372" width="5.5703125" style="1574" customWidth="1"/>
    <col min="15373" max="15373" width="7.85546875" style="1574" bestFit="1" customWidth="1"/>
    <col min="15374" max="15374" width="7.5703125" style="1574" customWidth="1"/>
    <col min="15375" max="15375" width="5.85546875" style="1574" customWidth="1"/>
    <col min="15376" max="15378" width="8.85546875" style="1574" bestFit="1" customWidth="1"/>
    <col min="15379" max="15379" width="6.5703125" style="1574" customWidth="1"/>
    <col min="15380" max="15381" width="7.85546875" style="1574" bestFit="1" customWidth="1"/>
    <col min="15382" max="15382" width="5.7109375" style="1574" customWidth="1"/>
    <col min="15383" max="15383" width="6.7109375" style="1574" customWidth="1"/>
    <col min="15384" max="15384" width="6.85546875" style="1574" customWidth="1"/>
    <col min="15385" max="15385" width="6.7109375" style="1574" customWidth="1"/>
    <col min="15386" max="15616" width="10.140625" style="1574"/>
    <col min="15617" max="15617" width="4" style="1574" customWidth="1"/>
    <col min="15618" max="15618" width="27.28515625" style="1574" customWidth="1"/>
    <col min="15619" max="15620" width="8.42578125" style="1574" customWidth="1"/>
    <col min="15621" max="15621" width="7.28515625" style="1574" customWidth="1"/>
    <col min="15622" max="15622" width="8.28515625" style="1574" customWidth="1"/>
    <col min="15623" max="15623" width="8.7109375" style="1574" customWidth="1"/>
    <col min="15624" max="15624" width="8.42578125" style="1574" customWidth="1"/>
    <col min="15625" max="15625" width="8.7109375" style="1574" customWidth="1"/>
    <col min="15626" max="15626" width="8.42578125" style="1574" customWidth="1"/>
    <col min="15627" max="15627" width="8.28515625" style="1574" customWidth="1"/>
    <col min="15628" max="15628" width="5.5703125" style="1574" customWidth="1"/>
    <col min="15629" max="15629" width="7.85546875" style="1574" bestFit="1" customWidth="1"/>
    <col min="15630" max="15630" width="7.5703125" style="1574" customWidth="1"/>
    <col min="15631" max="15631" width="5.85546875" style="1574" customWidth="1"/>
    <col min="15632" max="15634" width="8.85546875" style="1574" bestFit="1" customWidth="1"/>
    <col min="15635" max="15635" width="6.5703125" style="1574" customWidth="1"/>
    <col min="15636" max="15637" width="7.85546875" style="1574" bestFit="1" customWidth="1"/>
    <col min="15638" max="15638" width="5.7109375" style="1574" customWidth="1"/>
    <col min="15639" max="15639" width="6.7109375" style="1574" customWidth="1"/>
    <col min="15640" max="15640" width="6.85546875" style="1574" customWidth="1"/>
    <col min="15641" max="15641" width="6.7109375" style="1574" customWidth="1"/>
    <col min="15642" max="15872" width="10.140625" style="1574"/>
    <col min="15873" max="15873" width="4" style="1574" customWidth="1"/>
    <col min="15874" max="15874" width="27.28515625" style="1574" customWidth="1"/>
    <col min="15875" max="15876" width="8.42578125" style="1574" customWidth="1"/>
    <col min="15877" max="15877" width="7.28515625" style="1574" customWidth="1"/>
    <col min="15878" max="15878" width="8.28515625" style="1574" customWidth="1"/>
    <col min="15879" max="15879" width="8.7109375" style="1574" customWidth="1"/>
    <col min="15880" max="15880" width="8.42578125" style="1574" customWidth="1"/>
    <col min="15881" max="15881" width="8.7109375" style="1574" customWidth="1"/>
    <col min="15882" max="15882" width="8.42578125" style="1574" customWidth="1"/>
    <col min="15883" max="15883" width="8.28515625" style="1574" customWidth="1"/>
    <col min="15884" max="15884" width="5.5703125" style="1574" customWidth="1"/>
    <col min="15885" max="15885" width="7.85546875" style="1574" bestFit="1" customWidth="1"/>
    <col min="15886" max="15886" width="7.5703125" style="1574" customWidth="1"/>
    <col min="15887" max="15887" width="5.85546875" style="1574" customWidth="1"/>
    <col min="15888" max="15890" width="8.85546875" style="1574" bestFit="1" customWidth="1"/>
    <col min="15891" max="15891" width="6.5703125" style="1574" customWidth="1"/>
    <col min="15892" max="15893" width="7.85546875" style="1574" bestFit="1" customWidth="1"/>
    <col min="15894" max="15894" width="5.7109375" style="1574" customWidth="1"/>
    <col min="15895" max="15895" width="6.7109375" style="1574" customWidth="1"/>
    <col min="15896" max="15896" width="6.85546875" style="1574" customWidth="1"/>
    <col min="15897" max="15897" width="6.7109375" style="1574" customWidth="1"/>
    <col min="15898" max="16128" width="10.140625" style="1574"/>
    <col min="16129" max="16129" width="4" style="1574" customWidth="1"/>
    <col min="16130" max="16130" width="27.28515625" style="1574" customWidth="1"/>
    <col min="16131" max="16132" width="8.42578125" style="1574" customWidth="1"/>
    <col min="16133" max="16133" width="7.28515625" style="1574" customWidth="1"/>
    <col min="16134" max="16134" width="8.28515625" style="1574" customWidth="1"/>
    <col min="16135" max="16135" width="8.7109375" style="1574" customWidth="1"/>
    <col min="16136" max="16136" width="8.42578125" style="1574" customWidth="1"/>
    <col min="16137" max="16137" width="8.7109375" style="1574" customWidth="1"/>
    <col min="16138" max="16138" width="8.42578125" style="1574" customWidth="1"/>
    <col min="16139" max="16139" width="8.28515625" style="1574" customWidth="1"/>
    <col min="16140" max="16140" width="5.5703125" style="1574" customWidth="1"/>
    <col min="16141" max="16141" width="7.85546875" style="1574" bestFit="1" customWidth="1"/>
    <col min="16142" max="16142" width="7.5703125" style="1574" customWidth="1"/>
    <col min="16143" max="16143" width="5.85546875" style="1574" customWidth="1"/>
    <col min="16144" max="16146" width="8.85546875" style="1574" bestFit="1" customWidth="1"/>
    <col min="16147" max="16147" width="6.5703125" style="1574" customWidth="1"/>
    <col min="16148" max="16149" width="7.85546875" style="1574" bestFit="1" customWidth="1"/>
    <col min="16150" max="16150" width="5.7109375" style="1574" customWidth="1"/>
    <col min="16151" max="16151" width="6.7109375" style="1574" customWidth="1"/>
    <col min="16152" max="16152" width="6.85546875" style="1574" customWidth="1"/>
    <col min="16153" max="16153" width="6.7109375" style="1574" customWidth="1"/>
    <col min="16154" max="16384" width="10.140625" style="1574"/>
  </cols>
  <sheetData>
    <row r="1" spans="1:25" ht="20.25" customHeight="1">
      <c r="A1" s="1786" t="s">
        <v>221</v>
      </c>
      <c r="B1" s="1786"/>
      <c r="C1" s="1786"/>
      <c r="D1" s="1786"/>
      <c r="E1" s="1573"/>
      <c r="F1" s="1573"/>
      <c r="G1" s="1573"/>
      <c r="H1" s="1573"/>
      <c r="I1" s="1573"/>
      <c r="J1" s="1573"/>
      <c r="K1" s="1573"/>
      <c r="L1" s="1573"/>
      <c r="M1" s="1573"/>
      <c r="N1" s="1573"/>
      <c r="O1" s="1573"/>
      <c r="P1" s="1573"/>
      <c r="Q1" s="1573"/>
      <c r="R1" s="1573"/>
      <c r="S1" s="1573"/>
      <c r="T1" s="1573"/>
      <c r="U1" s="1681" t="s">
        <v>2231</v>
      </c>
      <c r="V1" s="1681"/>
      <c r="W1" s="1681"/>
      <c r="X1" s="1681"/>
      <c r="Y1" s="1681"/>
    </row>
    <row r="2" spans="1:25" ht="21" customHeight="1">
      <c r="A2" s="1787" t="s">
        <v>2218</v>
      </c>
      <c r="B2" s="1787"/>
      <c r="C2" s="1787"/>
      <c r="D2" s="1787"/>
      <c r="E2" s="1787"/>
      <c r="F2" s="1787"/>
      <c r="G2" s="1787"/>
      <c r="H2" s="1787"/>
      <c r="I2" s="1787"/>
      <c r="J2" s="1787"/>
      <c r="K2" s="1787"/>
      <c r="L2" s="1787"/>
      <c r="M2" s="1787"/>
      <c r="N2" s="1787"/>
      <c r="O2" s="1787"/>
      <c r="P2" s="1787"/>
      <c r="Q2" s="1787"/>
      <c r="R2" s="1787"/>
      <c r="S2" s="1787"/>
      <c r="T2" s="1787"/>
      <c r="U2" s="1787"/>
      <c r="V2" s="1787"/>
      <c r="W2" s="1787"/>
      <c r="X2" s="1787"/>
      <c r="Y2" s="1787"/>
    </row>
    <row r="3" spans="1:25" ht="18" customHeight="1">
      <c r="A3" s="1787" t="str">
        <f>B62CK!A3</f>
        <v>(Quyết toán đã được Hội đồng nhân dân tỉnh phê chuẩn)</v>
      </c>
      <c r="B3" s="1787"/>
      <c r="C3" s="1787"/>
      <c r="D3" s="1787"/>
      <c r="E3" s="1787"/>
      <c r="F3" s="1787"/>
      <c r="G3" s="1787"/>
      <c r="H3" s="1787"/>
      <c r="I3" s="1787"/>
      <c r="J3" s="1787"/>
      <c r="K3" s="1787"/>
      <c r="L3" s="1787"/>
      <c r="M3" s="1787"/>
      <c r="N3" s="1787"/>
      <c r="O3" s="1787"/>
      <c r="P3" s="1787"/>
      <c r="Q3" s="1787"/>
      <c r="R3" s="1787"/>
      <c r="S3" s="1787"/>
      <c r="T3" s="1787"/>
      <c r="U3" s="1787"/>
      <c r="V3" s="1787"/>
      <c r="W3" s="1787"/>
      <c r="X3" s="1787"/>
      <c r="Y3" s="1787"/>
    </row>
    <row r="4" spans="1:25" ht="18.75" customHeight="1">
      <c r="A4" s="1788" t="str">
        <f>B62CK!A4</f>
        <v>(Kèm theo Quyết định số            /QĐ-UBND ngày         tháng 01 năm 2020 của UBND tỉnh)</v>
      </c>
      <c r="B4" s="1788"/>
      <c r="C4" s="1788"/>
      <c r="D4" s="1788"/>
      <c r="E4" s="1788"/>
      <c r="F4" s="1788"/>
      <c r="G4" s="1788"/>
      <c r="H4" s="1788"/>
      <c r="I4" s="1788"/>
      <c r="J4" s="1788"/>
      <c r="K4" s="1788"/>
      <c r="L4" s="1788"/>
      <c r="M4" s="1788"/>
      <c r="N4" s="1788"/>
      <c r="O4" s="1788"/>
      <c r="P4" s="1788"/>
      <c r="Q4" s="1788"/>
      <c r="R4" s="1788"/>
      <c r="S4" s="1788"/>
      <c r="T4" s="1788"/>
      <c r="U4" s="1788"/>
      <c r="V4" s="1788"/>
      <c r="W4" s="1788"/>
      <c r="X4" s="1788"/>
      <c r="Y4" s="1788"/>
    </row>
    <row r="5" spans="1:25" ht="15.75" customHeight="1">
      <c r="A5" s="1573"/>
      <c r="B5" s="1573"/>
      <c r="C5" s="1573"/>
      <c r="D5" s="1573"/>
      <c r="E5" s="1573"/>
      <c r="F5" s="1573"/>
      <c r="G5" s="1573"/>
      <c r="H5" s="1573"/>
      <c r="I5" s="1573"/>
      <c r="J5" s="1573"/>
      <c r="K5" s="1573"/>
      <c r="L5" s="1573"/>
      <c r="M5" s="1573"/>
      <c r="N5" s="1573"/>
      <c r="O5" s="1573"/>
      <c r="P5" s="1573"/>
      <c r="Q5" s="1573"/>
      <c r="R5" s="1573"/>
      <c r="S5" s="1573"/>
      <c r="T5" s="1573"/>
      <c r="U5" s="1573"/>
      <c r="V5" s="1789" t="s">
        <v>5</v>
      </c>
      <c r="W5" s="1789"/>
      <c r="X5" s="1789"/>
      <c r="Y5" s="1789"/>
    </row>
    <row r="6" spans="1:25" s="1575" customFormat="1" ht="21" customHeight="1">
      <c r="A6" s="1778" t="s">
        <v>316</v>
      </c>
      <c r="B6" s="1778" t="s">
        <v>1970</v>
      </c>
      <c r="C6" s="1791" t="s">
        <v>136</v>
      </c>
      <c r="D6" s="1792"/>
      <c r="E6" s="1793"/>
      <c r="F6" s="1778" t="s">
        <v>155</v>
      </c>
      <c r="G6" s="1778"/>
      <c r="H6" s="1778"/>
      <c r="I6" s="1778"/>
      <c r="J6" s="1778"/>
      <c r="K6" s="1778"/>
      <c r="L6" s="1778"/>
      <c r="M6" s="1778"/>
      <c r="N6" s="1778"/>
      <c r="O6" s="1778"/>
      <c r="P6" s="1778"/>
      <c r="Q6" s="1778"/>
      <c r="R6" s="1778"/>
      <c r="S6" s="1778"/>
      <c r="T6" s="1778"/>
      <c r="U6" s="1778"/>
      <c r="V6" s="1778"/>
      <c r="W6" s="1779" t="s">
        <v>75</v>
      </c>
      <c r="X6" s="1780"/>
      <c r="Y6" s="1781"/>
    </row>
    <row r="7" spans="1:25" s="1575" customFormat="1" ht="21.75" customHeight="1">
      <c r="A7" s="1778"/>
      <c r="B7" s="1778"/>
      <c r="C7" s="1775" t="s">
        <v>25</v>
      </c>
      <c r="D7" s="1778" t="s">
        <v>33</v>
      </c>
      <c r="E7" s="1778"/>
      <c r="F7" s="1775" t="s">
        <v>25</v>
      </c>
      <c r="G7" s="1794" t="s">
        <v>33</v>
      </c>
      <c r="H7" s="1795"/>
      <c r="I7" s="1778" t="s">
        <v>231</v>
      </c>
      <c r="J7" s="1778"/>
      <c r="K7" s="1778"/>
      <c r="L7" s="1778"/>
      <c r="M7" s="1778"/>
      <c r="N7" s="1778"/>
      <c r="O7" s="1778"/>
      <c r="P7" s="1778"/>
      <c r="Q7" s="1778"/>
      <c r="R7" s="1778"/>
      <c r="S7" s="1778"/>
      <c r="T7" s="1778"/>
      <c r="U7" s="1778"/>
      <c r="V7" s="1778"/>
      <c r="W7" s="1782" t="s">
        <v>25</v>
      </c>
      <c r="X7" s="1782" t="s">
        <v>73</v>
      </c>
      <c r="Y7" s="1782" t="s">
        <v>15</v>
      </c>
    </row>
    <row r="8" spans="1:25" s="1575" customFormat="1" ht="25.5" customHeight="1">
      <c r="A8" s="1778"/>
      <c r="B8" s="1778"/>
      <c r="C8" s="1776"/>
      <c r="D8" s="1778"/>
      <c r="E8" s="1778"/>
      <c r="F8" s="1776"/>
      <c r="G8" s="1796"/>
      <c r="H8" s="1797"/>
      <c r="I8" s="1778" t="s">
        <v>1691</v>
      </c>
      <c r="J8" s="1778"/>
      <c r="K8" s="1778"/>
      <c r="L8" s="1778"/>
      <c r="M8" s="1778"/>
      <c r="N8" s="1778"/>
      <c r="O8" s="1778"/>
      <c r="P8" s="1778" t="s">
        <v>1692</v>
      </c>
      <c r="Q8" s="1778"/>
      <c r="R8" s="1778"/>
      <c r="S8" s="1778"/>
      <c r="T8" s="1778"/>
      <c r="U8" s="1778"/>
      <c r="V8" s="1778"/>
      <c r="W8" s="1783"/>
      <c r="X8" s="1783"/>
      <c r="Y8" s="1783"/>
    </row>
    <row r="9" spans="1:25" s="1575" customFormat="1" ht="22.5" customHeight="1">
      <c r="A9" s="1778"/>
      <c r="B9" s="1778"/>
      <c r="C9" s="1776"/>
      <c r="D9" s="1783" t="s">
        <v>147</v>
      </c>
      <c r="E9" s="1783" t="s">
        <v>148</v>
      </c>
      <c r="F9" s="1776"/>
      <c r="G9" s="1785" t="s">
        <v>147</v>
      </c>
      <c r="H9" s="1785" t="s">
        <v>148</v>
      </c>
      <c r="I9" s="1778" t="s">
        <v>25</v>
      </c>
      <c r="J9" s="1785" t="s">
        <v>73</v>
      </c>
      <c r="K9" s="1785"/>
      <c r="L9" s="1785"/>
      <c r="M9" s="1785" t="s">
        <v>148</v>
      </c>
      <c r="N9" s="1785"/>
      <c r="O9" s="1785"/>
      <c r="P9" s="1778" t="s">
        <v>25</v>
      </c>
      <c r="Q9" s="1785" t="s">
        <v>73</v>
      </c>
      <c r="R9" s="1785"/>
      <c r="S9" s="1785"/>
      <c r="T9" s="1785" t="s">
        <v>148</v>
      </c>
      <c r="U9" s="1785"/>
      <c r="V9" s="1785"/>
      <c r="W9" s="1783"/>
      <c r="X9" s="1783"/>
      <c r="Y9" s="1783"/>
    </row>
    <row r="10" spans="1:25" s="1575" customFormat="1" ht="12.75" customHeight="1">
      <c r="A10" s="1778"/>
      <c r="B10" s="1778"/>
      <c r="C10" s="1776"/>
      <c r="D10" s="1783"/>
      <c r="E10" s="1783"/>
      <c r="F10" s="1776"/>
      <c r="G10" s="1785"/>
      <c r="H10" s="1785"/>
      <c r="I10" s="1778"/>
      <c r="J10" s="1785" t="s">
        <v>2219</v>
      </c>
      <c r="K10" s="1790" t="s">
        <v>150</v>
      </c>
      <c r="L10" s="1790"/>
      <c r="M10" s="1785" t="s">
        <v>2219</v>
      </c>
      <c r="N10" s="1790" t="s">
        <v>150</v>
      </c>
      <c r="O10" s="1790"/>
      <c r="P10" s="1778"/>
      <c r="Q10" s="1785" t="s">
        <v>2219</v>
      </c>
      <c r="R10" s="1790" t="s">
        <v>150</v>
      </c>
      <c r="S10" s="1790"/>
      <c r="T10" s="1785" t="s">
        <v>2219</v>
      </c>
      <c r="U10" s="1790" t="s">
        <v>150</v>
      </c>
      <c r="V10" s="1790"/>
      <c r="W10" s="1783"/>
      <c r="X10" s="1783"/>
      <c r="Y10" s="1783"/>
    </row>
    <row r="11" spans="1:25" s="1575" customFormat="1" ht="45.75" customHeight="1">
      <c r="A11" s="1778"/>
      <c r="B11" s="1778"/>
      <c r="C11" s="1777"/>
      <c r="D11" s="1784"/>
      <c r="E11" s="1784"/>
      <c r="F11" s="1777"/>
      <c r="G11" s="1785"/>
      <c r="H11" s="1785"/>
      <c r="I11" s="1778"/>
      <c r="J11" s="1785"/>
      <c r="K11" s="1576" t="s">
        <v>29</v>
      </c>
      <c r="L11" s="1576" t="s">
        <v>149</v>
      </c>
      <c r="M11" s="1785"/>
      <c r="N11" s="1576" t="s">
        <v>29</v>
      </c>
      <c r="O11" s="1576" t="s">
        <v>149</v>
      </c>
      <c r="P11" s="1778"/>
      <c r="Q11" s="1785"/>
      <c r="R11" s="1576" t="s">
        <v>29</v>
      </c>
      <c r="S11" s="1576" t="s">
        <v>149</v>
      </c>
      <c r="T11" s="1785"/>
      <c r="U11" s="1576" t="s">
        <v>29</v>
      </c>
      <c r="V11" s="1576" t="s">
        <v>149</v>
      </c>
      <c r="W11" s="1784"/>
      <c r="X11" s="1784"/>
      <c r="Y11" s="1784"/>
    </row>
    <row r="12" spans="1:25" s="1579" customFormat="1" ht="27">
      <c r="A12" s="1577" t="s">
        <v>2</v>
      </c>
      <c r="B12" s="1577" t="s">
        <v>3</v>
      </c>
      <c r="C12" s="1577">
        <v>1</v>
      </c>
      <c r="D12" s="1577">
        <v>2</v>
      </c>
      <c r="E12" s="1577">
        <v>3</v>
      </c>
      <c r="F12" s="1577">
        <v>4</v>
      </c>
      <c r="G12" s="1577">
        <v>5</v>
      </c>
      <c r="H12" s="1577">
        <v>6</v>
      </c>
      <c r="I12" s="1577">
        <v>7</v>
      </c>
      <c r="J12" s="1577">
        <v>8</v>
      </c>
      <c r="K12" s="1577">
        <v>9</v>
      </c>
      <c r="L12" s="1577">
        <v>10</v>
      </c>
      <c r="M12" s="1577">
        <v>11</v>
      </c>
      <c r="N12" s="1577">
        <v>12</v>
      </c>
      <c r="O12" s="1577">
        <v>13</v>
      </c>
      <c r="P12" s="1577">
        <v>14</v>
      </c>
      <c r="Q12" s="1577">
        <v>15</v>
      </c>
      <c r="R12" s="1577">
        <v>16</v>
      </c>
      <c r="S12" s="1577">
        <v>17</v>
      </c>
      <c r="T12" s="1577">
        <v>18</v>
      </c>
      <c r="U12" s="1577">
        <v>19</v>
      </c>
      <c r="V12" s="1577">
        <v>20</v>
      </c>
      <c r="W12" s="1577" t="s">
        <v>249</v>
      </c>
      <c r="X12" s="1578" t="s">
        <v>250</v>
      </c>
      <c r="Y12" s="1578" t="s">
        <v>251</v>
      </c>
    </row>
    <row r="13" spans="1:25" s="1575" customFormat="1" ht="20.25" customHeight="1">
      <c r="A13" s="1580"/>
      <c r="B13" s="1580" t="s">
        <v>27</v>
      </c>
      <c r="C13" s="1581">
        <f>C14+C28</f>
        <v>338109</v>
      </c>
      <c r="D13" s="1581">
        <f t="shared" ref="D13:V13" si="0">D14+D28</f>
        <v>239073</v>
      </c>
      <c r="E13" s="1581">
        <f t="shared" si="0"/>
        <v>99036</v>
      </c>
      <c r="F13" s="1581">
        <f t="shared" si="0"/>
        <v>395396.299039</v>
      </c>
      <c r="G13" s="1581">
        <f t="shared" si="0"/>
        <v>289953.73266400001</v>
      </c>
      <c r="H13" s="1581">
        <f t="shared" si="0"/>
        <v>105442.56637499999</v>
      </c>
      <c r="I13" s="1581">
        <f t="shared" si="0"/>
        <v>167037.86551</v>
      </c>
      <c r="J13" s="1581">
        <f t="shared" si="0"/>
        <v>117966.567389</v>
      </c>
      <c r="K13" s="1581">
        <f t="shared" si="0"/>
        <v>117966.567389</v>
      </c>
      <c r="L13" s="1581">
        <f t="shared" si="0"/>
        <v>0</v>
      </c>
      <c r="M13" s="1581">
        <f t="shared" si="0"/>
        <v>49071.298121</v>
      </c>
      <c r="N13" s="1581">
        <f t="shared" si="0"/>
        <v>49071.298121</v>
      </c>
      <c r="O13" s="1581">
        <f t="shared" si="0"/>
        <v>0</v>
      </c>
      <c r="P13" s="1581">
        <f t="shared" si="0"/>
        <v>228358.43352900003</v>
      </c>
      <c r="Q13" s="1581">
        <f t="shared" si="0"/>
        <v>171987.16527500001</v>
      </c>
      <c r="R13" s="1581">
        <f t="shared" si="0"/>
        <v>167510.99137500001</v>
      </c>
      <c r="S13" s="1581">
        <f t="shared" si="0"/>
        <v>4476.1738999999998</v>
      </c>
      <c r="T13" s="1581">
        <f t="shared" si="0"/>
        <v>56371.268253999995</v>
      </c>
      <c r="U13" s="1581">
        <f t="shared" si="0"/>
        <v>56371.268253999995</v>
      </c>
      <c r="V13" s="1581">
        <f t="shared" si="0"/>
        <v>0</v>
      </c>
      <c r="W13" s="1582">
        <f>(F13/C13)</f>
        <v>1.1694344103203405</v>
      </c>
      <c r="X13" s="1582">
        <f>(G13/D13)</f>
        <v>1.2128250896755384</v>
      </c>
      <c r="Y13" s="1582">
        <f>(H13/E13)</f>
        <v>1.0646892682963771</v>
      </c>
    </row>
    <row r="14" spans="1:25" s="1579" customFormat="1" ht="27.95" customHeight="1">
      <c r="A14" s="1583" t="s">
        <v>11</v>
      </c>
      <c r="B14" s="1584" t="s">
        <v>241</v>
      </c>
      <c r="C14" s="1585">
        <f>D14+E14</f>
        <v>20941</v>
      </c>
      <c r="D14" s="1586">
        <f>SUM(D15:D27)</f>
        <v>0</v>
      </c>
      <c r="E14" s="1586">
        <f>SUM(E15:E27)</f>
        <v>20941</v>
      </c>
      <c r="F14" s="1585">
        <f>G14+H14</f>
        <v>19271</v>
      </c>
      <c r="G14" s="1587">
        <f>J14+Q14</f>
        <v>0</v>
      </c>
      <c r="H14" s="1586">
        <f>M14+T14</f>
        <v>19271</v>
      </c>
      <c r="I14" s="1585">
        <f>J14+M14</f>
        <v>13129</v>
      </c>
      <c r="J14" s="1583"/>
      <c r="K14" s="1583"/>
      <c r="L14" s="1583"/>
      <c r="M14" s="1586">
        <f>SUM(M15:M27)</f>
        <v>13129</v>
      </c>
      <c r="N14" s="1586">
        <f>SUM(N15:N27)</f>
        <v>13129</v>
      </c>
      <c r="O14" s="1583"/>
      <c r="P14" s="1585">
        <f>Q14+T14</f>
        <v>6142</v>
      </c>
      <c r="Q14" s="1583"/>
      <c r="R14" s="1583"/>
      <c r="S14" s="1583"/>
      <c r="T14" s="1586">
        <f>U14</f>
        <v>6142</v>
      </c>
      <c r="U14" s="1586">
        <f>SUM(U15:U23)</f>
        <v>6142</v>
      </c>
      <c r="V14" s="1583"/>
      <c r="W14" s="1582">
        <f>(F14/C14)</f>
        <v>0.92025213695621033</v>
      </c>
      <c r="X14" s="1588"/>
      <c r="Y14" s="1582">
        <f>(H14/E14)</f>
        <v>0.92025213695621033</v>
      </c>
    </row>
    <row r="15" spans="1:25" s="1575" customFormat="1" ht="23.25" customHeight="1">
      <c r="A15" s="1589">
        <v>1</v>
      </c>
      <c r="B15" s="1590" t="s">
        <v>243</v>
      </c>
      <c r="C15" s="1591">
        <f>D15+E15</f>
        <v>3908.95</v>
      </c>
      <c r="D15" s="1591">
        <v>0</v>
      </c>
      <c r="E15" s="1591">
        <v>3908.95</v>
      </c>
      <c r="F15" s="1591">
        <f>G15+H15</f>
        <v>3737</v>
      </c>
      <c r="G15" s="1592">
        <f>J15+Q15</f>
        <v>0</v>
      </c>
      <c r="H15" s="1593">
        <f>M15+T15</f>
        <v>3737</v>
      </c>
      <c r="I15" s="1591"/>
      <c r="J15" s="1284"/>
      <c r="K15" s="1284"/>
      <c r="L15" s="1284"/>
      <c r="M15" s="1591">
        <f t="shared" ref="M15:M36" si="1">N15+O15</f>
        <v>3717</v>
      </c>
      <c r="N15" s="1591">
        <v>3717</v>
      </c>
      <c r="O15" s="1284">
        <v>0</v>
      </c>
      <c r="P15" s="1284"/>
      <c r="Q15" s="1580"/>
      <c r="R15" s="1580"/>
      <c r="S15" s="1580"/>
      <c r="T15" s="1591">
        <f>U15+V15</f>
        <v>20</v>
      </c>
      <c r="U15" s="1594">
        <v>20</v>
      </c>
      <c r="V15" s="1595">
        <v>0</v>
      </c>
      <c r="W15" s="1596">
        <f>(F15/C15)</f>
        <v>0.95601120505506598</v>
      </c>
      <c r="X15" s="1597"/>
      <c r="Y15" s="1596">
        <f>(H15/E15)</f>
        <v>0.95601120505506598</v>
      </c>
    </row>
    <row r="16" spans="1:25" s="1575" customFormat="1" ht="28.5" customHeight="1">
      <c r="A16" s="1598">
        <v>2</v>
      </c>
      <c r="B16" s="1599" t="s">
        <v>244</v>
      </c>
      <c r="C16" s="1300">
        <f t="shared" ref="C16:C27" si="2">D16+E16</f>
        <v>1300</v>
      </c>
      <c r="D16" s="1300">
        <v>0</v>
      </c>
      <c r="E16" s="1300">
        <v>1300</v>
      </c>
      <c r="F16" s="1300">
        <f t="shared" ref="F16:F27" si="3">G16+H16</f>
        <v>1252</v>
      </c>
      <c r="G16" s="1600">
        <f t="shared" ref="G16:G27" si="4">J16+Q16</f>
        <v>0</v>
      </c>
      <c r="H16" s="1601">
        <f t="shared" ref="H16:H27" si="5">M16+T16</f>
        <v>1252</v>
      </c>
      <c r="I16" s="1300"/>
      <c r="J16" s="1310"/>
      <c r="K16" s="1310"/>
      <c r="L16" s="1310"/>
      <c r="M16" s="1300">
        <f t="shared" si="1"/>
        <v>1252</v>
      </c>
      <c r="N16" s="1300">
        <v>1252</v>
      </c>
      <c r="O16" s="1310">
        <v>0</v>
      </c>
      <c r="P16" s="1300"/>
      <c r="Q16" s="1602"/>
      <c r="R16" s="1602"/>
      <c r="S16" s="1602"/>
      <c r="T16" s="1300"/>
      <c r="U16" s="1602"/>
      <c r="V16" s="1602"/>
      <c r="W16" s="1603">
        <f>(F16/C16)</f>
        <v>0.96307692307692305</v>
      </c>
      <c r="X16" s="1604"/>
      <c r="Y16" s="1603">
        <f t="shared" ref="Y16:Y23" si="6">(H16/E16)</f>
        <v>0.96307692307692305</v>
      </c>
    </row>
    <row r="17" spans="1:25" s="1575" customFormat="1" ht="35.25" customHeight="1">
      <c r="A17" s="1598">
        <v>3</v>
      </c>
      <c r="B17" s="1599" t="s">
        <v>2220</v>
      </c>
      <c r="C17" s="1300">
        <f t="shared" si="2"/>
        <v>3317.05</v>
      </c>
      <c r="D17" s="1300">
        <v>0</v>
      </c>
      <c r="E17" s="1300">
        <v>3317.05</v>
      </c>
      <c r="F17" s="1300">
        <f t="shared" si="3"/>
        <v>3292</v>
      </c>
      <c r="G17" s="1600">
        <f t="shared" si="4"/>
        <v>0</v>
      </c>
      <c r="H17" s="1601">
        <f t="shared" si="5"/>
        <v>3292</v>
      </c>
      <c r="I17" s="1300"/>
      <c r="J17" s="1300"/>
      <c r="K17" s="1300"/>
      <c r="L17" s="1300"/>
      <c r="M17" s="1300">
        <f t="shared" si="1"/>
        <v>3277</v>
      </c>
      <c r="N17" s="1300">
        <v>3277</v>
      </c>
      <c r="O17" s="1602">
        <v>0</v>
      </c>
      <c r="P17" s="1300"/>
      <c r="Q17" s="1602"/>
      <c r="R17" s="1602"/>
      <c r="S17" s="1602"/>
      <c r="T17" s="1300">
        <f>U17+V17</f>
        <v>15</v>
      </c>
      <c r="U17" s="1605">
        <v>15</v>
      </c>
      <c r="V17" s="1606">
        <v>0</v>
      </c>
      <c r="W17" s="1603">
        <f>(F17/C17)</f>
        <v>0.99244810901252611</v>
      </c>
      <c r="X17" s="1604"/>
      <c r="Y17" s="1603">
        <f t="shared" si="6"/>
        <v>0.99244810901252611</v>
      </c>
    </row>
    <row r="18" spans="1:25" s="1575" customFormat="1" ht="28.5" customHeight="1">
      <c r="A18" s="1598">
        <v>4</v>
      </c>
      <c r="B18" s="1599" t="s">
        <v>1039</v>
      </c>
      <c r="C18" s="1300">
        <f t="shared" si="2"/>
        <v>1535</v>
      </c>
      <c r="D18" s="1300">
        <v>0</v>
      </c>
      <c r="E18" s="1300">
        <v>1535</v>
      </c>
      <c r="F18" s="1300">
        <f t="shared" si="3"/>
        <v>1515</v>
      </c>
      <c r="G18" s="1600">
        <f t="shared" si="4"/>
        <v>0</v>
      </c>
      <c r="H18" s="1601">
        <f t="shared" si="5"/>
        <v>1515</v>
      </c>
      <c r="I18" s="1300"/>
      <c r="J18" s="1602"/>
      <c r="K18" s="1602"/>
      <c r="L18" s="1602"/>
      <c r="M18" s="1300">
        <f t="shared" si="1"/>
        <v>1180</v>
      </c>
      <c r="N18" s="1607">
        <v>1180</v>
      </c>
      <c r="O18" s="1605">
        <v>0</v>
      </c>
      <c r="P18" s="1300"/>
      <c r="Q18" s="1598"/>
      <c r="R18" s="1598"/>
      <c r="S18" s="1598"/>
      <c r="T18" s="1300">
        <f>U18+V18</f>
        <v>335</v>
      </c>
      <c r="U18" s="1598">
        <v>335</v>
      </c>
      <c r="V18" s="1608">
        <v>0</v>
      </c>
      <c r="W18" s="1603">
        <f>(F18/C18)</f>
        <v>0.98697068403908794</v>
      </c>
      <c r="X18" s="1604"/>
      <c r="Y18" s="1603">
        <f t="shared" si="6"/>
        <v>0.98697068403908794</v>
      </c>
    </row>
    <row r="19" spans="1:25" s="1575" customFormat="1" ht="21.75" customHeight="1">
      <c r="A19" s="1598">
        <v>5</v>
      </c>
      <c r="B19" s="1599" t="s">
        <v>245</v>
      </c>
      <c r="C19" s="1300">
        <f t="shared" si="2"/>
        <v>200</v>
      </c>
      <c r="D19" s="1300">
        <v>0</v>
      </c>
      <c r="E19" s="1300">
        <v>200</v>
      </c>
      <c r="F19" s="1300">
        <f t="shared" si="3"/>
        <v>200</v>
      </c>
      <c r="G19" s="1600">
        <f t="shared" si="4"/>
        <v>0</v>
      </c>
      <c r="H19" s="1601">
        <f t="shared" si="5"/>
        <v>200</v>
      </c>
      <c r="I19" s="1300"/>
      <c r="J19" s="1300"/>
      <c r="K19" s="1300"/>
      <c r="L19" s="1300"/>
      <c r="M19" s="1300">
        <f t="shared" si="1"/>
        <v>200</v>
      </c>
      <c r="N19" s="1300">
        <v>200</v>
      </c>
      <c r="O19" s="1300">
        <v>0</v>
      </c>
      <c r="P19" s="1300"/>
      <c r="Q19" s="1602"/>
      <c r="R19" s="1602"/>
      <c r="S19" s="1602"/>
      <c r="T19" s="1300"/>
      <c r="U19" s="1602"/>
      <c r="V19" s="1602"/>
      <c r="W19" s="1604"/>
      <c r="X19" s="1604"/>
      <c r="Y19" s="1603">
        <f t="shared" si="6"/>
        <v>1</v>
      </c>
    </row>
    <row r="20" spans="1:25" s="1575" customFormat="1" ht="21.75" customHeight="1">
      <c r="A20" s="1598">
        <v>6</v>
      </c>
      <c r="B20" s="1599" t="s">
        <v>246</v>
      </c>
      <c r="C20" s="1300">
        <f t="shared" si="2"/>
        <v>1331.25</v>
      </c>
      <c r="D20" s="1300">
        <v>0</v>
      </c>
      <c r="E20" s="1300">
        <v>1331.25</v>
      </c>
      <c r="F20" s="1300">
        <f t="shared" si="3"/>
        <v>1038</v>
      </c>
      <c r="G20" s="1600">
        <f t="shared" si="4"/>
        <v>0</v>
      </c>
      <c r="H20" s="1601">
        <f t="shared" si="5"/>
        <v>1038</v>
      </c>
      <c r="I20" s="1300"/>
      <c r="J20" s="1300"/>
      <c r="K20" s="1300"/>
      <c r="L20" s="1300"/>
      <c r="M20" s="1300">
        <f t="shared" si="1"/>
        <v>1038</v>
      </c>
      <c r="N20" s="1300">
        <v>1038</v>
      </c>
      <c r="O20" s="1300">
        <v>0</v>
      </c>
      <c r="P20" s="1300"/>
      <c r="Q20" s="1602"/>
      <c r="R20" s="1602"/>
      <c r="S20" s="1602"/>
      <c r="T20" s="1300"/>
      <c r="U20" s="1602"/>
      <c r="V20" s="1602"/>
      <c r="W20" s="1603">
        <f>(F20/C20)</f>
        <v>0.77971830985915491</v>
      </c>
      <c r="X20" s="1604"/>
      <c r="Y20" s="1603">
        <f t="shared" si="6"/>
        <v>0.77971830985915491</v>
      </c>
    </row>
    <row r="21" spans="1:25" s="1575" customFormat="1" ht="23.25" customHeight="1">
      <c r="A21" s="1598">
        <v>7</v>
      </c>
      <c r="B21" s="1599" t="s">
        <v>247</v>
      </c>
      <c r="C21" s="1300">
        <f t="shared" si="2"/>
        <v>5265</v>
      </c>
      <c r="D21" s="1300">
        <v>0</v>
      </c>
      <c r="E21" s="1300">
        <v>5265</v>
      </c>
      <c r="F21" s="1300">
        <f t="shared" si="3"/>
        <v>5245</v>
      </c>
      <c r="G21" s="1600">
        <f t="shared" si="4"/>
        <v>0</v>
      </c>
      <c r="H21" s="1601">
        <f t="shared" si="5"/>
        <v>5245</v>
      </c>
      <c r="I21" s="1300"/>
      <c r="J21" s="1602"/>
      <c r="K21" s="1602"/>
      <c r="L21" s="1602"/>
      <c r="M21" s="1300">
        <f t="shared" si="1"/>
        <v>0</v>
      </c>
      <c r="N21" s="1609">
        <v>0</v>
      </c>
      <c r="O21" s="1602"/>
      <c r="P21" s="1300"/>
      <c r="Q21" s="1300"/>
      <c r="R21" s="1300"/>
      <c r="S21" s="1300"/>
      <c r="T21" s="1300">
        <f>U21+V21</f>
        <v>5245</v>
      </c>
      <c r="U21" s="1300">
        <v>5245</v>
      </c>
      <c r="V21" s="1300">
        <v>0</v>
      </c>
      <c r="W21" s="1603">
        <f>(F21/C21)</f>
        <v>0.99620132953466289</v>
      </c>
      <c r="X21" s="1604"/>
      <c r="Y21" s="1603">
        <f t="shared" si="6"/>
        <v>0.99620132953466289</v>
      </c>
    </row>
    <row r="22" spans="1:25" s="1575" customFormat="1" ht="33" customHeight="1">
      <c r="A22" s="1598">
        <v>8</v>
      </c>
      <c r="B22" s="1599" t="s">
        <v>2221</v>
      </c>
      <c r="C22" s="1300">
        <f t="shared" si="2"/>
        <v>3581.9900000000002</v>
      </c>
      <c r="D22" s="1300">
        <v>0</v>
      </c>
      <c r="E22" s="1300">
        <v>3581.9900000000002</v>
      </c>
      <c r="F22" s="1300">
        <f t="shared" si="3"/>
        <v>2868</v>
      </c>
      <c r="G22" s="1600">
        <f t="shared" si="4"/>
        <v>0</v>
      </c>
      <c r="H22" s="1601">
        <f t="shared" si="5"/>
        <v>2868</v>
      </c>
      <c r="I22" s="1300"/>
      <c r="J22" s="1300"/>
      <c r="K22" s="1300"/>
      <c r="L22" s="1300"/>
      <c r="M22" s="1300">
        <f t="shared" si="1"/>
        <v>2341</v>
      </c>
      <c r="N22" s="1300">
        <v>2341</v>
      </c>
      <c r="O22" s="1609">
        <v>0</v>
      </c>
      <c r="P22" s="1300"/>
      <c r="Q22" s="1300"/>
      <c r="R22" s="1300"/>
      <c r="S22" s="1300"/>
      <c r="T22" s="1300">
        <f>U22+V22</f>
        <v>527</v>
      </c>
      <c r="U22" s="1300">
        <v>527</v>
      </c>
      <c r="V22" s="1300">
        <v>0</v>
      </c>
      <c r="W22" s="1603">
        <f>(F22/C22)</f>
        <v>0.80067225201633718</v>
      </c>
      <c r="X22" s="1604"/>
      <c r="Y22" s="1603">
        <f t="shared" si="6"/>
        <v>0.80067225201633718</v>
      </c>
    </row>
    <row r="23" spans="1:25" s="1575" customFormat="1" ht="25.5" customHeight="1">
      <c r="A23" s="1598">
        <v>9</v>
      </c>
      <c r="B23" s="1599" t="s">
        <v>2222</v>
      </c>
      <c r="C23" s="1300">
        <f t="shared" si="2"/>
        <v>80</v>
      </c>
      <c r="D23" s="1300">
        <v>0</v>
      </c>
      <c r="E23" s="1300">
        <v>80</v>
      </c>
      <c r="F23" s="1300">
        <f t="shared" si="3"/>
        <v>80</v>
      </c>
      <c r="G23" s="1600">
        <f t="shared" si="4"/>
        <v>0</v>
      </c>
      <c r="H23" s="1601">
        <f t="shared" si="5"/>
        <v>80</v>
      </c>
      <c r="I23" s="1300">
        <f>J23+M23</f>
        <v>80</v>
      </c>
      <c r="J23" s="1609">
        <v>0</v>
      </c>
      <c r="K23" s="1609">
        <v>0</v>
      </c>
      <c r="L23" s="1602"/>
      <c r="M23" s="1300">
        <f t="shared" si="1"/>
        <v>80</v>
      </c>
      <c r="N23" s="1610">
        <v>80</v>
      </c>
      <c r="O23" s="1609">
        <v>0</v>
      </c>
      <c r="P23" s="1300"/>
      <c r="Q23" s="1602"/>
      <c r="R23" s="1602"/>
      <c r="S23" s="1602"/>
      <c r="T23" s="1300"/>
      <c r="U23" s="1602"/>
      <c r="V23" s="1602"/>
      <c r="W23" s="1604"/>
      <c r="X23" s="1604"/>
      <c r="Y23" s="1603">
        <f t="shared" si="6"/>
        <v>1</v>
      </c>
    </row>
    <row r="24" spans="1:25" s="1575" customFormat="1" ht="23.25" customHeight="1">
      <c r="A24" s="1598">
        <v>10</v>
      </c>
      <c r="B24" s="1599" t="s">
        <v>1359</v>
      </c>
      <c r="C24" s="1300">
        <f t="shared" si="2"/>
        <v>150.6</v>
      </c>
      <c r="D24" s="1300">
        <v>0</v>
      </c>
      <c r="E24" s="1300">
        <v>150.6</v>
      </c>
      <c r="F24" s="1300">
        <f t="shared" si="3"/>
        <v>0</v>
      </c>
      <c r="G24" s="1600">
        <f t="shared" si="4"/>
        <v>0</v>
      </c>
      <c r="H24" s="1601">
        <f t="shared" si="5"/>
        <v>0</v>
      </c>
      <c r="I24" s="1300"/>
      <c r="J24" s="1602"/>
      <c r="K24" s="1602"/>
      <c r="L24" s="1602"/>
      <c r="M24" s="1300">
        <f t="shared" si="1"/>
        <v>0</v>
      </c>
      <c r="N24" s="1609">
        <v>0</v>
      </c>
      <c r="O24" s="1609">
        <v>0</v>
      </c>
      <c r="P24" s="1300"/>
      <c r="Q24" s="1602"/>
      <c r="R24" s="1602"/>
      <c r="S24" s="1602"/>
      <c r="T24" s="1300"/>
      <c r="U24" s="1602"/>
      <c r="V24" s="1602"/>
      <c r="W24" s="1604"/>
      <c r="X24" s="1604"/>
      <c r="Y24" s="1604">
        <f>(H24/E24)*100</f>
        <v>0</v>
      </c>
    </row>
    <row r="25" spans="1:25" s="1575" customFormat="1" ht="24" customHeight="1">
      <c r="A25" s="1598">
        <v>11</v>
      </c>
      <c r="B25" s="1599" t="s">
        <v>2223</v>
      </c>
      <c r="C25" s="1300">
        <f t="shared" si="2"/>
        <v>108.5</v>
      </c>
      <c r="D25" s="1300">
        <v>0</v>
      </c>
      <c r="E25" s="1300">
        <v>108.5</v>
      </c>
      <c r="F25" s="1300">
        <f t="shared" si="3"/>
        <v>0</v>
      </c>
      <c r="G25" s="1600">
        <f t="shared" si="4"/>
        <v>0</v>
      </c>
      <c r="H25" s="1601">
        <f t="shared" si="5"/>
        <v>0</v>
      </c>
      <c r="I25" s="1300"/>
      <c r="J25" s="1602"/>
      <c r="K25" s="1602"/>
      <c r="L25" s="1602"/>
      <c r="M25" s="1300">
        <f t="shared" si="1"/>
        <v>0</v>
      </c>
      <c r="N25" s="1609">
        <v>0</v>
      </c>
      <c r="O25" s="1609">
        <v>0</v>
      </c>
      <c r="P25" s="1300"/>
      <c r="Q25" s="1602"/>
      <c r="R25" s="1602"/>
      <c r="S25" s="1602"/>
      <c r="T25" s="1300"/>
      <c r="U25" s="1602"/>
      <c r="V25" s="1602"/>
      <c r="W25" s="1604"/>
      <c r="X25" s="1604"/>
      <c r="Y25" s="1604">
        <f>(H25/E25)*100</f>
        <v>0</v>
      </c>
    </row>
    <row r="26" spans="1:25" s="1575" customFormat="1" ht="28.5" customHeight="1">
      <c r="A26" s="1598">
        <v>12</v>
      </c>
      <c r="B26" s="1599" t="s">
        <v>2224</v>
      </c>
      <c r="C26" s="1300">
        <f t="shared" si="2"/>
        <v>117</v>
      </c>
      <c r="D26" s="1300">
        <v>0</v>
      </c>
      <c r="E26" s="1300">
        <v>117</v>
      </c>
      <c r="F26" s="1300">
        <f t="shared" si="3"/>
        <v>0</v>
      </c>
      <c r="G26" s="1600">
        <f t="shared" si="4"/>
        <v>0</v>
      </c>
      <c r="H26" s="1601">
        <f t="shared" si="5"/>
        <v>0</v>
      </c>
      <c r="I26" s="1300"/>
      <c r="J26" s="1602"/>
      <c r="K26" s="1602"/>
      <c r="L26" s="1602"/>
      <c r="M26" s="1300">
        <f t="shared" si="1"/>
        <v>0</v>
      </c>
      <c r="N26" s="1609">
        <v>0</v>
      </c>
      <c r="O26" s="1609">
        <v>0</v>
      </c>
      <c r="P26" s="1300"/>
      <c r="Q26" s="1602"/>
      <c r="R26" s="1602"/>
      <c r="S26" s="1602"/>
      <c r="T26" s="1300"/>
      <c r="U26" s="1602"/>
      <c r="V26" s="1602"/>
      <c r="W26" s="1604"/>
      <c r="X26" s="1604"/>
      <c r="Y26" s="1604">
        <f>(H26/E26)*100</f>
        <v>0</v>
      </c>
    </row>
    <row r="27" spans="1:25" s="1575" customFormat="1" ht="22.5" customHeight="1">
      <c r="A27" s="1611">
        <v>13</v>
      </c>
      <c r="B27" s="1612" t="s">
        <v>1295</v>
      </c>
      <c r="C27" s="1613">
        <f t="shared" si="2"/>
        <v>45.66</v>
      </c>
      <c r="D27" s="1613">
        <v>0</v>
      </c>
      <c r="E27" s="1613">
        <v>45.66</v>
      </c>
      <c r="F27" s="1613">
        <f t="shared" si="3"/>
        <v>44</v>
      </c>
      <c r="G27" s="1614">
        <f t="shared" si="4"/>
        <v>0</v>
      </c>
      <c r="H27" s="1615">
        <f t="shared" si="5"/>
        <v>44</v>
      </c>
      <c r="I27" s="1613"/>
      <c r="J27" s="1616"/>
      <c r="K27" s="1616"/>
      <c r="L27" s="1616"/>
      <c r="M27" s="1613">
        <f t="shared" si="1"/>
        <v>44</v>
      </c>
      <c r="N27" s="1611">
        <v>44</v>
      </c>
      <c r="O27" s="1617">
        <v>0</v>
      </c>
      <c r="P27" s="1613"/>
      <c r="Q27" s="1616"/>
      <c r="R27" s="1616"/>
      <c r="S27" s="1616"/>
      <c r="T27" s="1613"/>
      <c r="U27" s="1616"/>
      <c r="V27" s="1616"/>
      <c r="W27" s="1618"/>
      <c r="X27" s="1618"/>
      <c r="Y27" s="1619">
        <f>(H27/E27)</f>
        <v>0.96364432763907149</v>
      </c>
    </row>
    <row r="28" spans="1:25" s="1624" customFormat="1" ht="27.95" customHeight="1">
      <c r="A28" s="1577" t="s">
        <v>7</v>
      </c>
      <c r="B28" s="1620" t="s">
        <v>242</v>
      </c>
      <c r="C28" s="1621">
        <f>SUM(C29:C36)</f>
        <v>317168</v>
      </c>
      <c r="D28" s="1621">
        <f>SUM(D29:D36)</f>
        <v>239073</v>
      </c>
      <c r="E28" s="1621">
        <f>SUM(E29:E36)</f>
        <v>78095</v>
      </c>
      <c r="F28" s="1622">
        <f>G28+H28</f>
        <v>376125.299039</v>
      </c>
      <c r="G28" s="1622">
        <f>SUM(G29:G36)</f>
        <v>289953.73266400001</v>
      </c>
      <c r="H28" s="1622">
        <f>SUM(H29:H36)</f>
        <v>86171.566374999995</v>
      </c>
      <c r="I28" s="1622">
        <f>SUM(I29:I36)</f>
        <v>153908.86551</v>
      </c>
      <c r="J28" s="1622">
        <f>K28+L28</f>
        <v>117966.567389</v>
      </c>
      <c r="K28" s="1622">
        <f>SUM(K29:K36)</f>
        <v>117966.567389</v>
      </c>
      <c r="L28" s="1622">
        <f>SUM(L29:L36)</f>
        <v>0</v>
      </c>
      <c r="M28" s="1622">
        <f t="shared" si="1"/>
        <v>35942.298121</v>
      </c>
      <c r="N28" s="1622">
        <f>SUM(N29:N36)</f>
        <v>35942.298121</v>
      </c>
      <c r="O28" s="1622">
        <f>SUM(O29:O36)</f>
        <v>0</v>
      </c>
      <c r="P28" s="1622">
        <f>SUM(P29:P36)</f>
        <v>222216.43352900003</v>
      </c>
      <c r="Q28" s="1622">
        <f>R28+S28</f>
        <v>171987.16527500001</v>
      </c>
      <c r="R28" s="1622">
        <f>SUM(R29:R36)</f>
        <v>167510.99137500001</v>
      </c>
      <c r="S28" s="1622">
        <f>SUM(S29:S36)</f>
        <v>4476.1738999999998</v>
      </c>
      <c r="T28" s="1622">
        <f>U28+V28</f>
        <v>50229.268253999995</v>
      </c>
      <c r="U28" s="1622">
        <f>SUM(U29:U36)</f>
        <v>50229.268253999995</v>
      </c>
      <c r="V28" s="1622">
        <f>SUM(V29:V36)</f>
        <v>0</v>
      </c>
      <c r="W28" s="1623">
        <f>(F28/C28)</f>
        <v>1.1858866564060688</v>
      </c>
      <c r="X28" s="1623">
        <f>(G28/D28)</f>
        <v>1.2128250896755384</v>
      </c>
      <c r="Y28" s="1623">
        <f>(H28/E28)</f>
        <v>1.1034197627889109</v>
      </c>
    </row>
    <row r="29" spans="1:25" s="1575" customFormat="1" ht="27.95" customHeight="1">
      <c r="A29" s="1611">
        <v>1</v>
      </c>
      <c r="B29" s="1625" t="s">
        <v>233</v>
      </c>
      <c r="C29" s="1626">
        <f>D29+E29</f>
        <v>2167</v>
      </c>
      <c r="D29" s="1627">
        <v>922</v>
      </c>
      <c r="E29" s="1627">
        <v>1245</v>
      </c>
      <c r="F29" s="1628">
        <f>G29+H29</f>
        <v>2330.487525</v>
      </c>
      <c r="G29" s="1628">
        <f>J29+Q29</f>
        <v>903.1</v>
      </c>
      <c r="H29" s="1628">
        <f>M29+T29</f>
        <v>1427.3875250000001</v>
      </c>
      <c r="I29" s="1628">
        <f>J29+M29</f>
        <v>2000.6925249999999</v>
      </c>
      <c r="J29" s="1628">
        <f>K29+L29</f>
        <v>661.1</v>
      </c>
      <c r="K29" s="1628">
        <v>661.1</v>
      </c>
      <c r="L29" s="1628"/>
      <c r="M29" s="1628">
        <f t="shared" si="1"/>
        <v>1339.592525</v>
      </c>
      <c r="N29" s="1628">
        <v>1339.592525</v>
      </c>
      <c r="O29" s="1628"/>
      <c r="P29" s="1628">
        <f>Q29+T29</f>
        <v>329.79500000000002</v>
      </c>
      <c r="Q29" s="1628">
        <f>R29+S29</f>
        <v>242</v>
      </c>
      <c r="R29" s="1628">
        <v>242</v>
      </c>
      <c r="S29" s="1628"/>
      <c r="T29" s="1628">
        <f>U29+V29</f>
        <v>87.795000000000002</v>
      </c>
      <c r="U29" s="1628">
        <v>87.795000000000002</v>
      </c>
      <c r="V29" s="1628"/>
      <c r="W29" s="1629">
        <f>(F29/C29)</f>
        <v>1.075444173973235</v>
      </c>
      <c r="X29" s="1629">
        <f>(G29/D29)</f>
        <v>0.97950108459869856</v>
      </c>
      <c r="Y29" s="1629">
        <f>(H29/E29)</f>
        <v>1.1464960040160643</v>
      </c>
    </row>
    <row r="30" spans="1:25" s="1575" customFormat="1" ht="27.95" customHeight="1">
      <c r="A30" s="1598">
        <v>2</v>
      </c>
      <c r="B30" s="1630" t="s">
        <v>234</v>
      </c>
      <c r="C30" s="1631">
        <f t="shared" ref="C30:C36" si="7">D30+E30</f>
        <v>29921</v>
      </c>
      <c r="D30" s="1632">
        <v>22429</v>
      </c>
      <c r="E30" s="1632">
        <v>7492</v>
      </c>
      <c r="F30" s="1633">
        <f t="shared" ref="F30:F36" si="8">G30+H30</f>
        <v>29520.744695000001</v>
      </c>
      <c r="G30" s="1633">
        <f t="shared" ref="G30:G36" si="9">J30+Q30</f>
        <v>21401.597349000003</v>
      </c>
      <c r="H30" s="1633">
        <f t="shared" ref="H30:H36" si="10">M30+T30</f>
        <v>8119.1473459999997</v>
      </c>
      <c r="I30" s="1633">
        <f t="shared" ref="I30:I36" si="11">J30+M30</f>
        <v>16424.502963999999</v>
      </c>
      <c r="J30" s="1633">
        <f t="shared" ref="J30:J36" si="12">K30+L30</f>
        <v>11442.981534</v>
      </c>
      <c r="K30" s="1633">
        <v>11442.981534</v>
      </c>
      <c r="L30" s="1633"/>
      <c r="M30" s="1633">
        <f t="shared" si="1"/>
        <v>4981.5214299999998</v>
      </c>
      <c r="N30" s="1633">
        <v>4981.5214299999998</v>
      </c>
      <c r="O30" s="1633"/>
      <c r="P30" s="1633">
        <f t="shared" ref="P30:P36" si="13">Q30+T30</f>
        <v>13096.241731000002</v>
      </c>
      <c r="Q30" s="1633">
        <f t="shared" ref="Q30:Q36" si="14">R30+S30</f>
        <v>9958.615815000001</v>
      </c>
      <c r="R30" s="1633">
        <v>9958.615815000001</v>
      </c>
      <c r="S30" s="1633"/>
      <c r="T30" s="1633">
        <f t="shared" ref="T30:T36" si="15">U30+V30</f>
        <v>3137.6259160000004</v>
      </c>
      <c r="U30" s="1633">
        <v>3137.6259160000004</v>
      </c>
      <c r="V30" s="1633"/>
      <c r="W30" s="1629">
        <f t="shared" ref="W30:Y36" si="16">(F30/C30)</f>
        <v>0.98662293021623615</v>
      </c>
      <c r="X30" s="1629">
        <f t="shared" si="16"/>
        <v>0.95419311378126548</v>
      </c>
      <c r="Y30" s="1629">
        <f t="shared" si="16"/>
        <v>1.0837089356647089</v>
      </c>
    </row>
    <row r="31" spans="1:25" s="1575" customFormat="1" ht="27.95" customHeight="1">
      <c r="A31" s="1598">
        <v>3</v>
      </c>
      <c r="B31" s="1630" t="s">
        <v>235</v>
      </c>
      <c r="C31" s="1631">
        <f t="shared" si="7"/>
        <v>27357</v>
      </c>
      <c r="D31" s="1632">
        <v>20115</v>
      </c>
      <c r="E31" s="1632">
        <v>7242</v>
      </c>
      <c r="F31" s="1633">
        <f t="shared" si="8"/>
        <v>29131.739590000001</v>
      </c>
      <c r="G31" s="1633">
        <f t="shared" si="9"/>
        <v>21481.422700000003</v>
      </c>
      <c r="H31" s="1633">
        <f t="shared" si="10"/>
        <v>7650.3168899999991</v>
      </c>
      <c r="I31" s="1633">
        <f t="shared" si="11"/>
        <v>11238.0227</v>
      </c>
      <c r="J31" s="1633">
        <f t="shared" si="12"/>
        <v>6925.7927</v>
      </c>
      <c r="K31" s="1633">
        <v>6925.7927</v>
      </c>
      <c r="L31" s="1633"/>
      <c r="M31" s="1633">
        <f t="shared" si="1"/>
        <v>4312.2299999999996</v>
      </c>
      <c r="N31" s="1633">
        <v>4312.2299999999996</v>
      </c>
      <c r="O31" s="1633"/>
      <c r="P31" s="1633">
        <f t="shared" si="13"/>
        <v>17893.71689</v>
      </c>
      <c r="Q31" s="1633">
        <f t="shared" si="14"/>
        <v>14555.630000000001</v>
      </c>
      <c r="R31" s="1633">
        <v>12685.845000000001</v>
      </c>
      <c r="S31" s="1633">
        <v>1869.7850000000001</v>
      </c>
      <c r="T31" s="1633">
        <f t="shared" si="15"/>
        <v>3338.0868899999996</v>
      </c>
      <c r="U31" s="1633">
        <v>3338.0868899999996</v>
      </c>
      <c r="V31" s="1633"/>
      <c r="W31" s="1629">
        <f t="shared" si="16"/>
        <v>1.0648733263881274</v>
      </c>
      <c r="X31" s="1629">
        <f t="shared" si="16"/>
        <v>1.0679305344270447</v>
      </c>
      <c r="Y31" s="1629">
        <f t="shared" si="16"/>
        <v>1.0563817854183926</v>
      </c>
    </row>
    <row r="32" spans="1:25" s="1575" customFormat="1" ht="27.95" customHeight="1">
      <c r="A32" s="1598">
        <v>4</v>
      </c>
      <c r="B32" s="1630" t="s">
        <v>236</v>
      </c>
      <c r="C32" s="1631">
        <f t="shared" si="7"/>
        <v>38152</v>
      </c>
      <c r="D32" s="1632">
        <v>30361</v>
      </c>
      <c r="E32" s="1632">
        <v>7791</v>
      </c>
      <c r="F32" s="1633">
        <f t="shared" si="8"/>
        <v>42586.824672000002</v>
      </c>
      <c r="G32" s="1633">
        <f t="shared" si="9"/>
        <v>33939.234651999999</v>
      </c>
      <c r="H32" s="1633">
        <f t="shared" si="10"/>
        <v>8647.5900199999996</v>
      </c>
      <c r="I32" s="1633">
        <f t="shared" si="11"/>
        <v>22499.820854999998</v>
      </c>
      <c r="J32" s="1633">
        <f t="shared" si="12"/>
        <v>18451.15425</v>
      </c>
      <c r="K32" s="1633">
        <v>18451.15425</v>
      </c>
      <c r="L32" s="1633"/>
      <c r="M32" s="1633">
        <f t="shared" si="1"/>
        <v>4048.6666049999999</v>
      </c>
      <c r="N32" s="1633">
        <v>4048.6666049999999</v>
      </c>
      <c r="O32" s="1633"/>
      <c r="P32" s="1633">
        <f t="shared" si="13"/>
        <v>20087.003816999997</v>
      </c>
      <c r="Q32" s="1633">
        <f t="shared" si="14"/>
        <v>15488.080401999998</v>
      </c>
      <c r="R32" s="1633">
        <v>15037.915501999998</v>
      </c>
      <c r="S32" s="1633">
        <v>450.16489999999999</v>
      </c>
      <c r="T32" s="1633">
        <f t="shared" si="15"/>
        <v>4598.9234150000002</v>
      </c>
      <c r="U32" s="1633">
        <v>4598.9234150000002</v>
      </c>
      <c r="V32" s="1633"/>
      <c r="W32" s="1629">
        <f t="shared" si="16"/>
        <v>1.1162409486265465</v>
      </c>
      <c r="X32" s="1629">
        <f t="shared" si="16"/>
        <v>1.1178562844438589</v>
      </c>
      <c r="Y32" s="1629">
        <f t="shared" si="16"/>
        <v>1.1099460942112693</v>
      </c>
    </row>
    <row r="33" spans="1:25" s="1575" customFormat="1" ht="27.95" customHeight="1">
      <c r="A33" s="1598">
        <v>5</v>
      </c>
      <c r="B33" s="1630" t="s">
        <v>237</v>
      </c>
      <c r="C33" s="1631">
        <f t="shared" si="7"/>
        <v>56957</v>
      </c>
      <c r="D33" s="1632">
        <v>47126</v>
      </c>
      <c r="E33" s="1632">
        <v>9831</v>
      </c>
      <c r="F33" s="1633">
        <f t="shared" si="8"/>
        <v>64096.751994999991</v>
      </c>
      <c r="G33" s="1633">
        <f t="shared" si="9"/>
        <v>54581.467055999994</v>
      </c>
      <c r="H33" s="1633">
        <f t="shared" si="10"/>
        <v>9515.2849389999992</v>
      </c>
      <c r="I33" s="1633">
        <f t="shared" si="11"/>
        <v>28960.260308000001</v>
      </c>
      <c r="J33" s="1633">
        <f t="shared" si="12"/>
        <v>26086.269007999999</v>
      </c>
      <c r="K33" s="1633">
        <v>26086.269007999999</v>
      </c>
      <c r="L33" s="1633"/>
      <c r="M33" s="1633">
        <f t="shared" si="1"/>
        <v>2873.9913000000001</v>
      </c>
      <c r="N33" s="1633">
        <v>2873.9913000000001</v>
      </c>
      <c r="O33" s="1633"/>
      <c r="P33" s="1633">
        <f t="shared" si="13"/>
        <v>35136.491687000002</v>
      </c>
      <c r="Q33" s="1633">
        <f t="shared" si="14"/>
        <v>28495.198047999998</v>
      </c>
      <c r="R33" s="1633">
        <v>28495.198047999998</v>
      </c>
      <c r="S33" s="1633"/>
      <c r="T33" s="1633">
        <f t="shared" si="15"/>
        <v>6641.2936389999995</v>
      </c>
      <c r="U33" s="1633">
        <v>6641.2936389999995</v>
      </c>
      <c r="V33" s="1633"/>
      <c r="W33" s="1629">
        <f t="shared" si="16"/>
        <v>1.1253533717541302</v>
      </c>
      <c r="X33" s="1629">
        <f t="shared" si="16"/>
        <v>1.1582028403853497</v>
      </c>
      <c r="Y33" s="1629">
        <f t="shared" si="16"/>
        <v>0.96788576329976594</v>
      </c>
    </row>
    <row r="34" spans="1:25" s="1575" customFormat="1" ht="27.95" customHeight="1">
      <c r="A34" s="1598">
        <v>6</v>
      </c>
      <c r="B34" s="1630" t="s">
        <v>238</v>
      </c>
      <c r="C34" s="1631">
        <f t="shared" si="7"/>
        <v>33128</v>
      </c>
      <c r="D34" s="1632">
        <v>25659</v>
      </c>
      <c r="E34" s="1632">
        <v>7469</v>
      </c>
      <c r="F34" s="1633">
        <f t="shared" si="8"/>
        <v>39226.862678999998</v>
      </c>
      <c r="G34" s="1633">
        <f t="shared" si="9"/>
        <v>28113.756184999998</v>
      </c>
      <c r="H34" s="1633">
        <f t="shared" si="10"/>
        <v>11113.106494</v>
      </c>
      <c r="I34" s="1633">
        <f t="shared" si="11"/>
        <v>18582.388011999999</v>
      </c>
      <c r="J34" s="1633">
        <f t="shared" si="12"/>
        <v>11944.838012</v>
      </c>
      <c r="K34" s="1633">
        <v>11944.838012</v>
      </c>
      <c r="L34" s="1633"/>
      <c r="M34" s="1633">
        <f t="shared" si="1"/>
        <v>6637.5499999999993</v>
      </c>
      <c r="N34" s="1633">
        <v>6637.5499999999993</v>
      </c>
      <c r="O34" s="1633"/>
      <c r="P34" s="1633">
        <f t="shared" si="13"/>
        <v>20644.474667000002</v>
      </c>
      <c r="Q34" s="1633">
        <f t="shared" si="14"/>
        <v>16168.918173</v>
      </c>
      <c r="R34" s="1633">
        <v>16168.918173</v>
      </c>
      <c r="S34" s="1633"/>
      <c r="T34" s="1633">
        <f t="shared" si="15"/>
        <v>4475.5564940000004</v>
      </c>
      <c r="U34" s="1633">
        <v>4475.5564940000004</v>
      </c>
      <c r="V34" s="1633"/>
      <c r="W34" s="1634">
        <f t="shared" si="16"/>
        <v>1.1840999359756097</v>
      </c>
      <c r="X34" s="1634">
        <f t="shared" si="16"/>
        <v>1.0956684276472193</v>
      </c>
      <c r="Y34" s="1634">
        <f t="shared" si="16"/>
        <v>1.4878975089034676</v>
      </c>
    </row>
    <row r="35" spans="1:25" s="1575" customFormat="1" ht="27.95" customHeight="1">
      <c r="A35" s="1598">
        <v>7</v>
      </c>
      <c r="B35" s="1630" t="s">
        <v>239</v>
      </c>
      <c r="C35" s="1631">
        <f t="shared" si="7"/>
        <v>70909</v>
      </c>
      <c r="D35" s="1632">
        <v>52185</v>
      </c>
      <c r="E35" s="1632">
        <v>18724</v>
      </c>
      <c r="F35" s="1633">
        <f t="shared" si="8"/>
        <v>96042.73412400001</v>
      </c>
      <c r="G35" s="1633">
        <f t="shared" si="9"/>
        <v>76480.128659000009</v>
      </c>
      <c r="H35" s="1633">
        <f t="shared" si="10"/>
        <v>19562.605465000001</v>
      </c>
      <c r="I35" s="1633">
        <f t="shared" si="11"/>
        <v>32453.146542000002</v>
      </c>
      <c r="J35" s="1633">
        <f t="shared" si="12"/>
        <v>27545.805779000002</v>
      </c>
      <c r="K35" s="1633">
        <v>27545.805779000002</v>
      </c>
      <c r="L35" s="1633"/>
      <c r="M35" s="1633">
        <f t="shared" si="1"/>
        <v>4907.3407630000002</v>
      </c>
      <c r="N35" s="1633">
        <v>4907.3407630000002</v>
      </c>
      <c r="O35" s="1633"/>
      <c r="P35" s="1633">
        <f t="shared" si="13"/>
        <v>63589.587582</v>
      </c>
      <c r="Q35" s="1633">
        <f t="shared" si="14"/>
        <v>48934.32288</v>
      </c>
      <c r="R35" s="1633">
        <v>47207.07288</v>
      </c>
      <c r="S35" s="1633">
        <v>1727.25</v>
      </c>
      <c r="T35" s="1633">
        <f t="shared" si="15"/>
        <v>14655.264702</v>
      </c>
      <c r="U35" s="1633">
        <v>14655.264702</v>
      </c>
      <c r="V35" s="1633"/>
      <c r="W35" s="1629">
        <f t="shared" si="16"/>
        <v>1.3544505510442963</v>
      </c>
      <c r="X35" s="1629">
        <f t="shared" si="16"/>
        <v>1.4655577016192394</v>
      </c>
      <c r="Y35" s="1629">
        <f t="shared" si="16"/>
        <v>1.0447877304528947</v>
      </c>
    </row>
    <row r="36" spans="1:25" s="1575" customFormat="1" ht="24" customHeight="1">
      <c r="A36" s="1635">
        <v>8</v>
      </c>
      <c r="B36" s="1636" t="s">
        <v>240</v>
      </c>
      <c r="C36" s="1637">
        <f t="shared" si="7"/>
        <v>58577</v>
      </c>
      <c r="D36" s="1638">
        <v>40276</v>
      </c>
      <c r="E36" s="1638">
        <v>18301</v>
      </c>
      <c r="F36" s="1639">
        <f t="shared" si="8"/>
        <v>73189.153758999993</v>
      </c>
      <c r="G36" s="1639">
        <f t="shared" si="9"/>
        <v>53053.026062999998</v>
      </c>
      <c r="H36" s="1639">
        <f t="shared" si="10"/>
        <v>20136.127696</v>
      </c>
      <c r="I36" s="1639">
        <f t="shared" si="11"/>
        <v>21750.031604</v>
      </c>
      <c r="J36" s="1639">
        <f t="shared" si="12"/>
        <v>14908.626106</v>
      </c>
      <c r="K36" s="1639">
        <v>14908.626106</v>
      </c>
      <c r="L36" s="1639"/>
      <c r="M36" s="1639">
        <f t="shared" si="1"/>
        <v>6841.4054979999992</v>
      </c>
      <c r="N36" s="1639">
        <v>6841.4054979999992</v>
      </c>
      <c r="O36" s="1639"/>
      <c r="P36" s="1639">
        <f t="shared" si="13"/>
        <v>51439.122155000005</v>
      </c>
      <c r="Q36" s="1639">
        <f t="shared" si="14"/>
        <v>38144.399957000001</v>
      </c>
      <c r="R36" s="1639">
        <v>37715.425956999999</v>
      </c>
      <c r="S36" s="1639">
        <v>428.97399999999999</v>
      </c>
      <c r="T36" s="1639">
        <f t="shared" si="15"/>
        <v>13294.722197999999</v>
      </c>
      <c r="U36" s="1639">
        <v>13294.722197999999</v>
      </c>
      <c r="V36" s="1639"/>
      <c r="W36" s="1640">
        <f t="shared" si="16"/>
        <v>1.2494520675179677</v>
      </c>
      <c r="X36" s="1640">
        <f t="shared" si="16"/>
        <v>1.3172367182192868</v>
      </c>
      <c r="Y36" s="1640">
        <f t="shared" si="16"/>
        <v>1.1002747224741818</v>
      </c>
    </row>
    <row r="37" spans="1:25" s="1575" customFormat="1" ht="15.75" customHeight="1">
      <c r="A37" s="10"/>
      <c r="B37" s="10"/>
      <c r="C37" s="10"/>
      <c r="D37" s="10"/>
      <c r="E37" s="10"/>
      <c r="F37" s="10"/>
      <c r="G37" s="10"/>
      <c r="H37" s="10"/>
      <c r="I37" s="10"/>
      <c r="J37" s="10"/>
      <c r="K37" s="10"/>
      <c r="L37" s="10"/>
      <c r="M37" s="10"/>
      <c r="N37" s="10"/>
      <c r="O37" s="10"/>
      <c r="P37" s="10"/>
      <c r="Q37" s="10"/>
      <c r="R37" s="10"/>
      <c r="S37" s="10"/>
      <c r="T37" s="10"/>
      <c r="U37" s="10"/>
      <c r="V37" s="1641"/>
      <c r="W37" s="1642"/>
      <c r="X37" s="1642"/>
      <c r="Y37" s="1642"/>
    </row>
    <row r="38" spans="1:25">
      <c r="A38" s="1641"/>
      <c r="B38" s="1641"/>
      <c r="C38" s="1641"/>
      <c r="D38" s="1641"/>
      <c r="E38" s="1641"/>
      <c r="F38" s="1641"/>
      <c r="G38" s="1641"/>
      <c r="H38" s="1641"/>
      <c r="I38" s="1641"/>
      <c r="J38" s="1641"/>
      <c r="K38" s="1641"/>
      <c r="L38" s="1641"/>
      <c r="M38" s="1641"/>
      <c r="N38" s="1641"/>
      <c r="O38" s="1641"/>
      <c r="P38" s="1641"/>
      <c r="Q38" s="1641"/>
      <c r="R38" s="1641"/>
      <c r="S38" s="1641"/>
      <c r="T38" s="1641"/>
      <c r="U38" s="1641"/>
      <c r="V38" s="1641"/>
    </row>
    <row r="39" spans="1:25">
      <c r="A39" s="1641"/>
      <c r="B39" s="1641"/>
      <c r="C39" s="1641"/>
      <c r="D39" s="1641"/>
      <c r="E39" s="1641"/>
      <c r="F39" s="1641"/>
      <c r="G39" s="1641"/>
      <c r="H39" s="1641"/>
      <c r="I39" s="1641"/>
      <c r="J39" s="1641"/>
      <c r="K39" s="1641"/>
      <c r="L39" s="1641"/>
      <c r="M39" s="1641"/>
      <c r="N39" s="1641"/>
      <c r="O39" s="1641"/>
      <c r="P39" s="1641"/>
      <c r="Q39" s="1641"/>
      <c r="R39" s="1641"/>
      <c r="S39" s="1641"/>
      <c r="T39" s="1641"/>
      <c r="U39" s="1641"/>
      <c r="V39" s="1641"/>
    </row>
    <row r="40" spans="1:25">
      <c r="A40" s="1641"/>
      <c r="B40" s="1641"/>
      <c r="C40" s="1641"/>
      <c r="D40" s="1641"/>
      <c r="E40" s="1641"/>
      <c r="F40" s="1641"/>
      <c r="G40" s="1641"/>
      <c r="H40" s="1641"/>
      <c r="I40" s="1641"/>
      <c r="J40" s="1641"/>
      <c r="K40" s="1641"/>
      <c r="L40" s="1641"/>
      <c r="M40" s="1641"/>
      <c r="N40" s="1641"/>
      <c r="O40" s="1641"/>
      <c r="P40" s="1641"/>
      <c r="Q40" s="1641"/>
      <c r="R40" s="1641"/>
      <c r="S40" s="1641"/>
      <c r="T40" s="1641"/>
      <c r="U40" s="1641"/>
      <c r="V40" s="1641"/>
    </row>
    <row r="41" spans="1:25">
      <c r="A41" s="1641"/>
      <c r="B41" s="1641"/>
      <c r="C41" s="1641"/>
      <c r="D41" s="1641"/>
      <c r="E41" s="1641"/>
      <c r="F41" s="1641"/>
      <c r="G41" s="1641"/>
      <c r="H41" s="1641"/>
      <c r="I41" s="1641"/>
      <c r="J41" s="1641"/>
      <c r="K41" s="1641"/>
      <c r="L41" s="1641"/>
      <c r="M41" s="1641"/>
      <c r="N41" s="1641"/>
      <c r="O41" s="1641"/>
      <c r="P41" s="1641"/>
      <c r="Q41" s="1641"/>
      <c r="R41" s="1641"/>
      <c r="S41" s="1641"/>
      <c r="T41" s="1641"/>
      <c r="U41" s="1641"/>
      <c r="V41" s="1641"/>
    </row>
    <row r="42" spans="1:25">
      <c r="A42" s="1641"/>
      <c r="B42" s="1641"/>
      <c r="C42" s="1641"/>
      <c r="D42" s="1641"/>
      <c r="E42" s="1641"/>
      <c r="F42" s="1641"/>
      <c r="G42" s="1641"/>
      <c r="H42" s="1641"/>
      <c r="I42" s="1641"/>
      <c r="J42" s="1641"/>
      <c r="K42" s="1641"/>
      <c r="L42" s="1641"/>
      <c r="M42" s="1641"/>
      <c r="N42" s="1641"/>
      <c r="O42" s="1641"/>
      <c r="P42" s="1641"/>
      <c r="Q42" s="1641"/>
      <c r="R42" s="1641"/>
      <c r="S42" s="1641"/>
      <c r="T42" s="1641"/>
      <c r="U42" s="1641"/>
      <c r="V42" s="1641"/>
    </row>
    <row r="43" spans="1:25">
      <c r="A43" s="1641"/>
      <c r="B43" s="1641"/>
      <c r="C43" s="1641"/>
      <c r="D43" s="1641"/>
      <c r="E43" s="1641"/>
      <c r="F43" s="1641"/>
      <c r="G43" s="1641"/>
      <c r="H43" s="1641"/>
      <c r="I43" s="1641"/>
      <c r="J43" s="1641"/>
      <c r="K43" s="1641"/>
      <c r="L43" s="1641"/>
      <c r="M43" s="1641"/>
      <c r="N43" s="1641"/>
      <c r="O43" s="1641"/>
      <c r="P43" s="1641"/>
      <c r="Q43" s="1641"/>
      <c r="R43" s="1641"/>
      <c r="S43" s="1641"/>
      <c r="T43" s="1641"/>
      <c r="U43" s="1641"/>
      <c r="V43" s="1641"/>
    </row>
    <row r="44" spans="1:25">
      <c r="A44" s="1641"/>
      <c r="B44" s="1641"/>
      <c r="C44" s="1641"/>
      <c r="D44" s="1641"/>
      <c r="E44" s="1641"/>
      <c r="F44" s="1641"/>
      <c r="G44" s="1641"/>
      <c r="H44" s="1641"/>
      <c r="I44" s="1641"/>
      <c r="J44" s="1641"/>
      <c r="K44" s="1641"/>
      <c r="L44" s="1641"/>
      <c r="M44" s="1641"/>
      <c r="N44" s="1641"/>
      <c r="O44" s="1641"/>
      <c r="P44" s="1641"/>
      <c r="Q44" s="1641"/>
      <c r="R44" s="1641"/>
      <c r="S44" s="1641"/>
      <c r="T44" s="1641"/>
      <c r="U44" s="1641"/>
      <c r="V44" s="1641"/>
    </row>
  </sheetData>
  <mergeCells count="39">
    <mergeCell ref="J9:L9"/>
    <mergeCell ref="Y7:Y11"/>
    <mergeCell ref="I8:O8"/>
    <mergeCell ref="P8:V8"/>
    <mergeCell ref="D9:D11"/>
    <mergeCell ref="A6:A11"/>
    <mergeCell ref="B6:B11"/>
    <mergeCell ref="C6:E6"/>
    <mergeCell ref="F6:V6"/>
    <mergeCell ref="E9:E11"/>
    <mergeCell ref="G9:G11"/>
    <mergeCell ref="G7:H8"/>
    <mergeCell ref="I7:V7"/>
    <mergeCell ref="T10:T11"/>
    <mergeCell ref="U10:V10"/>
    <mergeCell ref="H9:H11"/>
    <mergeCell ref="I9:I11"/>
    <mergeCell ref="A1:D1"/>
    <mergeCell ref="U1:Y1"/>
    <mergeCell ref="A2:Y2"/>
    <mergeCell ref="A4:Y4"/>
    <mergeCell ref="V5:Y5"/>
    <mergeCell ref="A3:Y3"/>
    <mergeCell ref="C7:C11"/>
    <mergeCell ref="D7:E8"/>
    <mergeCell ref="F7:F11"/>
    <mergeCell ref="W6:Y6"/>
    <mergeCell ref="W7:W11"/>
    <mergeCell ref="M9:O9"/>
    <mergeCell ref="P9:P11"/>
    <mergeCell ref="Q9:S9"/>
    <mergeCell ref="T9:V9"/>
    <mergeCell ref="J10:J11"/>
    <mergeCell ref="K10:L10"/>
    <mergeCell ref="M10:M11"/>
    <mergeCell ref="N10:O10"/>
    <mergeCell ref="Q10:Q11"/>
    <mergeCell ref="R10:S10"/>
    <mergeCell ref="X7:X11"/>
  </mergeCells>
  <pageMargins left="0.3" right="0.31" top="0.48" bottom="0.54" header="0.32" footer="0.34"/>
  <pageSetup paperSize="8" scale="67" firstPageNumber="16" fitToHeight="0" orientation="landscape" useFirstPageNumber="1" r:id="rId1"/>
  <headerFooter>
    <oddFooter>&amp;R&amp;P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O32"/>
  <sheetViews>
    <sheetView topLeftCell="A4" zoomScaleNormal="100" workbookViewId="0">
      <selection activeCell="L9" sqref="L9"/>
    </sheetView>
  </sheetViews>
  <sheetFormatPr defaultRowHeight="15"/>
  <cols>
    <col min="1" max="1" width="31.28515625" style="313" customWidth="1"/>
    <col min="2" max="2" width="10.7109375" style="313" customWidth="1"/>
    <col min="3" max="3" width="9.85546875" style="313" customWidth="1"/>
    <col min="4" max="4" width="9.5703125" style="313" customWidth="1"/>
    <col min="5" max="5" width="8.85546875" style="313" customWidth="1"/>
    <col min="6" max="6" width="30.28515625" style="313" customWidth="1"/>
    <col min="7" max="7" width="9.5703125" style="922" bestFit="1" customWidth="1"/>
    <col min="8" max="9" width="9.42578125" style="922" customWidth="1"/>
    <col min="10" max="10" width="8.140625" style="922" customWidth="1"/>
    <col min="11" max="11" width="13.7109375" style="313" customWidth="1"/>
    <col min="12" max="12" width="11.85546875" style="313" customWidth="1"/>
    <col min="13" max="13" width="11.42578125" style="313" bestFit="1" customWidth="1"/>
    <col min="14" max="14" width="14.5703125" style="313" bestFit="1" customWidth="1"/>
    <col min="15" max="16384" width="9.140625" style="313"/>
  </cols>
  <sheetData>
    <row r="1" spans="1:15" s="920" customFormat="1" ht="21" customHeight="1">
      <c r="A1" s="780" t="s">
        <v>221</v>
      </c>
      <c r="G1" s="921"/>
      <c r="H1" s="1644" t="s">
        <v>1983</v>
      </c>
      <c r="I1" s="1644"/>
      <c r="J1" s="1644"/>
    </row>
    <row r="2" spans="1:15" ht="20.25" customHeight="1">
      <c r="A2" s="1645" t="s">
        <v>1984</v>
      </c>
      <c r="B2" s="1645"/>
      <c r="C2" s="1645"/>
      <c r="D2" s="1645"/>
      <c r="E2" s="1645"/>
      <c r="F2" s="1645"/>
      <c r="G2" s="1645"/>
      <c r="H2" s="1645"/>
      <c r="I2" s="1645"/>
      <c r="J2" s="1645"/>
    </row>
    <row r="3" spans="1:15" ht="15.75">
      <c r="A3" s="1646" t="s">
        <v>1622</v>
      </c>
      <c r="B3" s="1646"/>
      <c r="C3" s="1646"/>
      <c r="D3" s="1646"/>
      <c r="E3" s="1646"/>
      <c r="F3" s="1646"/>
      <c r="G3" s="1646"/>
      <c r="H3" s="1646"/>
      <c r="I3" s="1646"/>
      <c r="J3" s="1646"/>
    </row>
    <row r="4" spans="1:15" ht="19.5" customHeight="1">
      <c r="I4" s="1647" t="s">
        <v>5</v>
      </c>
      <c r="J4" s="1647"/>
    </row>
    <row r="5" spans="1:15" ht="42.75" customHeight="1">
      <c r="A5" s="917" t="s">
        <v>1985</v>
      </c>
      <c r="B5" s="917" t="s">
        <v>25</v>
      </c>
      <c r="C5" s="917" t="s">
        <v>1630</v>
      </c>
      <c r="D5" s="917" t="s">
        <v>1631</v>
      </c>
      <c r="E5" s="917" t="s">
        <v>1632</v>
      </c>
      <c r="F5" s="917" t="s">
        <v>1986</v>
      </c>
      <c r="G5" s="923" t="s">
        <v>25</v>
      </c>
      <c r="H5" s="923" t="s">
        <v>1987</v>
      </c>
      <c r="I5" s="923" t="s">
        <v>1988</v>
      </c>
      <c r="J5" s="923" t="s">
        <v>1989</v>
      </c>
    </row>
    <row r="6" spans="1:15">
      <c r="A6" s="924">
        <v>1</v>
      </c>
      <c r="B6" s="924">
        <v>2</v>
      </c>
      <c r="C6" s="924">
        <v>3</v>
      </c>
      <c r="D6" s="924">
        <v>4</v>
      </c>
      <c r="E6" s="924">
        <v>5</v>
      </c>
      <c r="F6" s="924">
        <v>6</v>
      </c>
      <c r="G6" s="925">
        <v>7</v>
      </c>
      <c r="H6" s="925">
        <v>8</v>
      </c>
      <c r="I6" s="925">
        <v>9</v>
      </c>
      <c r="J6" s="925">
        <v>10</v>
      </c>
    </row>
    <row r="7" spans="1:15" ht="20.25" customHeight="1">
      <c r="A7" s="926" t="s">
        <v>1990</v>
      </c>
      <c r="B7" s="927">
        <f>B8+B20</f>
        <v>7824859</v>
      </c>
      <c r="C7" s="927">
        <f>C8+C20</f>
        <v>4545900</v>
      </c>
      <c r="D7" s="927">
        <f>D8+D20</f>
        <v>2562062</v>
      </c>
      <c r="E7" s="927">
        <f>E8+E20</f>
        <v>716897</v>
      </c>
      <c r="F7" s="926" t="s">
        <v>1991</v>
      </c>
      <c r="G7" s="298">
        <f>H7+I7+J7</f>
        <v>7596390</v>
      </c>
      <c r="H7" s="927">
        <f>H8+H20</f>
        <v>4472384</v>
      </c>
      <c r="I7" s="927">
        <f>I8+I20</f>
        <v>2452251</v>
      </c>
      <c r="J7" s="927">
        <f>J8+J20</f>
        <v>671755</v>
      </c>
    </row>
    <row r="8" spans="1:15" ht="15.75" customHeight="1">
      <c r="A8" s="928" t="s">
        <v>1992</v>
      </c>
      <c r="B8" s="929">
        <f>SUM(B9:B15)+B18</f>
        <v>7821165</v>
      </c>
      <c r="C8" s="929">
        <f>SUM(C9:C15)+C18</f>
        <v>4542206</v>
      </c>
      <c r="D8" s="929">
        <f>SUM(D9:D15)+D18</f>
        <v>2562062</v>
      </c>
      <c r="E8" s="929">
        <f>SUM(E9:E15)+E18</f>
        <v>716897</v>
      </c>
      <c r="F8" s="928" t="s">
        <v>2022</v>
      </c>
      <c r="G8" s="298">
        <f>H8+I8+J8</f>
        <v>7438690</v>
      </c>
      <c r="H8" s="298">
        <f>SUM(H9:H15)</f>
        <v>4314684</v>
      </c>
      <c r="I8" s="298">
        <f t="shared" ref="I8:J8" si="0">SUM(I9:I15)</f>
        <v>2452251</v>
      </c>
      <c r="J8" s="298">
        <f t="shared" si="0"/>
        <v>671755</v>
      </c>
      <c r="K8" s="595"/>
      <c r="L8" s="595"/>
      <c r="M8" s="595"/>
      <c r="N8" s="595"/>
      <c r="O8" s="595"/>
    </row>
    <row r="9" spans="1:15" ht="17.25" customHeight="1">
      <c r="A9" s="598" t="s">
        <v>1993</v>
      </c>
      <c r="B9" s="919">
        <f t="shared" ref="B9:B18" si="1">SUM(C9:E9)</f>
        <v>190419</v>
      </c>
      <c r="C9" s="919">
        <v>76404</v>
      </c>
      <c r="D9" s="919">
        <v>107543</v>
      </c>
      <c r="E9" s="919">
        <v>6472</v>
      </c>
      <c r="F9" s="598" t="s">
        <v>2023</v>
      </c>
      <c r="G9" s="558">
        <f t="shared" ref="G9:G15" si="2">H9+I9+J9</f>
        <v>986183</v>
      </c>
      <c r="H9" s="558">
        <v>584918</v>
      </c>
      <c r="I9" s="558">
        <v>304893</v>
      </c>
      <c r="J9" s="558">
        <v>96372</v>
      </c>
    </row>
    <row r="10" spans="1:15" ht="18" customHeight="1">
      <c r="A10" s="598" t="s">
        <v>1994</v>
      </c>
      <c r="B10" s="919">
        <f t="shared" si="1"/>
        <v>322755</v>
      </c>
      <c r="C10" s="919">
        <v>132824</v>
      </c>
      <c r="D10" s="919">
        <v>169786</v>
      </c>
      <c r="E10" s="919">
        <v>20145</v>
      </c>
      <c r="F10" s="598" t="s">
        <v>2024</v>
      </c>
      <c r="G10" s="558">
        <f t="shared" si="2"/>
        <v>1735</v>
      </c>
      <c r="H10" s="558">
        <v>1735</v>
      </c>
      <c r="I10" s="558">
        <v>0</v>
      </c>
      <c r="J10" s="558">
        <v>0</v>
      </c>
    </row>
    <row r="11" spans="1:15">
      <c r="A11" s="598" t="s">
        <v>1995</v>
      </c>
      <c r="B11" s="919">
        <f t="shared" si="1"/>
        <v>0</v>
      </c>
      <c r="C11" s="919"/>
      <c r="D11" s="919"/>
      <c r="E11" s="919"/>
      <c r="F11" s="598" t="s">
        <v>2025</v>
      </c>
      <c r="G11" s="558">
        <f t="shared" si="2"/>
        <v>3042899</v>
      </c>
      <c r="H11" s="558">
        <v>1142059</v>
      </c>
      <c r="I11" s="558">
        <v>1368531</v>
      </c>
      <c r="J11" s="558">
        <v>532309</v>
      </c>
    </row>
    <row r="12" spans="1:15" ht="16.5" customHeight="1">
      <c r="A12" s="598" t="s">
        <v>1996</v>
      </c>
      <c r="B12" s="919">
        <f t="shared" si="1"/>
        <v>67353</v>
      </c>
      <c r="C12" s="919">
        <v>8662</v>
      </c>
      <c r="D12" s="919">
        <v>36307</v>
      </c>
      <c r="E12" s="919">
        <v>22384</v>
      </c>
      <c r="F12" s="598" t="s">
        <v>2026</v>
      </c>
      <c r="G12" s="558">
        <f t="shared" si="2"/>
        <v>1000</v>
      </c>
      <c r="H12" s="558">
        <v>1000</v>
      </c>
      <c r="I12" s="558">
        <v>0</v>
      </c>
      <c r="J12" s="558">
        <v>0</v>
      </c>
    </row>
    <row r="13" spans="1:15" ht="16.5" customHeight="1">
      <c r="A13" s="598" t="s">
        <v>1997</v>
      </c>
      <c r="B13" s="919">
        <f t="shared" si="1"/>
        <v>487568</v>
      </c>
      <c r="C13" s="919">
        <v>274452</v>
      </c>
      <c r="D13" s="919">
        <v>168572</v>
      </c>
      <c r="E13" s="919">
        <v>44544</v>
      </c>
      <c r="F13" s="598" t="s">
        <v>2027</v>
      </c>
      <c r="G13" s="558">
        <f t="shared" si="2"/>
        <v>2667943</v>
      </c>
      <c r="H13" s="558">
        <v>2044591</v>
      </c>
      <c r="I13" s="558">
        <v>623352</v>
      </c>
      <c r="J13" s="558">
        <v>0</v>
      </c>
    </row>
    <row r="14" spans="1:15" ht="16.5" customHeight="1">
      <c r="A14" s="598" t="s">
        <v>1998</v>
      </c>
      <c r="B14" s="919">
        <f t="shared" si="1"/>
        <v>36401</v>
      </c>
      <c r="C14" s="919">
        <v>10188</v>
      </c>
      <c r="D14" s="919">
        <v>26213</v>
      </c>
      <c r="E14" s="919">
        <v>0</v>
      </c>
      <c r="F14" s="598" t="s">
        <v>2028</v>
      </c>
      <c r="G14" s="558">
        <f t="shared" si="2"/>
        <v>35765</v>
      </c>
      <c r="H14" s="558">
        <v>7650</v>
      </c>
      <c r="I14" s="558">
        <v>19065</v>
      </c>
      <c r="J14" s="558">
        <v>9050</v>
      </c>
    </row>
    <row r="15" spans="1:15" ht="18.75" customHeight="1">
      <c r="A15" s="598" t="s">
        <v>1999</v>
      </c>
      <c r="B15" s="919">
        <f t="shared" si="1"/>
        <v>6688561</v>
      </c>
      <c r="C15" s="919">
        <f>C16+C17</f>
        <v>4020618</v>
      </c>
      <c r="D15" s="919">
        <v>2044591</v>
      </c>
      <c r="E15" s="919">
        <v>623352</v>
      </c>
      <c r="F15" s="598" t="s">
        <v>2029</v>
      </c>
      <c r="G15" s="558">
        <f t="shared" si="2"/>
        <v>703165</v>
      </c>
      <c r="H15" s="1116">
        <f>500320+32411</f>
        <v>532731</v>
      </c>
      <c r="I15" s="558">
        <v>136410</v>
      </c>
      <c r="J15" s="558">
        <v>34024</v>
      </c>
    </row>
    <row r="16" spans="1:15" ht="18" customHeight="1">
      <c r="A16" s="598" t="s">
        <v>2000</v>
      </c>
      <c r="B16" s="919">
        <f t="shared" si="1"/>
        <v>4838962</v>
      </c>
      <c r="C16" s="919">
        <v>2802252</v>
      </c>
      <c r="D16" s="919">
        <v>1596487</v>
      </c>
      <c r="E16" s="919">
        <v>440223</v>
      </c>
      <c r="F16" s="598"/>
      <c r="G16" s="558"/>
      <c r="H16" s="558"/>
      <c r="I16" s="558"/>
      <c r="J16" s="558"/>
    </row>
    <row r="17" spans="1:14">
      <c r="A17" s="598" t="s">
        <v>2001</v>
      </c>
      <c r="B17" s="919">
        <f t="shared" si="1"/>
        <v>1849599</v>
      </c>
      <c r="C17" s="1117">
        <v>1218366</v>
      </c>
      <c r="D17" s="919">
        <v>448104</v>
      </c>
      <c r="E17" s="919">
        <v>183129</v>
      </c>
      <c r="F17" s="598"/>
      <c r="G17" s="558"/>
      <c r="H17" s="558"/>
      <c r="I17" s="558"/>
      <c r="J17" s="558"/>
      <c r="K17" s="930" t="s">
        <v>2002</v>
      </c>
      <c r="L17" s="931">
        <f>B7-D15-E15</f>
        <v>5156916</v>
      </c>
    </row>
    <row r="18" spans="1:14">
      <c r="A18" s="598" t="s">
        <v>2003</v>
      </c>
      <c r="B18" s="919">
        <f t="shared" si="1"/>
        <v>28108</v>
      </c>
      <c r="C18" s="919">
        <v>19058</v>
      </c>
      <c r="D18" s="919">
        <v>9050</v>
      </c>
      <c r="E18" s="919">
        <v>0</v>
      </c>
      <c r="F18" s="598"/>
      <c r="G18" s="558"/>
      <c r="H18" s="558"/>
      <c r="I18" s="558"/>
      <c r="J18" s="558"/>
      <c r="K18" s="930" t="s">
        <v>2004</v>
      </c>
      <c r="L18" s="931">
        <f>G7-G13</f>
        <v>4928447</v>
      </c>
      <c r="M18" s="932"/>
      <c r="N18" s="932"/>
    </row>
    <row r="19" spans="1:14" ht="25.5">
      <c r="A19" s="928" t="s">
        <v>2005</v>
      </c>
      <c r="B19" s="929">
        <f>B7-G7</f>
        <v>228469</v>
      </c>
      <c r="C19" s="929">
        <f>C7-H7</f>
        <v>73516</v>
      </c>
      <c r="D19" s="929">
        <f>D7-I7</f>
        <v>109811</v>
      </c>
      <c r="E19" s="929">
        <f>E7-J7</f>
        <v>45142</v>
      </c>
      <c r="F19" s="598"/>
      <c r="G19" s="558"/>
      <c r="H19" s="558"/>
      <c r="I19" s="558"/>
      <c r="J19" s="558"/>
      <c r="K19" s="933" t="s">
        <v>2006</v>
      </c>
      <c r="L19" s="934">
        <f>L17-L18</f>
        <v>228469</v>
      </c>
    </row>
    <row r="20" spans="1:14" ht="25.5">
      <c r="A20" s="928" t="s">
        <v>2049</v>
      </c>
      <c r="B20" s="929">
        <f>SUM(C20:E20)</f>
        <v>3694</v>
      </c>
      <c r="C20" s="929">
        <f>C21</f>
        <v>3694</v>
      </c>
      <c r="D20" s="929">
        <f>D21</f>
        <v>0</v>
      </c>
      <c r="E20" s="929">
        <f>E21</f>
        <v>0</v>
      </c>
      <c r="F20" s="928" t="s">
        <v>2007</v>
      </c>
      <c r="G20" s="298">
        <f>H20+I20+J20</f>
        <v>157700</v>
      </c>
      <c r="H20" s="298">
        <f>H21+H22</f>
        <v>157700</v>
      </c>
      <c r="I20" s="298">
        <v>0</v>
      </c>
      <c r="J20" s="298">
        <v>0</v>
      </c>
    </row>
    <row r="21" spans="1:14">
      <c r="A21" s="598" t="s">
        <v>2008</v>
      </c>
      <c r="B21" s="919">
        <f>SUM(C21:E21)</f>
        <v>3694</v>
      </c>
      <c r="C21" s="919">
        <v>3694</v>
      </c>
      <c r="D21" s="919"/>
      <c r="E21" s="919"/>
      <c r="F21" s="598" t="s">
        <v>2009</v>
      </c>
      <c r="G21" s="558">
        <f>H21</f>
        <v>3694</v>
      </c>
      <c r="H21" s="558">
        <v>3694</v>
      </c>
      <c r="I21" s="558">
        <v>0</v>
      </c>
      <c r="J21" s="558">
        <v>0</v>
      </c>
      <c r="K21" s="935" t="s">
        <v>2010</v>
      </c>
      <c r="L21" s="936">
        <f>C7-D15</f>
        <v>2501309</v>
      </c>
    </row>
    <row r="22" spans="1:14">
      <c r="A22" s="937"/>
      <c r="B22" s="938"/>
      <c r="C22" s="938"/>
      <c r="D22" s="938"/>
      <c r="E22" s="938"/>
      <c r="F22" s="937" t="s">
        <v>2011</v>
      </c>
      <c r="G22" s="939">
        <f>H22</f>
        <v>154006</v>
      </c>
      <c r="H22" s="939">
        <f>154602-596</f>
        <v>154006</v>
      </c>
      <c r="I22" s="939">
        <v>0</v>
      </c>
      <c r="J22" s="939">
        <v>0</v>
      </c>
      <c r="K22" s="935" t="s">
        <v>2012</v>
      </c>
      <c r="L22" s="936">
        <f>D7-E15</f>
        <v>1938710</v>
      </c>
    </row>
    <row r="23" spans="1:14" ht="15.75">
      <c r="A23" s="940"/>
      <c r="B23" s="941"/>
      <c r="C23" s="941"/>
      <c r="D23" s="941"/>
      <c r="E23" s="941"/>
      <c r="F23" s="941"/>
      <c r="G23" s="942"/>
      <c r="H23" s="942"/>
      <c r="I23" s="942"/>
      <c r="J23" s="942"/>
      <c r="K23" s="935" t="s">
        <v>1632</v>
      </c>
      <c r="L23" s="936">
        <f>E7</f>
        <v>716897</v>
      </c>
    </row>
    <row r="24" spans="1:14" ht="15.75">
      <c r="A24" s="1648" t="s">
        <v>2094</v>
      </c>
      <c r="B24" s="1648"/>
      <c r="C24" s="1648" t="s">
        <v>2013</v>
      </c>
      <c r="D24" s="1648"/>
      <c r="E24" s="1648"/>
      <c r="F24" s="1648"/>
      <c r="G24" s="1649" t="s">
        <v>2014</v>
      </c>
      <c r="H24" s="1649"/>
      <c r="I24" s="1649"/>
      <c r="J24" s="1649"/>
      <c r="K24" s="943" t="s">
        <v>2015</v>
      </c>
      <c r="L24" s="931">
        <f>L21+L22+L23</f>
        <v>5156916</v>
      </c>
    </row>
    <row r="25" spans="1:14" ht="15.75">
      <c r="A25" s="1650" t="s">
        <v>2016</v>
      </c>
      <c r="B25" s="1650"/>
      <c r="C25" s="1650" t="s">
        <v>1673</v>
      </c>
      <c r="D25" s="1650"/>
      <c r="E25" s="1650"/>
      <c r="F25" s="1650"/>
      <c r="G25" s="1651" t="s">
        <v>1674</v>
      </c>
      <c r="H25" s="1651"/>
      <c r="I25" s="1651"/>
      <c r="J25" s="1651"/>
      <c r="K25" s="944" t="s">
        <v>2017</v>
      </c>
      <c r="L25" s="936">
        <f>H7-H13</f>
        <v>2427793</v>
      </c>
    </row>
    <row r="26" spans="1:14" ht="15.75">
      <c r="A26" s="1648" t="s">
        <v>224</v>
      </c>
      <c r="B26" s="1648"/>
      <c r="C26" s="1648" t="s">
        <v>224</v>
      </c>
      <c r="D26" s="1648"/>
      <c r="E26" s="1648"/>
      <c r="F26" s="1648"/>
      <c r="G26" s="1649" t="s">
        <v>224</v>
      </c>
      <c r="H26" s="1649"/>
      <c r="I26" s="1649"/>
      <c r="J26" s="1649"/>
      <c r="K26" s="944" t="s">
        <v>2018</v>
      </c>
      <c r="L26" s="936">
        <f>I7-I13</f>
        <v>1828899</v>
      </c>
    </row>
    <row r="27" spans="1:14" ht="15.75">
      <c r="A27" s="916"/>
      <c r="D27" s="916"/>
      <c r="E27" s="916"/>
      <c r="F27" s="916"/>
      <c r="G27" s="945"/>
      <c r="H27" s="945"/>
      <c r="I27" s="945"/>
      <c r="J27" s="945"/>
      <c r="K27" s="944" t="s">
        <v>1989</v>
      </c>
      <c r="L27" s="936">
        <f>J7</f>
        <v>671755</v>
      </c>
    </row>
    <row r="28" spans="1:14" ht="15.75">
      <c r="A28" s="916"/>
      <c r="D28" s="916"/>
      <c r="E28" s="916"/>
      <c r="F28" s="916"/>
      <c r="G28" s="945"/>
      <c r="H28" s="945"/>
      <c r="I28" s="945"/>
      <c r="J28" s="945"/>
      <c r="K28" s="943" t="s">
        <v>2015</v>
      </c>
      <c r="L28" s="931">
        <f>L25+L26+L27</f>
        <v>4928447</v>
      </c>
    </row>
    <row r="29" spans="1:14" ht="15.75">
      <c r="A29" s="916"/>
      <c r="D29" s="916"/>
      <c r="E29" s="916"/>
      <c r="F29" s="916"/>
      <c r="G29" s="945"/>
      <c r="H29" s="945"/>
      <c r="I29" s="945"/>
      <c r="J29" s="945"/>
      <c r="K29" s="943" t="s">
        <v>2006</v>
      </c>
      <c r="L29" s="931">
        <f>L24-L28</f>
        <v>228469</v>
      </c>
    </row>
    <row r="30" spans="1:14" ht="15.75">
      <c r="A30" s="916"/>
      <c r="D30" s="916"/>
      <c r="E30" s="916"/>
      <c r="F30" s="916"/>
      <c r="G30" s="945"/>
      <c r="H30" s="945"/>
      <c r="I30" s="945"/>
      <c r="J30" s="945"/>
      <c r="K30" s="944" t="s">
        <v>2019</v>
      </c>
      <c r="L30" s="936">
        <f>L21-L25</f>
        <v>73516</v>
      </c>
    </row>
    <row r="31" spans="1:14" ht="15.75">
      <c r="A31" s="916"/>
      <c r="D31" s="916"/>
      <c r="E31" s="916"/>
      <c r="F31" s="916"/>
      <c r="G31" s="945"/>
      <c r="H31" s="945"/>
      <c r="I31" s="945"/>
      <c r="J31" s="945"/>
      <c r="K31" s="944" t="s">
        <v>2020</v>
      </c>
      <c r="L31" s="936">
        <f>L22-L26</f>
        <v>109811</v>
      </c>
    </row>
    <row r="32" spans="1:14">
      <c r="K32" s="944" t="s">
        <v>2021</v>
      </c>
      <c r="L32" s="936">
        <f>L23-L27</f>
        <v>45142</v>
      </c>
    </row>
  </sheetData>
  <mergeCells count="13">
    <mergeCell ref="A25:B25"/>
    <mergeCell ref="C25:F25"/>
    <mergeCell ref="G25:J25"/>
    <mergeCell ref="A26:B26"/>
    <mergeCell ref="C26:F26"/>
    <mergeCell ref="G26:J26"/>
    <mergeCell ref="H1:J1"/>
    <mergeCell ref="A2:J2"/>
    <mergeCell ref="A3:J3"/>
    <mergeCell ref="I4:J4"/>
    <mergeCell ref="A24:B24"/>
    <mergeCell ref="C24:F24"/>
    <mergeCell ref="G24:J24"/>
  </mergeCells>
  <pageMargins left="0.42" right="0.35" top="0.57999999999999996" bottom="0.75" header="0.3" footer="0.3"/>
  <pageSetup paperSize="9" orientation="landscape"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51"/>
  <sheetViews>
    <sheetView zoomScale="120" zoomScaleNormal="120" workbookViewId="0">
      <selection activeCell="L46" sqref="L46"/>
    </sheetView>
  </sheetViews>
  <sheetFormatPr defaultRowHeight="15"/>
  <cols>
    <col min="1" max="1" width="4" style="72" customWidth="1"/>
    <col min="2" max="2" width="37.28515625" style="69" customWidth="1"/>
    <col min="3" max="3" width="10.28515625" style="70" customWidth="1"/>
    <col min="4" max="4" width="9.28515625" style="70" customWidth="1"/>
    <col min="5" max="5" width="10" style="70" customWidth="1"/>
    <col min="6" max="6" width="10.42578125" style="70" customWidth="1"/>
    <col min="7" max="7" width="9.7109375" style="71" customWidth="1"/>
    <col min="8" max="8" width="11.28515625" style="154" customWidth="1"/>
    <col min="9" max="9" width="10.140625" style="154" customWidth="1"/>
    <col min="10" max="10" width="10.42578125" style="69" customWidth="1"/>
    <col min="11" max="253" width="9.140625" style="69"/>
    <col min="254" max="254" width="4" style="69" customWidth="1"/>
    <col min="255" max="255" width="37.28515625" style="69" customWidth="1"/>
    <col min="256" max="257" width="8.28515625" style="69" customWidth="1"/>
    <col min="258" max="258" width="9.140625" style="69" customWidth="1"/>
    <col min="259" max="259" width="9.85546875" style="69" customWidth="1"/>
    <col min="260" max="260" width="8.85546875" style="69" customWidth="1"/>
    <col min="261" max="261" width="7.5703125" style="69" customWidth="1"/>
    <col min="262" max="262" width="9" style="69" customWidth="1"/>
    <col min="263" max="263" width="8.5703125" style="69" customWidth="1"/>
    <col min="264" max="264" width="7.5703125" style="69" customWidth="1"/>
    <col min="265" max="265" width="10.42578125" style="69" customWidth="1"/>
    <col min="266" max="266" width="10" style="69" customWidth="1"/>
    <col min="267" max="509" width="9.140625" style="69"/>
    <col min="510" max="510" width="4" style="69" customWidth="1"/>
    <col min="511" max="511" width="37.28515625" style="69" customWidth="1"/>
    <col min="512" max="513" width="8.28515625" style="69" customWidth="1"/>
    <col min="514" max="514" width="9.140625" style="69" customWidth="1"/>
    <col min="515" max="515" width="9.85546875" style="69" customWidth="1"/>
    <col min="516" max="516" width="8.85546875" style="69" customWidth="1"/>
    <col min="517" max="517" width="7.5703125" style="69" customWidth="1"/>
    <col min="518" max="518" width="9" style="69" customWidth="1"/>
    <col min="519" max="519" width="8.5703125" style="69" customWidth="1"/>
    <col min="520" max="520" width="7.5703125" style="69" customWidth="1"/>
    <col min="521" max="521" width="10.42578125" style="69" customWidth="1"/>
    <col min="522" max="522" width="10" style="69" customWidth="1"/>
    <col min="523" max="765" width="9.140625" style="69"/>
    <col min="766" max="766" width="4" style="69" customWidth="1"/>
    <col min="767" max="767" width="37.28515625" style="69" customWidth="1"/>
    <col min="768" max="769" width="8.28515625" style="69" customWidth="1"/>
    <col min="770" max="770" width="9.140625" style="69" customWidth="1"/>
    <col min="771" max="771" width="9.85546875" style="69" customWidth="1"/>
    <col min="772" max="772" width="8.85546875" style="69" customWidth="1"/>
    <col min="773" max="773" width="7.5703125" style="69" customWidth="1"/>
    <col min="774" max="774" width="9" style="69" customWidth="1"/>
    <col min="775" max="775" width="8.5703125" style="69" customWidth="1"/>
    <col min="776" max="776" width="7.5703125" style="69" customWidth="1"/>
    <col min="777" max="777" width="10.42578125" style="69" customWidth="1"/>
    <col min="778" max="778" width="10" style="69" customWidth="1"/>
    <col min="779" max="1021" width="9.140625" style="69"/>
    <col min="1022" max="1022" width="4" style="69" customWidth="1"/>
    <col min="1023" max="1023" width="37.28515625" style="69" customWidth="1"/>
    <col min="1024" max="1025" width="8.28515625" style="69" customWidth="1"/>
    <col min="1026" max="1026" width="9.140625" style="69" customWidth="1"/>
    <col min="1027" max="1027" width="9.85546875" style="69" customWidth="1"/>
    <col min="1028" max="1028" width="8.85546875" style="69" customWidth="1"/>
    <col min="1029" max="1029" width="7.5703125" style="69" customWidth="1"/>
    <col min="1030" max="1030" width="9" style="69" customWidth="1"/>
    <col min="1031" max="1031" width="8.5703125" style="69" customWidth="1"/>
    <col min="1032" max="1032" width="7.5703125" style="69" customWidth="1"/>
    <col min="1033" max="1033" width="10.42578125" style="69" customWidth="1"/>
    <col min="1034" max="1034" width="10" style="69" customWidth="1"/>
    <col min="1035" max="1277" width="9.140625" style="69"/>
    <col min="1278" max="1278" width="4" style="69" customWidth="1"/>
    <col min="1279" max="1279" width="37.28515625" style="69" customWidth="1"/>
    <col min="1280" max="1281" width="8.28515625" style="69" customWidth="1"/>
    <col min="1282" max="1282" width="9.140625" style="69" customWidth="1"/>
    <col min="1283" max="1283" width="9.85546875" style="69" customWidth="1"/>
    <col min="1284" max="1284" width="8.85546875" style="69" customWidth="1"/>
    <col min="1285" max="1285" width="7.5703125" style="69" customWidth="1"/>
    <col min="1286" max="1286" width="9" style="69" customWidth="1"/>
    <col min="1287" max="1287" width="8.5703125" style="69" customWidth="1"/>
    <col min="1288" max="1288" width="7.5703125" style="69" customWidth="1"/>
    <col min="1289" max="1289" width="10.42578125" style="69" customWidth="1"/>
    <col min="1290" max="1290" width="10" style="69" customWidth="1"/>
    <col min="1291" max="1533" width="9.140625" style="69"/>
    <col min="1534" max="1534" width="4" style="69" customWidth="1"/>
    <col min="1535" max="1535" width="37.28515625" style="69" customWidth="1"/>
    <col min="1536" max="1537" width="8.28515625" style="69" customWidth="1"/>
    <col min="1538" max="1538" width="9.140625" style="69" customWidth="1"/>
    <col min="1539" max="1539" width="9.85546875" style="69" customWidth="1"/>
    <col min="1540" max="1540" width="8.85546875" style="69" customWidth="1"/>
    <col min="1541" max="1541" width="7.5703125" style="69" customWidth="1"/>
    <col min="1542" max="1542" width="9" style="69" customWidth="1"/>
    <col min="1543" max="1543" width="8.5703125" style="69" customWidth="1"/>
    <col min="1544" max="1544" width="7.5703125" style="69" customWidth="1"/>
    <col min="1545" max="1545" width="10.42578125" style="69" customWidth="1"/>
    <col min="1546" max="1546" width="10" style="69" customWidth="1"/>
    <col min="1547" max="1789" width="9.140625" style="69"/>
    <col min="1790" max="1790" width="4" style="69" customWidth="1"/>
    <col min="1791" max="1791" width="37.28515625" style="69" customWidth="1"/>
    <col min="1792" max="1793" width="8.28515625" style="69" customWidth="1"/>
    <col min="1794" max="1794" width="9.140625" style="69" customWidth="1"/>
    <col min="1795" max="1795" width="9.85546875" style="69" customWidth="1"/>
    <col min="1796" max="1796" width="8.85546875" style="69" customWidth="1"/>
    <col min="1797" max="1797" width="7.5703125" style="69" customWidth="1"/>
    <col min="1798" max="1798" width="9" style="69" customWidth="1"/>
    <col min="1799" max="1799" width="8.5703125" style="69" customWidth="1"/>
    <col min="1800" max="1800" width="7.5703125" style="69" customWidth="1"/>
    <col min="1801" max="1801" width="10.42578125" style="69" customWidth="1"/>
    <col min="1802" max="1802" width="10" style="69" customWidth="1"/>
    <col min="1803" max="2045" width="9.140625" style="69"/>
    <col min="2046" max="2046" width="4" style="69" customWidth="1"/>
    <col min="2047" max="2047" width="37.28515625" style="69" customWidth="1"/>
    <col min="2048" max="2049" width="8.28515625" style="69" customWidth="1"/>
    <col min="2050" max="2050" width="9.140625" style="69" customWidth="1"/>
    <col min="2051" max="2051" width="9.85546875" style="69" customWidth="1"/>
    <col min="2052" max="2052" width="8.85546875" style="69" customWidth="1"/>
    <col min="2053" max="2053" width="7.5703125" style="69" customWidth="1"/>
    <col min="2054" max="2054" width="9" style="69" customWidth="1"/>
    <col min="2055" max="2055" width="8.5703125" style="69" customWidth="1"/>
    <col min="2056" max="2056" width="7.5703125" style="69" customWidth="1"/>
    <col min="2057" max="2057" width="10.42578125" style="69" customWidth="1"/>
    <col min="2058" max="2058" width="10" style="69" customWidth="1"/>
    <col min="2059" max="2301" width="9.140625" style="69"/>
    <col min="2302" max="2302" width="4" style="69" customWidth="1"/>
    <col min="2303" max="2303" width="37.28515625" style="69" customWidth="1"/>
    <col min="2304" max="2305" width="8.28515625" style="69" customWidth="1"/>
    <col min="2306" max="2306" width="9.140625" style="69" customWidth="1"/>
    <col min="2307" max="2307" width="9.85546875" style="69" customWidth="1"/>
    <col min="2308" max="2308" width="8.85546875" style="69" customWidth="1"/>
    <col min="2309" max="2309" width="7.5703125" style="69" customWidth="1"/>
    <col min="2310" max="2310" width="9" style="69" customWidth="1"/>
    <col min="2311" max="2311" width="8.5703125" style="69" customWidth="1"/>
    <col min="2312" max="2312" width="7.5703125" style="69" customWidth="1"/>
    <col min="2313" max="2313" width="10.42578125" style="69" customWidth="1"/>
    <col min="2314" max="2314" width="10" style="69" customWidth="1"/>
    <col min="2315" max="2557" width="9.140625" style="69"/>
    <col min="2558" max="2558" width="4" style="69" customWidth="1"/>
    <col min="2559" max="2559" width="37.28515625" style="69" customWidth="1"/>
    <col min="2560" max="2561" width="8.28515625" style="69" customWidth="1"/>
    <col min="2562" max="2562" width="9.140625" style="69" customWidth="1"/>
    <col min="2563" max="2563" width="9.85546875" style="69" customWidth="1"/>
    <col min="2564" max="2564" width="8.85546875" style="69" customWidth="1"/>
    <col min="2565" max="2565" width="7.5703125" style="69" customWidth="1"/>
    <col min="2566" max="2566" width="9" style="69" customWidth="1"/>
    <col min="2567" max="2567" width="8.5703125" style="69" customWidth="1"/>
    <col min="2568" max="2568" width="7.5703125" style="69" customWidth="1"/>
    <col min="2569" max="2569" width="10.42578125" style="69" customWidth="1"/>
    <col min="2570" max="2570" width="10" style="69" customWidth="1"/>
    <col min="2571" max="2813" width="9.140625" style="69"/>
    <col min="2814" max="2814" width="4" style="69" customWidth="1"/>
    <col min="2815" max="2815" width="37.28515625" style="69" customWidth="1"/>
    <col min="2816" max="2817" width="8.28515625" style="69" customWidth="1"/>
    <col min="2818" max="2818" width="9.140625" style="69" customWidth="1"/>
    <col min="2819" max="2819" width="9.85546875" style="69" customWidth="1"/>
    <col min="2820" max="2820" width="8.85546875" style="69" customWidth="1"/>
    <col min="2821" max="2821" width="7.5703125" style="69" customWidth="1"/>
    <col min="2822" max="2822" width="9" style="69" customWidth="1"/>
    <col min="2823" max="2823" width="8.5703125" style="69" customWidth="1"/>
    <col min="2824" max="2824" width="7.5703125" style="69" customWidth="1"/>
    <col min="2825" max="2825" width="10.42578125" style="69" customWidth="1"/>
    <col min="2826" max="2826" width="10" style="69" customWidth="1"/>
    <col min="2827" max="3069" width="9.140625" style="69"/>
    <col min="3070" max="3070" width="4" style="69" customWidth="1"/>
    <col min="3071" max="3071" width="37.28515625" style="69" customWidth="1"/>
    <col min="3072" max="3073" width="8.28515625" style="69" customWidth="1"/>
    <col min="3074" max="3074" width="9.140625" style="69" customWidth="1"/>
    <col min="3075" max="3075" width="9.85546875" style="69" customWidth="1"/>
    <col min="3076" max="3076" width="8.85546875" style="69" customWidth="1"/>
    <col min="3077" max="3077" width="7.5703125" style="69" customWidth="1"/>
    <col min="3078" max="3078" width="9" style="69" customWidth="1"/>
    <col min="3079" max="3079" width="8.5703125" style="69" customWidth="1"/>
    <col min="3080" max="3080" width="7.5703125" style="69" customWidth="1"/>
    <col min="3081" max="3081" width="10.42578125" style="69" customWidth="1"/>
    <col min="3082" max="3082" width="10" style="69" customWidth="1"/>
    <col min="3083" max="3325" width="9.140625" style="69"/>
    <col min="3326" max="3326" width="4" style="69" customWidth="1"/>
    <col min="3327" max="3327" width="37.28515625" style="69" customWidth="1"/>
    <col min="3328" max="3329" width="8.28515625" style="69" customWidth="1"/>
    <col min="3330" max="3330" width="9.140625" style="69" customWidth="1"/>
    <col min="3331" max="3331" width="9.85546875" style="69" customWidth="1"/>
    <col min="3332" max="3332" width="8.85546875" style="69" customWidth="1"/>
    <col min="3333" max="3333" width="7.5703125" style="69" customWidth="1"/>
    <col min="3334" max="3334" width="9" style="69" customWidth="1"/>
    <col min="3335" max="3335" width="8.5703125" style="69" customWidth="1"/>
    <col min="3336" max="3336" width="7.5703125" style="69" customWidth="1"/>
    <col min="3337" max="3337" width="10.42578125" style="69" customWidth="1"/>
    <col min="3338" max="3338" width="10" style="69" customWidth="1"/>
    <col min="3339" max="3581" width="9.140625" style="69"/>
    <col min="3582" max="3582" width="4" style="69" customWidth="1"/>
    <col min="3583" max="3583" width="37.28515625" style="69" customWidth="1"/>
    <col min="3584" max="3585" width="8.28515625" style="69" customWidth="1"/>
    <col min="3586" max="3586" width="9.140625" style="69" customWidth="1"/>
    <col min="3587" max="3587" width="9.85546875" style="69" customWidth="1"/>
    <col min="3588" max="3588" width="8.85546875" style="69" customWidth="1"/>
    <col min="3589" max="3589" width="7.5703125" style="69" customWidth="1"/>
    <col min="3590" max="3590" width="9" style="69" customWidth="1"/>
    <col min="3591" max="3591" width="8.5703125" style="69" customWidth="1"/>
    <col min="3592" max="3592" width="7.5703125" style="69" customWidth="1"/>
    <col min="3593" max="3593" width="10.42578125" style="69" customWidth="1"/>
    <col min="3594" max="3594" width="10" style="69" customWidth="1"/>
    <col min="3595" max="3837" width="9.140625" style="69"/>
    <col min="3838" max="3838" width="4" style="69" customWidth="1"/>
    <col min="3839" max="3839" width="37.28515625" style="69" customWidth="1"/>
    <col min="3840" max="3841" width="8.28515625" style="69" customWidth="1"/>
    <col min="3842" max="3842" width="9.140625" style="69" customWidth="1"/>
    <col min="3843" max="3843" width="9.85546875" style="69" customWidth="1"/>
    <col min="3844" max="3844" width="8.85546875" style="69" customWidth="1"/>
    <col min="3845" max="3845" width="7.5703125" style="69" customWidth="1"/>
    <col min="3846" max="3846" width="9" style="69" customWidth="1"/>
    <col min="3847" max="3847" width="8.5703125" style="69" customWidth="1"/>
    <col min="3848" max="3848" width="7.5703125" style="69" customWidth="1"/>
    <col min="3849" max="3849" width="10.42578125" style="69" customWidth="1"/>
    <col min="3850" max="3850" width="10" style="69" customWidth="1"/>
    <col min="3851" max="4093" width="9.140625" style="69"/>
    <col min="4094" max="4094" width="4" style="69" customWidth="1"/>
    <col min="4095" max="4095" width="37.28515625" style="69" customWidth="1"/>
    <col min="4096" max="4097" width="8.28515625" style="69" customWidth="1"/>
    <col min="4098" max="4098" width="9.140625" style="69" customWidth="1"/>
    <col min="4099" max="4099" width="9.85546875" style="69" customWidth="1"/>
    <col min="4100" max="4100" width="8.85546875" style="69" customWidth="1"/>
    <col min="4101" max="4101" width="7.5703125" style="69" customWidth="1"/>
    <col min="4102" max="4102" width="9" style="69" customWidth="1"/>
    <col min="4103" max="4103" width="8.5703125" style="69" customWidth="1"/>
    <col min="4104" max="4104" width="7.5703125" style="69" customWidth="1"/>
    <col min="4105" max="4105" width="10.42578125" style="69" customWidth="1"/>
    <col min="4106" max="4106" width="10" style="69" customWidth="1"/>
    <col min="4107" max="4349" width="9.140625" style="69"/>
    <col min="4350" max="4350" width="4" style="69" customWidth="1"/>
    <col min="4351" max="4351" width="37.28515625" style="69" customWidth="1"/>
    <col min="4352" max="4353" width="8.28515625" style="69" customWidth="1"/>
    <col min="4354" max="4354" width="9.140625" style="69" customWidth="1"/>
    <col min="4355" max="4355" width="9.85546875" style="69" customWidth="1"/>
    <col min="4356" max="4356" width="8.85546875" style="69" customWidth="1"/>
    <col min="4357" max="4357" width="7.5703125" style="69" customWidth="1"/>
    <col min="4358" max="4358" width="9" style="69" customWidth="1"/>
    <col min="4359" max="4359" width="8.5703125" style="69" customWidth="1"/>
    <col min="4360" max="4360" width="7.5703125" style="69" customWidth="1"/>
    <col min="4361" max="4361" width="10.42578125" style="69" customWidth="1"/>
    <col min="4362" max="4362" width="10" style="69" customWidth="1"/>
    <col min="4363" max="4605" width="9.140625" style="69"/>
    <col min="4606" max="4606" width="4" style="69" customWidth="1"/>
    <col min="4607" max="4607" width="37.28515625" style="69" customWidth="1"/>
    <col min="4608" max="4609" width="8.28515625" style="69" customWidth="1"/>
    <col min="4610" max="4610" width="9.140625" style="69" customWidth="1"/>
    <col min="4611" max="4611" width="9.85546875" style="69" customWidth="1"/>
    <col min="4612" max="4612" width="8.85546875" style="69" customWidth="1"/>
    <col min="4613" max="4613" width="7.5703125" style="69" customWidth="1"/>
    <col min="4614" max="4614" width="9" style="69" customWidth="1"/>
    <col min="4615" max="4615" width="8.5703125" style="69" customWidth="1"/>
    <col min="4616" max="4616" width="7.5703125" style="69" customWidth="1"/>
    <col min="4617" max="4617" width="10.42578125" style="69" customWidth="1"/>
    <col min="4618" max="4618" width="10" style="69" customWidth="1"/>
    <col min="4619" max="4861" width="9.140625" style="69"/>
    <col min="4862" max="4862" width="4" style="69" customWidth="1"/>
    <col min="4863" max="4863" width="37.28515625" style="69" customWidth="1"/>
    <col min="4864" max="4865" width="8.28515625" style="69" customWidth="1"/>
    <col min="4866" max="4866" width="9.140625" style="69" customWidth="1"/>
    <col min="4867" max="4867" width="9.85546875" style="69" customWidth="1"/>
    <col min="4868" max="4868" width="8.85546875" style="69" customWidth="1"/>
    <col min="4869" max="4869" width="7.5703125" style="69" customWidth="1"/>
    <col min="4870" max="4870" width="9" style="69" customWidth="1"/>
    <col min="4871" max="4871" width="8.5703125" style="69" customWidth="1"/>
    <col min="4872" max="4872" width="7.5703125" style="69" customWidth="1"/>
    <col min="4873" max="4873" width="10.42578125" style="69" customWidth="1"/>
    <col min="4874" max="4874" width="10" style="69" customWidth="1"/>
    <col min="4875" max="5117" width="9.140625" style="69"/>
    <col min="5118" max="5118" width="4" style="69" customWidth="1"/>
    <col min="5119" max="5119" width="37.28515625" style="69" customWidth="1"/>
    <col min="5120" max="5121" width="8.28515625" style="69" customWidth="1"/>
    <col min="5122" max="5122" width="9.140625" style="69" customWidth="1"/>
    <col min="5123" max="5123" width="9.85546875" style="69" customWidth="1"/>
    <col min="5124" max="5124" width="8.85546875" style="69" customWidth="1"/>
    <col min="5125" max="5125" width="7.5703125" style="69" customWidth="1"/>
    <col min="5126" max="5126" width="9" style="69" customWidth="1"/>
    <col min="5127" max="5127" width="8.5703125" style="69" customWidth="1"/>
    <col min="5128" max="5128" width="7.5703125" style="69" customWidth="1"/>
    <col min="5129" max="5129" width="10.42578125" style="69" customWidth="1"/>
    <col min="5130" max="5130" width="10" style="69" customWidth="1"/>
    <col min="5131" max="5373" width="9.140625" style="69"/>
    <col min="5374" max="5374" width="4" style="69" customWidth="1"/>
    <col min="5375" max="5375" width="37.28515625" style="69" customWidth="1"/>
    <col min="5376" max="5377" width="8.28515625" style="69" customWidth="1"/>
    <col min="5378" max="5378" width="9.140625" style="69" customWidth="1"/>
    <col min="5379" max="5379" width="9.85546875" style="69" customWidth="1"/>
    <col min="5380" max="5380" width="8.85546875" style="69" customWidth="1"/>
    <col min="5381" max="5381" width="7.5703125" style="69" customWidth="1"/>
    <col min="5382" max="5382" width="9" style="69" customWidth="1"/>
    <col min="5383" max="5383" width="8.5703125" style="69" customWidth="1"/>
    <col min="5384" max="5384" width="7.5703125" style="69" customWidth="1"/>
    <col min="5385" max="5385" width="10.42578125" style="69" customWidth="1"/>
    <col min="5386" max="5386" width="10" style="69" customWidth="1"/>
    <col min="5387" max="5629" width="9.140625" style="69"/>
    <col min="5630" max="5630" width="4" style="69" customWidth="1"/>
    <col min="5631" max="5631" width="37.28515625" style="69" customWidth="1"/>
    <col min="5632" max="5633" width="8.28515625" style="69" customWidth="1"/>
    <col min="5634" max="5634" width="9.140625" style="69" customWidth="1"/>
    <col min="5635" max="5635" width="9.85546875" style="69" customWidth="1"/>
    <col min="5636" max="5636" width="8.85546875" style="69" customWidth="1"/>
    <col min="5637" max="5637" width="7.5703125" style="69" customWidth="1"/>
    <col min="5638" max="5638" width="9" style="69" customWidth="1"/>
    <col min="5639" max="5639" width="8.5703125" style="69" customWidth="1"/>
    <col min="5640" max="5640" width="7.5703125" style="69" customWidth="1"/>
    <col min="5641" max="5641" width="10.42578125" style="69" customWidth="1"/>
    <col min="5642" max="5642" width="10" style="69" customWidth="1"/>
    <col min="5643" max="5885" width="9.140625" style="69"/>
    <col min="5886" max="5886" width="4" style="69" customWidth="1"/>
    <col min="5887" max="5887" width="37.28515625" style="69" customWidth="1"/>
    <col min="5888" max="5889" width="8.28515625" style="69" customWidth="1"/>
    <col min="5890" max="5890" width="9.140625" style="69" customWidth="1"/>
    <col min="5891" max="5891" width="9.85546875" style="69" customWidth="1"/>
    <col min="5892" max="5892" width="8.85546875" style="69" customWidth="1"/>
    <col min="5893" max="5893" width="7.5703125" style="69" customWidth="1"/>
    <col min="5894" max="5894" width="9" style="69" customWidth="1"/>
    <col min="5895" max="5895" width="8.5703125" style="69" customWidth="1"/>
    <col min="5896" max="5896" width="7.5703125" style="69" customWidth="1"/>
    <col min="5897" max="5897" width="10.42578125" style="69" customWidth="1"/>
    <col min="5898" max="5898" width="10" style="69" customWidth="1"/>
    <col min="5899" max="6141" width="9.140625" style="69"/>
    <col min="6142" max="6142" width="4" style="69" customWidth="1"/>
    <col min="6143" max="6143" width="37.28515625" style="69" customWidth="1"/>
    <col min="6144" max="6145" width="8.28515625" style="69" customWidth="1"/>
    <col min="6146" max="6146" width="9.140625" style="69" customWidth="1"/>
    <col min="6147" max="6147" width="9.85546875" style="69" customWidth="1"/>
    <col min="6148" max="6148" width="8.85546875" style="69" customWidth="1"/>
    <col min="6149" max="6149" width="7.5703125" style="69" customWidth="1"/>
    <col min="6150" max="6150" width="9" style="69" customWidth="1"/>
    <col min="6151" max="6151" width="8.5703125" style="69" customWidth="1"/>
    <col min="6152" max="6152" width="7.5703125" style="69" customWidth="1"/>
    <col min="6153" max="6153" width="10.42578125" style="69" customWidth="1"/>
    <col min="6154" max="6154" width="10" style="69" customWidth="1"/>
    <col min="6155" max="6397" width="9.140625" style="69"/>
    <col min="6398" max="6398" width="4" style="69" customWidth="1"/>
    <col min="6399" max="6399" width="37.28515625" style="69" customWidth="1"/>
    <col min="6400" max="6401" width="8.28515625" style="69" customWidth="1"/>
    <col min="6402" max="6402" width="9.140625" style="69" customWidth="1"/>
    <col min="6403" max="6403" width="9.85546875" style="69" customWidth="1"/>
    <col min="6404" max="6404" width="8.85546875" style="69" customWidth="1"/>
    <col min="6405" max="6405" width="7.5703125" style="69" customWidth="1"/>
    <col min="6406" max="6406" width="9" style="69" customWidth="1"/>
    <col min="6407" max="6407" width="8.5703125" style="69" customWidth="1"/>
    <col min="6408" max="6408" width="7.5703125" style="69" customWidth="1"/>
    <col min="6409" max="6409" width="10.42578125" style="69" customWidth="1"/>
    <col min="6410" max="6410" width="10" style="69" customWidth="1"/>
    <col min="6411" max="6653" width="9.140625" style="69"/>
    <col min="6654" max="6654" width="4" style="69" customWidth="1"/>
    <col min="6655" max="6655" width="37.28515625" style="69" customWidth="1"/>
    <col min="6656" max="6657" width="8.28515625" style="69" customWidth="1"/>
    <col min="6658" max="6658" width="9.140625" style="69" customWidth="1"/>
    <col min="6659" max="6659" width="9.85546875" style="69" customWidth="1"/>
    <col min="6660" max="6660" width="8.85546875" style="69" customWidth="1"/>
    <col min="6661" max="6661" width="7.5703125" style="69" customWidth="1"/>
    <col min="6662" max="6662" width="9" style="69" customWidth="1"/>
    <col min="6663" max="6663" width="8.5703125" style="69" customWidth="1"/>
    <col min="6664" max="6664" width="7.5703125" style="69" customWidth="1"/>
    <col min="6665" max="6665" width="10.42578125" style="69" customWidth="1"/>
    <col min="6666" max="6666" width="10" style="69" customWidth="1"/>
    <col min="6667" max="6909" width="9.140625" style="69"/>
    <col min="6910" max="6910" width="4" style="69" customWidth="1"/>
    <col min="6911" max="6911" width="37.28515625" style="69" customWidth="1"/>
    <col min="6912" max="6913" width="8.28515625" style="69" customWidth="1"/>
    <col min="6914" max="6914" width="9.140625" style="69" customWidth="1"/>
    <col min="6915" max="6915" width="9.85546875" style="69" customWidth="1"/>
    <col min="6916" max="6916" width="8.85546875" style="69" customWidth="1"/>
    <col min="6917" max="6917" width="7.5703125" style="69" customWidth="1"/>
    <col min="6918" max="6918" width="9" style="69" customWidth="1"/>
    <col min="6919" max="6919" width="8.5703125" style="69" customWidth="1"/>
    <col min="6920" max="6920" width="7.5703125" style="69" customWidth="1"/>
    <col min="6921" max="6921" width="10.42578125" style="69" customWidth="1"/>
    <col min="6922" max="6922" width="10" style="69" customWidth="1"/>
    <col min="6923" max="7165" width="9.140625" style="69"/>
    <col min="7166" max="7166" width="4" style="69" customWidth="1"/>
    <col min="7167" max="7167" width="37.28515625" style="69" customWidth="1"/>
    <col min="7168" max="7169" width="8.28515625" style="69" customWidth="1"/>
    <col min="7170" max="7170" width="9.140625" style="69" customWidth="1"/>
    <col min="7171" max="7171" width="9.85546875" style="69" customWidth="1"/>
    <col min="7172" max="7172" width="8.85546875" style="69" customWidth="1"/>
    <col min="7173" max="7173" width="7.5703125" style="69" customWidth="1"/>
    <col min="7174" max="7174" width="9" style="69" customWidth="1"/>
    <col min="7175" max="7175" width="8.5703125" style="69" customWidth="1"/>
    <col min="7176" max="7176" width="7.5703125" style="69" customWidth="1"/>
    <col min="7177" max="7177" width="10.42578125" style="69" customWidth="1"/>
    <col min="7178" max="7178" width="10" style="69" customWidth="1"/>
    <col min="7179" max="7421" width="9.140625" style="69"/>
    <col min="7422" max="7422" width="4" style="69" customWidth="1"/>
    <col min="7423" max="7423" width="37.28515625" style="69" customWidth="1"/>
    <col min="7424" max="7425" width="8.28515625" style="69" customWidth="1"/>
    <col min="7426" max="7426" width="9.140625" style="69" customWidth="1"/>
    <col min="7427" max="7427" width="9.85546875" style="69" customWidth="1"/>
    <col min="7428" max="7428" width="8.85546875" style="69" customWidth="1"/>
    <col min="7429" max="7429" width="7.5703125" style="69" customWidth="1"/>
    <col min="7430" max="7430" width="9" style="69" customWidth="1"/>
    <col min="7431" max="7431" width="8.5703125" style="69" customWidth="1"/>
    <col min="7432" max="7432" width="7.5703125" style="69" customWidth="1"/>
    <col min="7433" max="7433" width="10.42578125" style="69" customWidth="1"/>
    <col min="7434" max="7434" width="10" style="69" customWidth="1"/>
    <col min="7435" max="7677" width="9.140625" style="69"/>
    <col min="7678" max="7678" width="4" style="69" customWidth="1"/>
    <col min="7679" max="7679" width="37.28515625" style="69" customWidth="1"/>
    <col min="7680" max="7681" width="8.28515625" style="69" customWidth="1"/>
    <col min="7682" max="7682" width="9.140625" style="69" customWidth="1"/>
    <col min="7683" max="7683" width="9.85546875" style="69" customWidth="1"/>
    <col min="7684" max="7684" width="8.85546875" style="69" customWidth="1"/>
    <col min="7685" max="7685" width="7.5703125" style="69" customWidth="1"/>
    <col min="7686" max="7686" width="9" style="69" customWidth="1"/>
    <col min="7687" max="7687" width="8.5703125" style="69" customWidth="1"/>
    <col min="7688" max="7688" width="7.5703125" style="69" customWidth="1"/>
    <col min="7689" max="7689" width="10.42578125" style="69" customWidth="1"/>
    <col min="7690" max="7690" width="10" style="69" customWidth="1"/>
    <col min="7691" max="7933" width="9.140625" style="69"/>
    <col min="7934" max="7934" width="4" style="69" customWidth="1"/>
    <col min="7935" max="7935" width="37.28515625" style="69" customWidth="1"/>
    <col min="7936" max="7937" width="8.28515625" style="69" customWidth="1"/>
    <col min="7938" max="7938" width="9.140625" style="69" customWidth="1"/>
    <col min="7939" max="7939" width="9.85546875" style="69" customWidth="1"/>
    <col min="7940" max="7940" width="8.85546875" style="69" customWidth="1"/>
    <col min="7941" max="7941" width="7.5703125" style="69" customWidth="1"/>
    <col min="7942" max="7942" width="9" style="69" customWidth="1"/>
    <col min="7943" max="7943" width="8.5703125" style="69" customWidth="1"/>
    <col min="7944" max="7944" width="7.5703125" style="69" customWidth="1"/>
    <col min="7945" max="7945" width="10.42578125" style="69" customWidth="1"/>
    <col min="7946" max="7946" width="10" style="69" customWidth="1"/>
    <col min="7947" max="8189" width="9.140625" style="69"/>
    <col min="8190" max="8190" width="4" style="69" customWidth="1"/>
    <col min="8191" max="8191" width="37.28515625" style="69" customWidth="1"/>
    <col min="8192" max="8193" width="8.28515625" style="69" customWidth="1"/>
    <col min="8194" max="8194" width="9.140625" style="69" customWidth="1"/>
    <col min="8195" max="8195" width="9.85546875" style="69" customWidth="1"/>
    <col min="8196" max="8196" width="8.85546875" style="69" customWidth="1"/>
    <col min="8197" max="8197" width="7.5703125" style="69" customWidth="1"/>
    <col min="8198" max="8198" width="9" style="69" customWidth="1"/>
    <col min="8199" max="8199" width="8.5703125" style="69" customWidth="1"/>
    <col min="8200" max="8200" width="7.5703125" style="69" customWidth="1"/>
    <col min="8201" max="8201" width="10.42578125" style="69" customWidth="1"/>
    <col min="8202" max="8202" width="10" style="69" customWidth="1"/>
    <col min="8203" max="8445" width="9.140625" style="69"/>
    <col min="8446" max="8446" width="4" style="69" customWidth="1"/>
    <col min="8447" max="8447" width="37.28515625" style="69" customWidth="1"/>
    <col min="8448" max="8449" width="8.28515625" style="69" customWidth="1"/>
    <col min="8450" max="8450" width="9.140625" style="69" customWidth="1"/>
    <col min="8451" max="8451" width="9.85546875" style="69" customWidth="1"/>
    <col min="8452" max="8452" width="8.85546875" style="69" customWidth="1"/>
    <col min="8453" max="8453" width="7.5703125" style="69" customWidth="1"/>
    <col min="8454" max="8454" width="9" style="69" customWidth="1"/>
    <col min="8455" max="8455" width="8.5703125" style="69" customWidth="1"/>
    <col min="8456" max="8456" width="7.5703125" style="69" customWidth="1"/>
    <col min="8457" max="8457" width="10.42578125" style="69" customWidth="1"/>
    <col min="8458" max="8458" width="10" style="69" customWidth="1"/>
    <col min="8459" max="8701" width="9.140625" style="69"/>
    <col min="8702" max="8702" width="4" style="69" customWidth="1"/>
    <col min="8703" max="8703" width="37.28515625" style="69" customWidth="1"/>
    <col min="8704" max="8705" width="8.28515625" style="69" customWidth="1"/>
    <col min="8706" max="8706" width="9.140625" style="69" customWidth="1"/>
    <col min="8707" max="8707" width="9.85546875" style="69" customWidth="1"/>
    <col min="8708" max="8708" width="8.85546875" style="69" customWidth="1"/>
    <col min="8709" max="8709" width="7.5703125" style="69" customWidth="1"/>
    <col min="8710" max="8710" width="9" style="69" customWidth="1"/>
    <col min="8711" max="8711" width="8.5703125" style="69" customWidth="1"/>
    <col min="8712" max="8712" width="7.5703125" style="69" customWidth="1"/>
    <col min="8713" max="8713" width="10.42578125" style="69" customWidth="1"/>
    <col min="8714" max="8714" width="10" style="69" customWidth="1"/>
    <col min="8715" max="8957" width="9.140625" style="69"/>
    <col min="8958" max="8958" width="4" style="69" customWidth="1"/>
    <col min="8959" max="8959" width="37.28515625" style="69" customWidth="1"/>
    <col min="8960" max="8961" width="8.28515625" style="69" customWidth="1"/>
    <col min="8962" max="8962" width="9.140625" style="69" customWidth="1"/>
    <col min="8963" max="8963" width="9.85546875" style="69" customWidth="1"/>
    <col min="8964" max="8964" width="8.85546875" style="69" customWidth="1"/>
    <col min="8965" max="8965" width="7.5703125" style="69" customWidth="1"/>
    <col min="8966" max="8966" width="9" style="69" customWidth="1"/>
    <col min="8967" max="8967" width="8.5703125" style="69" customWidth="1"/>
    <col min="8968" max="8968" width="7.5703125" style="69" customWidth="1"/>
    <col min="8969" max="8969" width="10.42578125" style="69" customWidth="1"/>
    <col min="8970" max="8970" width="10" style="69" customWidth="1"/>
    <col min="8971" max="9213" width="9.140625" style="69"/>
    <col min="9214" max="9214" width="4" style="69" customWidth="1"/>
    <col min="9215" max="9215" width="37.28515625" style="69" customWidth="1"/>
    <col min="9216" max="9217" width="8.28515625" style="69" customWidth="1"/>
    <col min="9218" max="9218" width="9.140625" style="69" customWidth="1"/>
    <col min="9219" max="9219" width="9.85546875" style="69" customWidth="1"/>
    <col min="9220" max="9220" width="8.85546875" style="69" customWidth="1"/>
    <col min="9221" max="9221" width="7.5703125" style="69" customWidth="1"/>
    <col min="9222" max="9222" width="9" style="69" customWidth="1"/>
    <col min="9223" max="9223" width="8.5703125" style="69" customWidth="1"/>
    <col min="9224" max="9224" width="7.5703125" style="69" customWidth="1"/>
    <col min="9225" max="9225" width="10.42578125" style="69" customWidth="1"/>
    <col min="9226" max="9226" width="10" style="69" customWidth="1"/>
    <col min="9227" max="9469" width="9.140625" style="69"/>
    <col min="9470" max="9470" width="4" style="69" customWidth="1"/>
    <col min="9471" max="9471" width="37.28515625" style="69" customWidth="1"/>
    <col min="9472" max="9473" width="8.28515625" style="69" customWidth="1"/>
    <col min="9474" max="9474" width="9.140625" style="69" customWidth="1"/>
    <col min="9475" max="9475" width="9.85546875" style="69" customWidth="1"/>
    <col min="9476" max="9476" width="8.85546875" style="69" customWidth="1"/>
    <col min="9477" max="9477" width="7.5703125" style="69" customWidth="1"/>
    <col min="9478" max="9478" width="9" style="69" customWidth="1"/>
    <col min="9479" max="9479" width="8.5703125" style="69" customWidth="1"/>
    <col min="9480" max="9480" width="7.5703125" style="69" customWidth="1"/>
    <col min="9481" max="9481" width="10.42578125" style="69" customWidth="1"/>
    <col min="9482" max="9482" width="10" style="69" customWidth="1"/>
    <col min="9483" max="9725" width="9.140625" style="69"/>
    <col min="9726" max="9726" width="4" style="69" customWidth="1"/>
    <col min="9727" max="9727" width="37.28515625" style="69" customWidth="1"/>
    <col min="9728" max="9729" width="8.28515625" style="69" customWidth="1"/>
    <col min="9730" max="9730" width="9.140625" style="69" customWidth="1"/>
    <col min="9731" max="9731" width="9.85546875" style="69" customWidth="1"/>
    <col min="9732" max="9732" width="8.85546875" style="69" customWidth="1"/>
    <col min="9733" max="9733" width="7.5703125" style="69" customWidth="1"/>
    <col min="9734" max="9734" width="9" style="69" customWidth="1"/>
    <col min="9735" max="9735" width="8.5703125" style="69" customWidth="1"/>
    <col min="9736" max="9736" width="7.5703125" style="69" customWidth="1"/>
    <col min="9737" max="9737" width="10.42578125" style="69" customWidth="1"/>
    <col min="9738" max="9738" width="10" style="69" customWidth="1"/>
    <col min="9739" max="9981" width="9.140625" style="69"/>
    <col min="9982" max="9982" width="4" style="69" customWidth="1"/>
    <col min="9983" max="9983" width="37.28515625" style="69" customWidth="1"/>
    <col min="9984" max="9985" width="8.28515625" style="69" customWidth="1"/>
    <col min="9986" max="9986" width="9.140625" style="69" customWidth="1"/>
    <col min="9987" max="9987" width="9.85546875" style="69" customWidth="1"/>
    <col min="9988" max="9988" width="8.85546875" style="69" customWidth="1"/>
    <col min="9989" max="9989" width="7.5703125" style="69" customWidth="1"/>
    <col min="9990" max="9990" width="9" style="69" customWidth="1"/>
    <col min="9991" max="9991" width="8.5703125" style="69" customWidth="1"/>
    <col min="9992" max="9992" width="7.5703125" style="69" customWidth="1"/>
    <col min="9993" max="9993" width="10.42578125" style="69" customWidth="1"/>
    <col min="9994" max="9994" width="10" style="69" customWidth="1"/>
    <col min="9995" max="10237" width="9.140625" style="69"/>
    <col min="10238" max="10238" width="4" style="69" customWidth="1"/>
    <col min="10239" max="10239" width="37.28515625" style="69" customWidth="1"/>
    <col min="10240" max="10241" width="8.28515625" style="69" customWidth="1"/>
    <col min="10242" max="10242" width="9.140625" style="69" customWidth="1"/>
    <col min="10243" max="10243" width="9.85546875" style="69" customWidth="1"/>
    <col min="10244" max="10244" width="8.85546875" style="69" customWidth="1"/>
    <col min="10245" max="10245" width="7.5703125" style="69" customWidth="1"/>
    <col min="10246" max="10246" width="9" style="69" customWidth="1"/>
    <col min="10247" max="10247" width="8.5703125" style="69" customWidth="1"/>
    <col min="10248" max="10248" width="7.5703125" style="69" customWidth="1"/>
    <col min="10249" max="10249" width="10.42578125" style="69" customWidth="1"/>
    <col min="10250" max="10250" width="10" style="69" customWidth="1"/>
    <col min="10251" max="10493" width="9.140625" style="69"/>
    <col min="10494" max="10494" width="4" style="69" customWidth="1"/>
    <col min="10495" max="10495" width="37.28515625" style="69" customWidth="1"/>
    <col min="10496" max="10497" width="8.28515625" style="69" customWidth="1"/>
    <col min="10498" max="10498" width="9.140625" style="69" customWidth="1"/>
    <col min="10499" max="10499" width="9.85546875" style="69" customWidth="1"/>
    <col min="10500" max="10500" width="8.85546875" style="69" customWidth="1"/>
    <col min="10501" max="10501" width="7.5703125" style="69" customWidth="1"/>
    <col min="10502" max="10502" width="9" style="69" customWidth="1"/>
    <col min="10503" max="10503" width="8.5703125" style="69" customWidth="1"/>
    <col min="10504" max="10504" width="7.5703125" style="69" customWidth="1"/>
    <col min="10505" max="10505" width="10.42578125" style="69" customWidth="1"/>
    <col min="10506" max="10506" width="10" style="69" customWidth="1"/>
    <col min="10507" max="10749" width="9.140625" style="69"/>
    <col min="10750" max="10750" width="4" style="69" customWidth="1"/>
    <col min="10751" max="10751" width="37.28515625" style="69" customWidth="1"/>
    <col min="10752" max="10753" width="8.28515625" style="69" customWidth="1"/>
    <col min="10754" max="10754" width="9.140625" style="69" customWidth="1"/>
    <col min="10755" max="10755" width="9.85546875" style="69" customWidth="1"/>
    <col min="10756" max="10756" width="8.85546875" style="69" customWidth="1"/>
    <col min="10757" max="10757" width="7.5703125" style="69" customWidth="1"/>
    <col min="10758" max="10758" width="9" style="69" customWidth="1"/>
    <col min="10759" max="10759" width="8.5703125" style="69" customWidth="1"/>
    <col min="10760" max="10760" width="7.5703125" style="69" customWidth="1"/>
    <col min="10761" max="10761" width="10.42578125" style="69" customWidth="1"/>
    <col min="10762" max="10762" width="10" style="69" customWidth="1"/>
    <col min="10763" max="11005" width="9.140625" style="69"/>
    <col min="11006" max="11006" width="4" style="69" customWidth="1"/>
    <col min="11007" max="11007" width="37.28515625" style="69" customWidth="1"/>
    <col min="11008" max="11009" width="8.28515625" style="69" customWidth="1"/>
    <col min="11010" max="11010" width="9.140625" style="69" customWidth="1"/>
    <col min="11011" max="11011" width="9.85546875" style="69" customWidth="1"/>
    <col min="11012" max="11012" width="8.85546875" style="69" customWidth="1"/>
    <col min="11013" max="11013" width="7.5703125" style="69" customWidth="1"/>
    <col min="11014" max="11014" width="9" style="69" customWidth="1"/>
    <col min="11015" max="11015" width="8.5703125" style="69" customWidth="1"/>
    <col min="11016" max="11016" width="7.5703125" style="69" customWidth="1"/>
    <col min="11017" max="11017" width="10.42578125" style="69" customWidth="1"/>
    <col min="11018" max="11018" width="10" style="69" customWidth="1"/>
    <col min="11019" max="11261" width="9.140625" style="69"/>
    <col min="11262" max="11262" width="4" style="69" customWidth="1"/>
    <col min="11263" max="11263" width="37.28515625" style="69" customWidth="1"/>
    <col min="11264" max="11265" width="8.28515625" style="69" customWidth="1"/>
    <col min="11266" max="11266" width="9.140625" style="69" customWidth="1"/>
    <col min="11267" max="11267" width="9.85546875" style="69" customWidth="1"/>
    <col min="11268" max="11268" width="8.85546875" style="69" customWidth="1"/>
    <col min="11269" max="11269" width="7.5703125" style="69" customWidth="1"/>
    <col min="11270" max="11270" width="9" style="69" customWidth="1"/>
    <col min="11271" max="11271" width="8.5703125" style="69" customWidth="1"/>
    <col min="11272" max="11272" width="7.5703125" style="69" customWidth="1"/>
    <col min="11273" max="11273" width="10.42578125" style="69" customWidth="1"/>
    <col min="11274" max="11274" width="10" style="69" customWidth="1"/>
    <col min="11275" max="11517" width="9.140625" style="69"/>
    <col min="11518" max="11518" width="4" style="69" customWidth="1"/>
    <col min="11519" max="11519" width="37.28515625" style="69" customWidth="1"/>
    <col min="11520" max="11521" width="8.28515625" style="69" customWidth="1"/>
    <col min="11522" max="11522" width="9.140625" style="69" customWidth="1"/>
    <col min="11523" max="11523" width="9.85546875" style="69" customWidth="1"/>
    <col min="11524" max="11524" width="8.85546875" style="69" customWidth="1"/>
    <col min="11525" max="11525" width="7.5703125" style="69" customWidth="1"/>
    <col min="11526" max="11526" width="9" style="69" customWidth="1"/>
    <col min="11527" max="11527" width="8.5703125" style="69" customWidth="1"/>
    <col min="11528" max="11528" width="7.5703125" style="69" customWidth="1"/>
    <col min="11529" max="11529" width="10.42578125" style="69" customWidth="1"/>
    <col min="11530" max="11530" width="10" style="69" customWidth="1"/>
    <col min="11531" max="11773" width="9.140625" style="69"/>
    <col min="11774" max="11774" width="4" style="69" customWidth="1"/>
    <col min="11775" max="11775" width="37.28515625" style="69" customWidth="1"/>
    <col min="11776" max="11777" width="8.28515625" style="69" customWidth="1"/>
    <col min="11778" max="11778" width="9.140625" style="69" customWidth="1"/>
    <col min="11779" max="11779" width="9.85546875" style="69" customWidth="1"/>
    <col min="11780" max="11780" width="8.85546875" style="69" customWidth="1"/>
    <col min="11781" max="11781" width="7.5703125" style="69" customWidth="1"/>
    <col min="11782" max="11782" width="9" style="69" customWidth="1"/>
    <col min="11783" max="11783" width="8.5703125" style="69" customWidth="1"/>
    <col min="11784" max="11784" width="7.5703125" style="69" customWidth="1"/>
    <col min="11785" max="11785" width="10.42578125" style="69" customWidth="1"/>
    <col min="11786" max="11786" width="10" style="69" customWidth="1"/>
    <col min="11787" max="12029" width="9.140625" style="69"/>
    <col min="12030" max="12030" width="4" style="69" customWidth="1"/>
    <col min="12031" max="12031" width="37.28515625" style="69" customWidth="1"/>
    <col min="12032" max="12033" width="8.28515625" style="69" customWidth="1"/>
    <col min="12034" max="12034" width="9.140625" style="69" customWidth="1"/>
    <col min="12035" max="12035" width="9.85546875" style="69" customWidth="1"/>
    <col min="12036" max="12036" width="8.85546875" style="69" customWidth="1"/>
    <col min="12037" max="12037" width="7.5703125" style="69" customWidth="1"/>
    <col min="12038" max="12038" width="9" style="69" customWidth="1"/>
    <col min="12039" max="12039" width="8.5703125" style="69" customWidth="1"/>
    <col min="12040" max="12040" width="7.5703125" style="69" customWidth="1"/>
    <col min="12041" max="12041" width="10.42578125" style="69" customWidth="1"/>
    <col min="12042" max="12042" width="10" style="69" customWidth="1"/>
    <col min="12043" max="12285" width="9.140625" style="69"/>
    <col min="12286" max="12286" width="4" style="69" customWidth="1"/>
    <col min="12287" max="12287" width="37.28515625" style="69" customWidth="1"/>
    <col min="12288" max="12289" width="8.28515625" style="69" customWidth="1"/>
    <col min="12290" max="12290" width="9.140625" style="69" customWidth="1"/>
    <col min="12291" max="12291" width="9.85546875" style="69" customWidth="1"/>
    <col min="12292" max="12292" width="8.85546875" style="69" customWidth="1"/>
    <col min="12293" max="12293" width="7.5703125" style="69" customWidth="1"/>
    <col min="12294" max="12294" width="9" style="69" customWidth="1"/>
    <col min="12295" max="12295" width="8.5703125" style="69" customWidth="1"/>
    <col min="12296" max="12296" width="7.5703125" style="69" customWidth="1"/>
    <col min="12297" max="12297" width="10.42578125" style="69" customWidth="1"/>
    <col min="12298" max="12298" width="10" style="69" customWidth="1"/>
    <col min="12299" max="12541" width="9.140625" style="69"/>
    <col min="12542" max="12542" width="4" style="69" customWidth="1"/>
    <col min="12543" max="12543" width="37.28515625" style="69" customWidth="1"/>
    <col min="12544" max="12545" width="8.28515625" style="69" customWidth="1"/>
    <col min="12546" max="12546" width="9.140625" style="69" customWidth="1"/>
    <col min="12547" max="12547" width="9.85546875" style="69" customWidth="1"/>
    <col min="12548" max="12548" width="8.85546875" style="69" customWidth="1"/>
    <col min="12549" max="12549" width="7.5703125" style="69" customWidth="1"/>
    <col min="12550" max="12550" width="9" style="69" customWidth="1"/>
    <col min="12551" max="12551" width="8.5703125" style="69" customWidth="1"/>
    <col min="12552" max="12552" width="7.5703125" style="69" customWidth="1"/>
    <col min="12553" max="12553" width="10.42578125" style="69" customWidth="1"/>
    <col min="12554" max="12554" width="10" style="69" customWidth="1"/>
    <col min="12555" max="12797" width="9.140625" style="69"/>
    <col min="12798" max="12798" width="4" style="69" customWidth="1"/>
    <col min="12799" max="12799" width="37.28515625" style="69" customWidth="1"/>
    <col min="12800" max="12801" width="8.28515625" style="69" customWidth="1"/>
    <col min="12802" max="12802" width="9.140625" style="69" customWidth="1"/>
    <col min="12803" max="12803" width="9.85546875" style="69" customWidth="1"/>
    <col min="12804" max="12804" width="8.85546875" style="69" customWidth="1"/>
    <col min="12805" max="12805" width="7.5703125" style="69" customWidth="1"/>
    <col min="12806" max="12806" width="9" style="69" customWidth="1"/>
    <col min="12807" max="12807" width="8.5703125" style="69" customWidth="1"/>
    <col min="12808" max="12808" width="7.5703125" style="69" customWidth="1"/>
    <col min="12809" max="12809" width="10.42578125" style="69" customWidth="1"/>
    <col min="12810" max="12810" width="10" style="69" customWidth="1"/>
    <col min="12811" max="13053" width="9.140625" style="69"/>
    <col min="13054" max="13054" width="4" style="69" customWidth="1"/>
    <col min="13055" max="13055" width="37.28515625" style="69" customWidth="1"/>
    <col min="13056" max="13057" width="8.28515625" style="69" customWidth="1"/>
    <col min="13058" max="13058" width="9.140625" style="69" customWidth="1"/>
    <col min="13059" max="13059" width="9.85546875" style="69" customWidth="1"/>
    <col min="13060" max="13060" width="8.85546875" style="69" customWidth="1"/>
    <col min="13061" max="13061" width="7.5703125" style="69" customWidth="1"/>
    <col min="13062" max="13062" width="9" style="69" customWidth="1"/>
    <col min="13063" max="13063" width="8.5703125" style="69" customWidth="1"/>
    <col min="13064" max="13064" width="7.5703125" style="69" customWidth="1"/>
    <col min="13065" max="13065" width="10.42578125" style="69" customWidth="1"/>
    <col min="13066" max="13066" width="10" style="69" customWidth="1"/>
    <col min="13067" max="13309" width="9.140625" style="69"/>
    <col min="13310" max="13310" width="4" style="69" customWidth="1"/>
    <col min="13311" max="13311" width="37.28515625" style="69" customWidth="1"/>
    <col min="13312" max="13313" width="8.28515625" style="69" customWidth="1"/>
    <col min="13314" max="13314" width="9.140625" style="69" customWidth="1"/>
    <col min="13315" max="13315" width="9.85546875" style="69" customWidth="1"/>
    <col min="13316" max="13316" width="8.85546875" style="69" customWidth="1"/>
    <col min="13317" max="13317" width="7.5703125" style="69" customWidth="1"/>
    <col min="13318" max="13318" width="9" style="69" customWidth="1"/>
    <col min="13319" max="13319" width="8.5703125" style="69" customWidth="1"/>
    <col min="13320" max="13320" width="7.5703125" style="69" customWidth="1"/>
    <col min="13321" max="13321" width="10.42578125" style="69" customWidth="1"/>
    <col min="13322" max="13322" width="10" style="69" customWidth="1"/>
    <col min="13323" max="13565" width="9.140625" style="69"/>
    <col min="13566" max="13566" width="4" style="69" customWidth="1"/>
    <col min="13567" max="13567" width="37.28515625" style="69" customWidth="1"/>
    <col min="13568" max="13569" width="8.28515625" style="69" customWidth="1"/>
    <col min="13570" max="13570" width="9.140625" style="69" customWidth="1"/>
    <col min="13571" max="13571" width="9.85546875" style="69" customWidth="1"/>
    <col min="13572" max="13572" width="8.85546875" style="69" customWidth="1"/>
    <col min="13573" max="13573" width="7.5703125" style="69" customWidth="1"/>
    <col min="13574" max="13574" width="9" style="69" customWidth="1"/>
    <col min="13575" max="13575" width="8.5703125" style="69" customWidth="1"/>
    <col min="13576" max="13576" width="7.5703125" style="69" customWidth="1"/>
    <col min="13577" max="13577" width="10.42578125" style="69" customWidth="1"/>
    <col min="13578" max="13578" width="10" style="69" customWidth="1"/>
    <col min="13579" max="13821" width="9.140625" style="69"/>
    <col min="13822" max="13822" width="4" style="69" customWidth="1"/>
    <col min="13823" max="13823" width="37.28515625" style="69" customWidth="1"/>
    <col min="13824" max="13825" width="8.28515625" style="69" customWidth="1"/>
    <col min="13826" max="13826" width="9.140625" style="69" customWidth="1"/>
    <col min="13827" max="13827" width="9.85546875" style="69" customWidth="1"/>
    <col min="13828" max="13828" width="8.85546875" style="69" customWidth="1"/>
    <col min="13829" max="13829" width="7.5703125" style="69" customWidth="1"/>
    <col min="13830" max="13830" width="9" style="69" customWidth="1"/>
    <col min="13831" max="13831" width="8.5703125" style="69" customWidth="1"/>
    <col min="13832" max="13832" width="7.5703125" style="69" customWidth="1"/>
    <col min="13833" max="13833" width="10.42578125" style="69" customWidth="1"/>
    <col min="13834" max="13834" width="10" style="69" customWidth="1"/>
    <col min="13835" max="14077" width="9.140625" style="69"/>
    <col min="14078" max="14078" width="4" style="69" customWidth="1"/>
    <col min="14079" max="14079" width="37.28515625" style="69" customWidth="1"/>
    <col min="14080" max="14081" width="8.28515625" style="69" customWidth="1"/>
    <col min="14082" max="14082" width="9.140625" style="69" customWidth="1"/>
    <col min="14083" max="14083" width="9.85546875" style="69" customWidth="1"/>
    <col min="14084" max="14084" width="8.85546875" style="69" customWidth="1"/>
    <col min="14085" max="14085" width="7.5703125" style="69" customWidth="1"/>
    <col min="14086" max="14086" width="9" style="69" customWidth="1"/>
    <col min="14087" max="14087" width="8.5703125" style="69" customWidth="1"/>
    <col min="14088" max="14088" width="7.5703125" style="69" customWidth="1"/>
    <col min="14089" max="14089" width="10.42578125" style="69" customWidth="1"/>
    <col min="14090" max="14090" width="10" style="69" customWidth="1"/>
    <col min="14091" max="14333" width="9.140625" style="69"/>
    <col min="14334" max="14334" width="4" style="69" customWidth="1"/>
    <col min="14335" max="14335" width="37.28515625" style="69" customWidth="1"/>
    <col min="14336" max="14337" width="8.28515625" style="69" customWidth="1"/>
    <col min="14338" max="14338" width="9.140625" style="69" customWidth="1"/>
    <col min="14339" max="14339" width="9.85546875" style="69" customWidth="1"/>
    <col min="14340" max="14340" width="8.85546875" style="69" customWidth="1"/>
    <col min="14341" max="14341" width="7.5703125" style="69" customWidth="1"/>
    <col min="14342" max="14342" width="9" style="69" customWidth="1"/>
    <col min="14343" max="14343" width="8.5703125" style="69" customWidth="1"/>
    <col min="14344" max="14344" width="7.5703125" style="69" customWidth="1"/>
    <col min="14345" max="14345" width="10.42578125" style="69" customWidth="1"/>
    <col min="14346" max="14346" width="10" style="69" customWidth="1"/>
    <col min="14347" max="14589" width="9.140625" style="69"/>
    <col min="14590" max="14590" width="4" style="69" customWidth="1"/>
    <col min="14591" max="14591" width="37.28515625" style="69" customWidth="1"/>
    <col min="14592" max="14593" width="8.28515625" style="69" customWidth="1"/>
    <col min="14594" max="14594" width="9.140625" style="69" customWidth="1"/>
    <col min="14595" max="14595" width="9.85546875" style="69" customWidth="1"/>
    <col min="14596" max="14596" width="8.85546875" style="69" customWidth="1"/>
    <col min="14597" max="14597" width="7.5703125" style="69" customWidth="1"/>
    <col min="14598" max="14598" width="9" style="69" customWidth="1"/>
    <col min="14599" max="14599" width="8.5703125" style="69" customWidth="1"/>
    <col min="14600" max="14600" width="7.5703125" style="69" customWidth="1"/>
    <col min="14601" max="14601" width="10.42578125" style="69" customWidth="1"/>
    <col min="14602" max="14602" width="10" style="69" customWidth="1"/>
    <col min="14603" max="14845" width="9.140625" style="69"/>
    <col min="14846" max="14846" width="4" style="69" customWidth="1"/>
    <col min="14847" max="14847" width="37.28515625" style="69" customWidth="1"/>
    <col min="14848" max="14849" width="8.28515625" style="69" customWidth="1"/>
    <col min="14850" max="14850" width="9.140625" style="69" customWidth="1"/>
    <col min="14851" max="14851" width="9.85546875" style="69" customWidth="1"/>
    <col min="14852" max="14852" width="8.85546875" style="69" customWidth="1"/>
    <col min="14853" max="14853" width="7.5703125" style="69" customWidth="1"/>
    <col min="14854" max="14854" width="9" style="69" customWidth="1"/>
    <col min="14855" max="14855" width="8.5703125" style="69" customWidth="1"/>
    <col min="14856" max="14856" width="7.5703125" style="69" customWidth="1"/>
    <col min="14857" max="14857" width="10.42578125" style="69" customWidth="1"/>
    <col min="14858" max="14858" width="10" style="69" customWidth="1"/>
    <col min="14859" max="15101" width="9.140625" style="69"/>
    <col min="15102" max="15102" width="4" style="69" customWidth="1"/>
    <col min="15103" max="15103" width="37.28515625" style="69" customWidth="1"/>
    <col min="15104" max="15105" width="8.28515625" style="69" customWidth="1"/>
    <col min="15106" max="15106" width="9.140625" style="69" customWidth="1"/>
    <col min="15107" max="15107" width="9.85546875" style="69" customWidth="1"/>
    <col min="15108" max="15108" width="8.85546875" style="69" customWidth="1"/>
    <col min="15109" max="15109" width="7.5703125" style="69" customWidth="1"/>
    <col min="15110" max="15110" width="9" style="69" customWidth="1"/>
    <col min="15111" max="15111" width="8.5703125" style="69" customWidth="1"/>
    <col min="15112" max="15112" width="7.5703125" style="69" customWidth="1"/>
    <col min="15113" max="15113" width="10.42578125" style="69" customWidth="1"/>
    <col min="15114" max="15114" width="10" style="69" customWidth="1"/>
    <col min="15115" max="15357" width="9.140625" style="69"/>
    <col min="15358" max="15358" width="4" style="69" customWidth="1"/>
    <col min="15359" max="15359" width="37.28515625" style="69" customWidth="1"/>
    <col min="15360" max="15361" width="8.28515625" style="69" customWidth="1"/>
    <col min="15362" max="15362" width="9.140625" style="69" customWidth="1"/>
    <col min="15363" max="15363" width="9.85546875" style="69" customWidth="1"/>
    <col min="15364" max="15364" width="8.85546875" style="69" customWidth="1"/>
    <col min="15365" max="15365" width="7.5703125" style="69" customWidth="1"/>
    <col min="15366" max="15366" width="9" style="69" customWidth="1"/>
    <col min="15367" max="15367" width="8.5703125" style="69" customWidth="1"/>
    <col min="15368" max="15368" width="7.5703125" style="69" customWidth="1"/>
    <col min="15369" max="15369" width="10.42578125" style="69" customWidth="1"/>
    <col min="15370" max="15370" width="10" style="69" customWidth="1"/>
    <col min="15371" max="15613" width="9.140625" style="69"/>
    <col min="15614" max="15614" width="4" style="69" customWidth="1"/>
    <col min="15615" max="15615" width="37.28515625" style="69" customWidth="1"/>
    <col min="15616" max="15617" width="8.28515625" style="69" customWidth="1"/>
    <col min="15618" max="15618" width="9.140625" style="69" customWidth="1"/>
    <col min="15619" max="15619" width="9.85546875" style="69" customWidth="1"/>
    <col min="15620" max="15620" width="8.85546875" style="69" customWidth="1"/>
    <col min="15621" max="15621" width="7.5703125" style="69" customWidth="1"/>
    <col min="15622" max="15622" width="9" style="69" customWidth="1"/>
    <col min="15623" max="15623" width="8.5703125" style="69" customWidth="1"/>
    <col min="15624" max="15624" width="7.5703125" style="69" customWidth="1"/>
    <col min="15625" max="15625" width="10.42578125" style="69" customWidth="1"/>
    <col min="15626" max="15626" width="10" style="69" customWidth="1"/>
    <col min="15627" max="15869" width="9.140625" style="69"/>
    <col min="15870" max="15870" width="4" style="69" customWidth="1"/>
    <col min="15871" max="15871" width="37.28515625" style="69" customWidth="1"/>
    <col min="15872" max="15873" width="8.28515625" style="69" customWidth="1"/>
    <col min="15874" max="15874" width="9.140625" style="69" customWidth="1"/>
    <col min="15875" max="15875" width="9.85546875" style="69" customWidth="1"/>
    <col min="15876" max="15876" width="8.85546875" style="69" customWidth="1"/>
    <col min="15877" max="15877" width="7.5703125" style="69" customWidth="1"/>
    <col min="15878" max="15878" width="9" style="69" customWidth="1"/>
    <col min="15879" max="15879" width="8.5703125" style="69" customWidth="1"/>
    <col min="15880" max="15880" width="7.5703125" style="69" customWidth="1"/>
    <col min="15881" max="15881" width="10.42578125" style="69" customWidth="1"/>
    <col min="15882" max="15882" width="10" style="69" customWidth="1"/>
    <col min="15883" max="16125" width="9.140625" style="69"/>
    <col min="16126" max="16126" width="4" style="69" customWidth="1"/>
    <col min="16127" max="16127" width="37.28515625" style="69" customWidth="1"/>
    <col min="16128" max="16129" width="8.28515625" style="69" customWidth="1"/>
    <col min="16130" max="16130" width="9.140625" style="69" customWidth="1"/>
    <col min="16131" max="16131" width="9.85546875" style="69" customWidth="1"/>
    <col min="16132" max="16132" width="8.85546875" style="69" customWidth="1"/>
    <col min="16133" max="16133" width="7.5703125" style="69" customWidth="1"/>
    <col min="16134" max="16134" width="9" style="69" customWidth="1"/>
    <col min="16135" max="16135" width="8.5703125" style="69" customWidth="1"/>
    <col min="16136" max="16136" width="7.5703125" style="69" customWidth="1"/>
    <col min="16137" max="16137" width="10.42578125" style="69" customWidth="1"/>
    <col min="16138" max="16138" width="10" style="69" customWidth="1"/>
    <col min="16139" max="16384" width="9.140625" style="69"/>
  </cols>
  <sheetData>
    <row r="1" spans="1:10" ht="18.75" customHeight="1">
      <c r="A1" s="68"/>
    </row>
    <row r="2" spans="1:10" ht="23.25" customHeight="1">
      <c r="A2" s="1767" t="s">
        <v>1296</v>
      </c>
      <c r="B2" s="1767"/>
      <c r="C2" s="1767"/>
      <c r="D2" s="1767"/>
      <c r="E2" s="1767"/>
      <c r="F2" s="1767"/>
      <c r="G2" s="1767"/>
      <c r="H2" s="1767"/>
      <c r="I2" s="1767"/>
      <c r="J2" s="1767"/>
    </row>
    <row r="3" spans="1:10" ht="20.25" customHeight="1">
      <c r="H3" s="1804" t="s">
        <v>5</v>
      </c>
      <c r="I3" s="1804"/>
      <c r="J3" s="1804"/>
    </row>
    <row r="4" spans="1:10" s="73" customFormat="1" ht="19.5" customHeight="1">
      <c r="A4" s="1798" t="s">
        <v>0</v>
      </c>
      <c r="B4" s="1798" t="s">
        <v>67</v>
      </c>
      <c r="C4" s="1799" t="s">
        <v>1418</v>
      </c>
      <c r="D4" s="1800"/>
      <c r="E4" s="1801"/>
      <c r="F4" s="1802" t="s">
        <v>101</v>
      </c>
      <c r="G4" s="1802"/>
      <c r="H4" s="1803" t="s">
        <v>155</v>
      </c>
      <c r="I4" s="1798" t="s">
        <v>101</v>
      </c>
      <c r="J4" s="1798"/>
    </row>
    <row r="5" spans="1:10" s="73" customFormat="1" ht="61.5" customHeight="1">
      <c r="A5" s="1798"/>
      <c r="B5" s="1798"/>
      <c r="C5" s="74" t="s">
        <v>1264</v>
      </c>
      <c r="D5" s="74" t="s">
        <v>182</v>
      </c>
      <c r="E5" s="74" t="s">
        <v>1265</v>
      </c>
      <c r="F5" s="74" t="s">
        <v>1266</v>
      </c>
      <c r="G5" s="75" t="s">
        <v>26</v>
      </c>
      <c r="H5" s="1803"/>
      <c r="I5" s="155" t="s">
        <v>241</v>
      </c>
      <c r="J5" s="76" t="s">
        <v>26</v>
      </c>
    </row>
    <row r="6" spans="1:10" s="73" customFormat="1" ht="16.5" customHeight="1">
      <c r="A6" s="111" t="s">
        <v>2</v>
      </c>
      <c r="B6" s="111" t="s">
        <v>3</v>
      </c>
      <c r="C6" s="112">
        <v>1</v>
      </c>
      <c r="D6" s="112">
        <v>2</v>
      </c>
      <c r="E6" s="112">
        <v>3</v>
      </c>
      <c r="F6" s="112">
        <v>4</v>
      </c>
      <c r="G6" s="113">
        <v>5</v>
      </c>
      <c r="H6" s="156">
        <v>6</v>
      </c>
      <c r="I6" s="156">
        <v>7</v>
      </c>
      <c r="J6" s="111">
        <v>8</v>
      </c>
    </row>
    <row r="7" spans="1:10" s="73" customFormat="1" ht="12.75" hidden="1">
      <c r="A7" s="77" t="s">
        <v>2</v>
      </c>
      <c r="B7" s="78" t="s">
        <v>87</v>
      </c>
      <c r="C7" s="79"/>
      <c r="D7" s="79"/>
      <c r="E7" s="79"/>
      <c r="F7" s="79"/>
      <c r="G7" s="80"/>
      <c r="H7" s="157"/>
      <c r="I7" s="157"/>
      <c r="J7" s="81"/>
    </row>
    <row r="8" spans="1:10" s="73" customFormat="1" ht="12.75" hidden="1">
      <c r="A8" s="77" t="s">
        <v>11</v>
      </c>
      <c r="B8" s="78" t="s">
        <v>73</v>
      </c>
      <c r="C8" s="79"/>
      <c r="D8" s="79"/>
      <c r="E8" s="79"/>
      <c r="F8" s="79"/>
      <c r="G8" s="80"/>
      <c r="H8" s="157"/>
      <c r="I8" s="157"/>
      <c r="J8" s="81"/>
    </row>
    <row r="9" spans="1:10" s="73" customFormat="1" ht="12.75" hidden="1">
      <c r="A9" s="82">
        <v>1</v>
      </c>
      <c r="B9" s="83" t="s">
        <v>88</v>
      </c>
      <c r="C9" s="79"/>
      <c r="D9" s="79"/>
      <c r="E9" s="79"/>
      <c r="F9" s="79"/>
      <c r="G9" s="80"/>
      <c r="H9" s="157"/>
      <c r="I9" s="157"/>
      <c r="J9" s="81"/>
    </row>
    <row r="10" spans="1:10" s="73" customFormat="1" ht="12.75" hidden="1">
      <c r="A10" s="82"/>
      <c r="B10" s="84" t="s">
        <v>89</v>
      </c>
      <c r="C10" s="79"/>
      <c r="D10" s="79"/>
      <c r="E10" s="79"/>
      <c r="F10" s="79"/>
      <c r="G10" s="80"/>
      <c r="H10" s="157"/>
      <c r="I10" s="157"/>
      <c r="J10" s="81"/>
    </row>
    <row r="11" spans="1:10" s="73" customFormat="1" ht="12.75" hidden="1">
      <c r="A11" s="82" t="s">
        <v>4</v>
      </c>
      <c r="B11" s="84" t="s">
        <v>90</v>
      </c>
      <c r="C11" s="79"/>
      <c r="D11" s="79"/>
      <c r="E11" s="79"/>
      <c r="F11" s="79"/>
      <c r="G11" s="80"/>
      <c r="H11" s="157"/>
      <c r="I11" s="157"/>
      <c r="J11" s="81"/>
    </row>
    <row r="12" spans="1:10" s="73" customFormat="1" ht="12.75" hidden="1">
      <c r="A12" s="82" t="s">
        <v>4</v>
      </c>
      <c r="B12" s="84" t="s">
        <v>93</v>
      </c>
      <c r="C12" s="79"/>
      <c r="D12" s="79"/>
      <c r="E12" s="79"/>
      <c r="F12" s="79"/>
      <c r="G12" s="80"/>
      <c r="H12" s="157"/>
      <c r="I12" s="157"/>
      <c r="J12" s="81"/>
    </row>
    <row r="13" spans="1:10" s="73" customFormat="1" ht="12.75" hidden="1">
      <c r="A13" s="82" t="s">
        <v>4</v>
      </c>
      <c r="B13" s="84" t="s">
        <v>108</v>
      </c>
      <c r="C13" s="79"/>
      <c r="D13" s="79"/>
      <c r="E13" s="79"/>
      <c r="F13" s="79"/>
      <c r="G13" s="80"/>
      <c r="H13" s="157"/>
      <c r="I13" s="157"/>
      <c r="J13" s="81"/>
    </row>
    <row r="14" spans="1:10" s="73" customFormat="1" ht="48" hidden="1">
      <c r="A14" s="82">
        <v>2</v>
      </c>
      <c r="B14" s="83" t="s">
        <v>94</v>
      </c>
      <c r="C14" s="79"/>
      <c r="D14" s="79"/>
      <c r="E14" s="79"/>
      <c r="F14" s="79"/>
      <c r="G14" s="80"/>
      <c r="H14" s="157"/>
      <c r="I14" s="157"/>
      <c r="J14" s="81"/>
    </row>
    <row r="15" spans="1:10" s="73" customFormat="1" ht="12.75" hidden="1">
      <c r="A15" s="82">
        <v>3</v>
      </c>
      <c r="B15" s="83" t="s">
        <v>95</v>
      </c>
      <c r="C15" s="79"/>
      <c r="D15" s="79"/>
      <c r="E15" s="79"/>
      <c r="F15" s="79"/>
      <c r="G15" s="80"/>
      <c r="H15" s="157"/>
      <c r="I15" s="157"/>
      <c r="J15" s="81"/>
    </row>
    <row r="16" spans="1:10" s="73" customFormat="1" ht="12.75" hidden="1">
      <c r="A16" s="77" t="s">
        <v>7</v>
      </c>
      <c r="B16" s="78" t="s">
        <v>15</v>
      </c>
      <c r="C16" s="79"/>
      <c r="D16" s="79"/>
      <c r="E16" s="79"/>
      <c r="F16" s="79"/>
      <c r="G16" s="80"/>
      <c r="H16" s="157"/>
      <c r="I16" s="157"/>
      <c r="J16" s="81"/>
    </row>
    <row r="17" spans="1:10" s="73" customFormat="1" ht="12.75" hidden="1">
      <c r="A17" s="82"/>
      <c r="B17" s="84" t="s">
        <v>28</v>
      </c>
      <c r="C17" s="79"/>
      <c r="D17" s="79"/>
      <c r="E17" s="79"/>
      <c r="F17" s="79"/>
      <c r="G17" s="80"/>
      <c r="H17" s="157"/>
      <c r="I17" s="157"/>
      <c r="J17" s="81"/>
    </row>
    <row r="18" spans="1:10" s="73" customFormat="1" ht="12.75" hidden="1">
      <c r="A18" s="82">
        <v>1</v>
      </c>
      <c r="B18" s="84" t="s">
        <v>90</v>
      </c>
      <c r="C18" s="79"/>
      <c r="D18" s="79"/>
      <c r="E18" s="79"/>
      <c r="F18" s="79"/>
      <c r="G18" s="80"/>
      <c r="H18" s="157"/>
      <c r="I18" s="157"/>
      <c r="J18" s="81"/>
    </row>
    <row r="19" spans="1:10" s="73" customFormat="1" ht="12.75" hidden="1">
      <c r="A19" s="77" t="s">
        <v>8</v>
      </c>
      <c r="B19" s="78" t="s">
        <v>48</v>
      </c>
      <c r="C19" s="79"/>
      <c r="D19" s="79"/>
      <c r="E19" s="79"/>
      <c r="F19" s="79"/>
      <c r="G19" s="80"/>
      <c r="H19" s="157"/>
      <c r="I19" s="157"/>
      <c r="J19" s="81"/>
    </row>
    <row r="20" spans="1:10" s="73" customFormat="1" ht="12.75" hidden="1">
      <c r="A20" s="77" t="s">
        <v>9</v>
      </c>
      <c r="B20" s="78" t="s">
        <v>17</v>
      </c>
      <c r="C20" s="79"/>
      <c r="D20" s="79"/>
      <c r="E20" s="79"/>
      <c r="F20" s="79"/>
      <c r="G20" s="80"/>
      <c r="H20" s="157"/>
      <c r="I20" s="157"/>
      <c r="J20" s="81"/>
    </row>
    <row r="21" spans="1:10" s="85" customFormat="1" ht="22.5" hidden="1" customHeight="1">
      <c r="A21" s="118" t="s">
        <v>139</v>
      </c>
      <c r="B21" s="119" t="s">
        <v>229</v>
      </c>
      <c r="C21" s="120"/>
      <c r="D21" s="120"/>
      <c r="E21" s="120"/>
      <c r="F21" s="120"/>
      <c r="G21" s="121"/>
      <c r="H21" s="158"/>
      <c r="I21" s="158"/>
      <c r="J21" s="122"/>
    </row>
    <row r="22" spans="1:10" s="89" customFormat="1" ht="22.5" customHeight="1">
      <c r="A22" s="75"/>
      <c r="B22" s="127" t="s">
        <v>27</v>
      </c>
      <c r="C22" s="128">
        <f>C23+C29+C44+C49</f>
        <v>2882</v>
      </c>
      <c r="D22" s="128">
        <f t="shared" ref="D22:I22" si="0">D23+D29+D44+D49</f>
        <v>0</v>
      </c>
      <c r="E22" s="129">
        <f t="shared" si="0"/>
        <v>13915</v>
      </c>
      <c r="F22" s="128">
        <f t="shared" si="0"/>
        <v>16797</v>
      </c>
      <c r="G22" s="128">
        <f t="shared" si="0"/>
        <v>0</v>
      </c>
      <c r="H22" s="159">
        <f t="shared" si="0"/>
        <v>14155</v>
      </c>
      <c r="I22" s="160">
        <f t="shared" si="0"/>
        <v>14155</v>
      </c>
      <c r="J22" s="130"/>
    </row>
    <row r="23" spans="1:10" s="92" customFormat="1" ht="23.25" customHeight="1">
      <c r="A23" s="123" t="s">
        <v>11</v>
      </c>
      <c r="B23" s="124" t="s">
        <v>1267</v>
      </c>
      <c r="C23" s="125">
        <f>SUM(C24:C28)</f>
        <v>222</v>
      </c>
      <c r="D23" s="125">
        <f>SUM(D24:D28)</f>
        <v>0</v>
      </c>
      <c r="E23" s="125">
        <f>E24+E27+E28</f>
        <v>3060</v>
      </c>
      <c r="F23" s="125">
        <f>F24+F27+F28</f>
        <v>3282</v>
      </c>
      <c r="G23" s="125">
        <f>G24+G27+G28</f>
        <v>0</v>
      </c>
      <c r="H23" s="161">
        <f>H24+H27+H28</f>
        <v>2464</v>
      </c>
      <c r="I23" s="161">
        <f>I24+I27+I28</f>
        <v>2464</v>
      </c>
      <c r="J23" s="126"/>
    </row>
    <row r="24" spans="1:10" s="92" customFormat="1" ht="34.5" customHeight="1">
      <c r="A24" s="114">
        <v>1</v>
      </c>
      <c r="B24" s="131" t="s">
        <v>1268</v>
      </c>
      <c r="C24" s="115"/>
      <c r="D24" s="116"/>
      <c r="E24" s="116">
        <f>E25+E26</f>
        <v>527</v>
      </c>
      <c r="F24" s="116">
        <f>F25+F26</f>
        <v>527</v>
      </c>
      <c r="G24" s="116">
        <f>G25+G26</f>
        <v>0</v>
      </c>
      <c r="H24" s="162">
        <f>H25+H26</f>
        <v>433</v>
      </c>
      <c r="I24" s="162">
        <f>I25+I26</f>
        <v>433</v>
      </c>
      <c r="J24" s="117"/>
    </row>
    <row r="25" spans="1:10" s="98" customFormat="1" ht="21" customHeight="1">
      <c r="A25" s="114"/>
      <c r="B25" s="94" t="s">
        <v>1269</v>
      </c>
      <c r="C25" s="95"/>
      <c r="D25" s="95"/>
      <c r="E25" s="95">
        <v>244</v>
      </c>
      <c r="F25" s="96">
        <f t="shared" ref="F25:F51" si="1">C25+E25</f>
        <v>244</v>
      </c>
      <c r="G25" s="97"/>
      <c r="H25" s="163">
        <v>241</v>
      </c>
      <c r="I25" s="163">
        <v>241</v>
      </c>
      <c r="J25" s="97"/>
    </row>
    <row r="26" spans="1:10" s="98" customFormat="1" ht="31.5" customHeight="1">
      <c r="A26" s="114"/>
      <c r="B26" s="94" t="s">
        <v>1270</v>
      </c>
      <c r="C26" s="95"/>
      <c r="D26" s="95"/>
      <c r="E26" s="95">
        <v>283</v>
      </c>
      <c r="F26" s="96">
        <f t="shared" si="1"/>
        <v>283</v>
      </c>
      <c r="G26" s="97"/>
      <c r="H26" s="163">
        <v>192</v>
      </c>
      <c r="I26" s="163">
        <v>192</v>
      </c>
      <c r="J26" s="97"/>
    </row>
    <row r="27" spans="1:10" s="92" customFormat="1" ht="33.75" customHeight="1">
      <c r="A27" s="114">
        <v>2</v>
      </c>
      <c r="B27" s="131" t="s">
        <v>1271</v>
      </c>
      <c r="C27" s="115">
        <v>154</v>
      </c>
      <c r="D27" s="116"/>
      <c r="E27" s="115">
        <v>332</v>
      </c>
      <c r="F27" s="116">
        <f t="shared" si="1"/>
        <v>486</v>
      </c>
      <c r="G27" s="117"/>
      <c r="H27" s="162">
        <v>486</v>
      </c>
      <c r="I27" s="162">
        <v>486</v>
      </c>
      <c r="J27" s="117"/>
    </row>
    <row r="28" spans="1:10" s="92" customFormat="1" ht="51" customHeight="1">
      <c r="A28" s="114">
        <v>3</v>
      </c>
      <c r="B28" s="133" t="s">
        <v>1272</v>
      </c>
      <c r="C28" s="115">
        <v>68</v>
      </c>
      <c r="D28" s="116"/>
      <c r="E28" s="116">
        <f>2201</f>
        <v>2201</v>
      </c>
      <c r="F28" s="116">
        <f t="shared" si="1"/>
        <v>2269</v>
      </c>
      <c r="G28" s="117"/>
      <c r="H28" s="162">
        <v>1545</v>
      </c>
      <c r="I28" s="162">
        <v>1545</v>
      </c>
      <c r="J28" s="117"/>
    </row>
    <row r="29" spans="1:10" s="92" customFormat="1" ht="33.75" customHeight="1">
      <c r="A29" s="134" t="s">
        <v>7</v>
      </c>
      <c r="B29" s="132" t="s">
        <v>1273</v>
      </c>
      <c r="C29" s="93"/>
      <c r="D29" s="87"/>
      <c r="E29" s="99">
        <f>E30+E35+E38+E39+E40+E43</f>
        <v>10855</v>
      </c>
      <c r="F29" s="99">
        <f>F30+F35+F38+F39+F40+F43</f>
        <v>10855</v>
      </c>
      <c r="G29" s="99">
        <f>G30+G35+G38+G39+G40+G43</f>
        <v>0</v>
      </c>
      <c r="H29" s="164">
        <f>H30+H35+H38+H39+H40+H43</f>
        <v>9037</v>
      </c>
      <c r="I29" s="164">
        <f>I30+I35+I38+I39+I40+I43</f>
        <v>9037</v>
      </c>
      <c r="J29" s="91"/>
    </row>
    <row r="30" spans="1:10" s="92" customFormat="1" ht="36.75" customHeight="1">
      <c r="A30" s="135">
        <v>1</v>
      </c>
      <c r="B30" s="133" t="s">
        <v>1268</v>
      </c>
      <c r="C30" s="115"/>
      <c r="D30" s="116"/>
      <c r="E30" s="115">
        <f>SUM(E31:E34)</f>
        <v>3515</v>
      </c>
      <c r="F30" s="116">
        <f t="shared" si="1"/>
        <v>3515</v>
      </c>
      <c r="G30" s="115">
        <f>SUM(G31:G34)</f>
        <v>0</v>
      </c>
      <c r="H30" s="165">
        <f>SUM(H31:H34)</f>
        <v>1882</v>
      </c>
      <c r="I30" s="165">
        <f>SUM(I31:I34)</f>
        <v>1882</v>
      </c>
      <c r="J30" s="117"/>
    </row>
    <row r="31" spans="1:10" s="98" customFormat="1" ht="28.5" customHeight="1">
      <c r="A31" s="100"/>
      <c r="B31" s="101" t="s">
        <v>1274</v>
      </c>
      <c r="C31" s="102"/>
      <c r="D31" s="95"/>
      <c r="E31" s="102">
        <v>625</v>
      </c>
      <c r="F31" s="96">
        <f t="shared" si="1"/>
        <v>625</v>
      </c>
      <c r="G31" s="97"/>
      <c r="H31" s="163">
        <v>418</v>
      </c>
      <c r="I31" s="163">
        <v>418</v>
      </c>
      <c r="J31" s="97"/>
    </row>
    <row r="32" spans="1:10" s="98" customFormat="1" ht="28.5" customHeight="1">
      <c r="A32" s="100"/>
      <c r="B32" s="101" t="s">
        <v>1275</v>
      </c>
      <c r="C32" s="102"/>
      <c r="D32" s="95"/>
      <c r="E32" s="102">
        <v>1282</v>
      </c>
      <c r="F32" s="96">
        <f t="shared" si="1"/>
        <v>1282</v>
      </c>
      <c r="G32" s="97"/>
      <c r="H32" s="163">
        <v>391</v>
      </c>
      <c r="I32" s="163">
        <v>391</v>
      </c>
      <c r="J32" s="97"/>
    </row>
    <row r="33" spans="1:10" s="98" customFormat="1" ht="28.5" customHeight="1">
      <c r="A33" s="100"/>
      <c r="B33" s="101" t="s">
        <v>1276</v>
      </c>
      <c r="C33" s="102"/>
      <c r="D33" s="95"/>
      <c r="E33" s="102">
        <v>1308</v>
      </c>
      <c r="F33" s="96">
        <f t="shared" si="1"/>
        <v>1308</v>
      </c>
      <c r="G33" s="97"/>
      <c r="H33" s="163">
        <v>1073</v>
      </c>
      <c r="I33" s="163">
        <v>1073</v>
      </c>
      <c r="J33" s="97"/>
    </row>
    <row r="34" spans="1:10" s="98" customFormat="1" ht="32.25" customHeight="1">
      <c r="A34" s="100"/>
      <c r="B34" s="101" t="s">
        <v>1277</v>
      </c>
      <c r="C34" s="102"/>
      <c r="D34" s="95"/>
      <c r="E34" s="102">
        <v>300</v>
      </c>
      <c r="F34" s="96">
        <f t="shared" si="1"/>
        <v>300</v>
      </c>
      <c r="G34" s="97"/>
      <c r="H34" s="163">
        <v>0</v>
      </c>
      <c r="I34" s="163">
        <v>0</v>
      </c>
      <c r="J34" s="97"/>
    </row>
    <row r="35" spans="1:10" s="103" customFormat="1" ht="28.5" customHeight="1">
      <c r="A35" s="140">
        <v>2</v>
      </c>
      <c r="B35" s="141" t="s">
        <v>1278</v>
      </c>
      <c r="C35" s="136"/>
      <c r="D35" s="137"/>
      <c r="E35" s="138">
        <f>E36+E37</f>
        <v>2730</v>
      </c>
      <c r="F35" s="138">
        <f>F36+F37</f>
        <v>2730</v>
      </c>
      <c r="G35" s="138">
        <f>G36+G37</f>
        <v>0</v>
      </c>
      <c r="H35" s="166">
        <f>H36+H37</f>
        <v>2694</v>
      </c>
      <c r="I35" s="166">
        <f>I36+I37</f>
        <v>2694</v>
      </c>
      <c r="J35" s="139"/>
    </row>
    <row r="36" spans="1:10" s="105" customFormat="1" ht="24.75" customHeight="1">
      <c r="A36" s="104"/>
      <c r="B36" s="149" t="s">
        <v>1279</v>
      </c>
      <c r="C36" s="142"/>
      <c r="D36" s="143"/>
      <c r="E36" s="142">
        <f>2130</f>
        <v>2130</v>
      </c>
      <c r="F36" s="143">
        <f t="shared" si="1"/>
        <v>2130</v>
      </c>
      <c r="G36" s="144"/>
      <c r="H36" s="167">
        <v>2094</v>
      </c>
      <c r="I36" s="167">
        <v>2094</v>
      </c>
      <c r="J36" s="144"/>
    </row>
    <row r="37" spans="1:10" s="89" customFormat="1" ht="24" customHeight="1">
      <c r="A37" s="88"/>
      <c r="B37" s="145" t="s">
        <v>1280</v>
      </c>
      <c r="C37" s="146"/>
      <c r="D37" s="147"/>
      <c r="E37" s="147">
        <v>600</v>
      </c>
      <c r="F37" s="147">
        <f t="shared" si="1"/>
        <v>600</v>
      </c>
      <c r="G37" s="148"/>
      <c r="H37" s="168">
        <v>600</v>
      </c>
      <c r="I37" s="168">
        <v>600</v>
      </c>
      <c r="J37" s="148"/>
    </row>
    <row r="38" spans="1:10" s="92" customFormat="1" ht="64.5" customHeight="1">
      <c r="A38" s="150">
        <v>3</v>
      </c>
      <c r="B38" s="151" t="s">
        <v>1281</v>
      </c>
      <c r="C38" s="152"/>
      <c r="D38" s="152"/>
      <c r="E38" s="152">
        <v>1910</v>
      </c>
      <c r="F38" s="152">
        <f t="shared" si="1"/>
        <v>1910</v>
      </c>
      <c r="G38" s="153"/>
      <c r="H38" s="169">
        <v>1806</v>
      </c>
      <c r="I38" s="169">
        <v>1806</v>
      </c>
      <c r="J38" s="153"/>
    </row>
    <row r="39" spans="1:10" s="92" customFormat="1" ht="33.75" customHeight="1">
      <c r="A39" s="150">
        <v>4</v>
      </c>
      <c r="B39" s="151" t="s">
        <v>1282</v>
      </c>
      <c r="C39" s="152"/>
      <c r="D39" s="152"/>
      <c r="E39" s="152">
        <v>200</v>
      </c>
      <c r="F39" s="152">
        <f t="shared" si="1"/>
        <v>200</v>
      </c>
      <c r="G39" s="153"/>
      <c r="H39" s="169">
        <v>197</v>
      </c>
      <c r="I39" s="169">
        <v>197</v>
      </c>
      <c r="J39" s="153"/>
    </row>
    <row r="40" spans="1:10" s="92" customFormat="1" ht="35.25" customHeight="1">
      <c r="A40" s="150">
        <v>5</v>
      </c>
      <c r="B40" s="151" t="s">
        <v>1283</v>
      </c>
      <c r="C40" s="152"/>
      <c r="D40" s="152"/>
      <c r="E40" s="152">
        <f>E41+E42</f>
        <v>2200</v>
      </c>
      <c r="F40" s="152">
        <f>F41+F42</f>
        <v>2200</v>
      </c>
      <c r="G40" s="171">
        <f>G41+G42</f>
        <v>0</v>
      </c>
      <c r="H40" s="172">
        <f>H41+H42</f>
        <v>2158</v>
      </c>
      <c r="I40" s="172">
        <f>I41+I42</f>
        <v>2158</v>
      </c>
      <c r="J40" s="153"/>
    </row>
    <row r="41" spans="1:10" s="92" customFormat="1" ht="33.75" customHeight="1">
      <c r="A41" s="86"/>
      <c r="B41" s="145" t="s">
        <v>1284</v>
      </c>
      <c r="C41" s="96"/>
      <c r="D41" s="106"/>
      <c r="E41" s="106">
        <v>2100</v>
      </c>
      <c r="F41" s="96">
        <f t="shared" si="1"/>
        <v>2100</v>
      </c>
      <c r="G41" s="96"/>
      <c r="H41" s="170">
        <v>2058</v>
      </c>
      <c r="I41" s="170">
        <v>2058</v>
      </c>
      <c r="J41" s="91"/>
    </row>
    <row r="42" spans="1:10" s="92" customFormat="1" ht="49.5" customHeight="1">
      <c r="A42" s="86"/>
      <c r="B42" s="145" t="s">
        <v>1285</v>
      </c>
      <c r="C42" s="96"/>
      <c r="D42" s="106"/>
      <c r="E42" s="106">
        <v>100</v>
      </c>
      <c r="F42" s="96">
        <f t="shared" si="1"/>
        <v>100</v>
      </c>
      <c r="G42" s="96"/>
      <c r="H42" s="170">
        <v>100</v>
      </c>
      <c r="I42" s="170">
        <v>100</v>
      </c>
      <c r="J42" s="91"/>
    </row>
    <row r="43" spans="1:10" s="92" customFormat="1" ht="36" customHeight="1">
      <c r="A43" s="150">
        <v>6</v>
      </c>
      <c r="B43" s="151" t="s">
        <v>1286</v>
      </c>
      <c r="C43" s="152"/>
      <c r="D43" s="152"/>
      <c r="E43" s="152">
        <v>300</v>
      </c>
      <c r="F43" s="152">
        <f t="shared" si="1"/>
        <v>300</v>
      </c>
      <c r="G43" s="153"/>
      <c r="H43" s="169">
        <v>300</v>
      </c>
      <c r="I43" s="169">
        <v>300</v>
      </c>
      <c r="J43" s="153"/>
    </row>
    <row r="44" spans="1:10" s="92" customFormat="1" ht="47.25" customHeight="1">
      <c r="A44" s="150" t="s">
        <v>8</v>
      </c>
      <c r="B44" s="186" t="s">
        <v>1287</v>
      </c>
      <c r="C44" s="173">
        <f>C45+C46+C47+C48</f>
        <v>1778</v>
      </c>
      <c r="D44" s="173"/>
      <c r="E44" s="173"/>
      <c r="F44" s="152">
        <f t="shared" si="1"/>
        <v>1778</v>
      </c>
      <c r="G44" s="153"/>
      <c r="H44" s="169">
        <f>H45+H46+H47+H48</f>
        <v>1772</v>
      </c>
      <c r="I44" s="169">
        <f>I45+I46+I47+I48</f>
        <v>1772</v>
      </c>
      <c r="J44" s="153"/>
    </row>
    <row r="45" spans="1:10" s="92" customFormat="1" ht="48" customHeight="1">
      <c r="A45" s="86"/>
      <c r="B45" s="174" t="s">
        <v>1288</v>
      </c>
      <c r="C45" s="107">
        <v>884</v>
      </c>
      <c r="D45" s="107"/>
      <c r="E45" s="107"/>
      <c r="F45" s="96">
        <f t="shared" si="1"/>
        <v>884</v>
      </c>
      <c r="G45" s="91"/>
      <c r="H45" s="170">
        <v>878</v>
      </c>
      <c r="I45" s="170">
        <v>878</v>
      </c>
      <c r="J45" s="91"/>
    </row>
    <row r="46" spans="1:10" s="92" customFormat="1" ht="36.75" customHeight="1">
      <c r="A46" s="86"/>
      <c r="B46" s="174" t="s">
        <v>1289</v>
      </c>
      <c r="C46" s="107">
        <v>726</v>
      </c>
      <c r="D46" s="107"/>
      <c r="E46" s="107"/>
      <c r="F46" s="96">
        <f t="shared" si="1"/>
        <v>726</v>
      </c>
      <c r="G46" s="91"/>
      <c r="H46" s="170">
        <v>726</v>
      </c>
      <c r="I46" s="170">
        <v>726</v>
      </c>
      <c r="J46" s="91"/>
    </row>
    <row r="47" spans="1:10" s="92" customFormat="1" ht="36" customHeight="1">
      <c r="A47" s="86"/>
      <c r="B47" s="174" t="s">
        <v>1290</v>
      </c>
      <c r="C47" s="107">
        <v>11</v>
      </c>
      <c r="D47" s="107"/>
      <c r="E47" s="107"/>
      <c r="F47" s="96">
        <f t="shared" si="1"/>
        <v>11</v>
      </c>
      <c r="G47" s="91"/>
      <c r="H47" s="170">
        <v>11</v>
      </c>
      <c r="I47" s="170">
        <v>11</v>
      </c>
      <c r="J47" s="91"/>
    </row>
    <row r="48" spans="1:10" s="92" customFormat="1" ht="63" customHeight="1">
      <c r="A48" s="86"/>
      <c r="B48" s="174" t="s">
        <v>1291</v>
      </c>
      <c r="C48" s="107">
        <v>157</v>
      </c>
      <c r="D48" s="107"/>
      <c r="E48" s="107"/>
      <c r="F48" s="96">
        <f t="shared" si="1"/>
        <v>157</v>
      </c>
      <c r="G48" s="91"/>
      <c r="H48" s="170">
        <v>157</v>
      </c>
      <c r="I48" s="170">
        <v>157</v>
      </c>
      <c r="J48" s="91"/>
    </row>
    <row r="49" spans="1:10" s="92" customFormat="1" ht="33.75" customHeight="1">
      <c r="A49" s="150" t="s">
        <v>9</v>
      </c>
      <c r="B49" s="177" t="s">
        <v>1292</v>
      </c>
      <c r="C49" s="175">
        <f>C50+C51</f>
        <v>882</v>
      </c>
      <c r="D49" s="176"/>
      <c r="E49" s="153"/>
      <c r="F49" s="152">
        <f t="shared" si="1"/>
        <v>882</v>
      </c>
      <c r="G49" s="176"/>
      <c r="H49" s="172">
        <f>H50+H51</f>
        <v>882</v>
      </c>
      <c r="I49" s="172">
        <f>I50+I51</f>
        <v>882</v>
      </c>
      <c r="J49" s="153"/>
    </row>
    <row r="50" spans="1:10" s="92" customFormat="1" ht="33" customHeight="1">
      <c r="A50" s="86"/>
      <c r="B50" s="178" t="s">
        <v>1293</v>
      </c>
      <c r="C50" s="108">
        <v>244</v>
      </c>
      <c r="D50" s="109"/>
      <c r="E50" s="90"/>
      <c r="F50" s="96">
        <f t="shared" si="1"/>
        <v>244</v>
      </c>
      <c r="G50" s="109"/>
      <c r="H50" s="170">
        <v>244</v>
      </c>
      <c r="I50" s="170">
        <v>244</v>
      </c>
      <c r="J50" s="91"/>
    </row>
    <row r="51" spans="1:10" s="92" customFormat="1" ht="48" customHeight="1">
      <c r="A51" s="179"/>
      <c r="B51" s="180" t="s">
        <v>1294</v>
      </c>
      <c r="C51" s="181">
        <v>638</v>
      </c>
      <c r="D51" s="182"/>
      <c r="E51" s="183"/>
      <c r="F51" s="110">
        <f t="shared" si="1"/>
        <v>638</v>
      </c>
      <c r="G51" s="182"/>
      <c r="H51" s="184">
        <v>638</v>
      </c>
      <c r="I51" s="184">
        <v>638</v>
      </c>
      <c r="J51" s="185"/>
    </row>
  </sheetData>
  <mergeCells count="8">
    <mergeCell ref="A2:J2"/>
    <mergeCell ref="A4:A5"/>
    <mergeCell ref="B4:B5"/>
    <mergeCell ref="C4:E4"/>
    <mergeCell ref="F4:G4"/>
    <mergeCell ref="H4:H5"/>
    <mergeCell ref="I4:J4"/>
    <mergeCell ref="H3:J3"/>
  </mergeCell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BM108"/>
  <sheetViews>
    <sheetView topLeftCell="A4" zoomScaleNormal="100" workbookViewId="0">
      <pane xSplit="2" ySplit="7" topLeftCell="AZ11" activePane="bottomRight" state="frozen"/>
      <selection activeCell="U29" sqref="U29"/>
      <selection pane="topRight" activeCell="U29" sqref="U29"/>
      <selection pane="bottomLeft" activeCell="U29" sqref="U29"/>
      <selection pane="bottomRight" activeCell="C9" sqref="C9"/>
    </sheetView>
  </sheetViews>
  <sheetFormatPr defaultRowHeight="20.100000000000001" customHeight="1"/>
  <cols>
    <col min="1" max="1" width="4.85546875" style="11" customWidth="1"/>
    <col min="2" max="2" width="31" style="13" customWidth="1"/>
    <col min="3" max="4" width="11.85546875" style="11" customWidth="1"/>
    <col min="5" max="5" width="12" style="11" customWidth="1"/>
    <col min="6" max="16" width="11" style="11" customWidth="1"/>
    <col min="17" max="18" width="11" style="12" customWidth="1"/>
    <col min="19" max="19" width="12.5703125" style="11" customWidth="1"/>
    <col min="20" max="20" width="11" style="11" customWidth="1"/>
    <col min="21" max="21" width="11" style="12" customWidth="1"/>
    <col min="22" max="22" width="10.85546875" style="12" customWidth="1"/>
    <col min="23" max="25" width="11" style="12" customWidth="1"/>
    <col min="26" max="26" width="12.5703125" style="11" customWidth="1"/>
    <col min="27" max="27" width="11" style="11" customWidth="1"/>
    <col min="28" max="28" width="11" style="12" customWidth="1"/>
    <col min="29" max="29" width="10.85546875" style="12" customWidth="1"/>
    <col min="30" max="32" width="11" style="12" customWidth="1"/>
    <col min="33" max="33" width="12.5703125" style="11" customWidth="1"/>
    <col min="34" max="34" width="11" style="11" customWidth="1"/>
    <col min="35" max="35" width="11" style="12" customWidth="1"/>
    <col min="36" max="36" width="10.85546875" style="12" customWidth="1"/>
    <col min="37" max="39" width="11" style="12" customWidth="1"/>
    <col min="40" max="40" width="12.5703125" style="11" customWidth="1"/>
    <col min="41" max="41" width="11" style="11" customWidth="1"/>
    <col min="42" max="42" width="11" style="12" customWidth="1"/>
    <col min="43" max="43" width="10.85546875" style="12" customWidth="1"/>
    <col min="44" max="46" width="11" style="12" customWidth="1"/>
    <col min="47" max="47" width="12.5703125" style="11" customWidth="1"/>
    <col min="48" max="48" width="11" style="11" customWidth="1"/>
    <col min="49" max="49" width="11" style="12" customWidth="1"/>
    <col min="50" max="50" width="10.85546875" style="12" customWidth="1"/>
    <col min="51" max="53" width="11" style="12" customWidth="1"/>
    <col min="54" max="54" width="12.5703125" style="11" customWidth="1"/>
    <col min="55" max="55" width="11" style="11" customWidth="1"/>
    <col min="56" max="56" width="11" style="12" customWidth="1"/>
    <col min="57" max="57" width="10.85546875" style="12" customWidth="1"/>
    <col min="58" max="58" width="11" style="12" customWidth="1"/>
    <col min="59" max="65" width="11" style="11" customWidth="1"/>
    <col min="66" max="72" width="9.7109375" style="11" customWidth="1"/>
    <col min="73" max="16384" width="9.140625" style="11"/>
  </cols>
  <sheetData>
    <row r="1" spans="1:65" ht="20.100000000000001" customHeight="1">
      <c r="A1" s="67"/>
      <c r="B1" s="65"/>
      <c r="C1" s="63"/>
      <c r="D1" s="63"/>
      <c r="E1" s="67"/>
      <c r="F1" s="67"/>
      <c r="G1" s="67" t="s">
        <v>321</v>
      </c>
      <c r="H1" s="67"/>
      <c r="I1" s="67"/>
      <c r="J1" s="63"/>
      <c r="K1" s="63"/>
      <c r="L1" s="67"/>
      <c r="M1" s="67"/>
      <c r="N1" s="67" t="s">
        <v>321</v>
      </c>
      <c r="O1" s="67"/>
      <c r="P1" s="67"/>
      <c r="Q1" s="64"/>
      <c r="R1" s="64"/>
      <c r="S1" s="67"/>
      <c r="T1" s="67"/>
      <c r="U1" s="64"/>
      <c r="V1" s="64"/>
      <c r="W1" s="64"/>
      <c r="X1" s="64"/>
      <c r="Y1" s="64"/>
      <c r="Z1" s="67"/>
      <c r="AA1" s="67"/>
      <c r="AB1" s="64"/>
      <c r="AC1" s="64"/>
      <c r="AD1" s="64"/>
      <c r="AE1" s="64"/>
      <c r="AF1" s="64"/>
      <c r="AG1" s="67"/>
      <c r="AH1" s="67"/>
      <c r="AI1" s="64"/>
      <c r="AJ1" s="64"/>
      <c r="AK1" s="64"/>
      <c r="AL1" s="64"/>
      <c r="AM1" s="64"/>
      <c r="AN1" s="67"/>
      <c r="AO1" s="67"/>
      <c r="AP1" s="64"/>
      <c r="AQ1" s="64"/>
      <c r="AR1" s="64"/>
      <c r="AS1" s="64"/>
      <c r="AT1" s="64"/>
      <c r="AU1" s="67"/>
      <c r="AV1" s="67"/>
      <c r="AW1" s="64"/>
      <c r="AX1" s="64"/>
      <c r="AY1" s="64"/>
      <c r="AZ1" s="64"/>
      <c r="BA1" s="64"/>
      <c r="BB1" s="67"/>
      <c r="BC1" s="67"/>
      <c r="BD1" s="64"/>
      <c r="BE1" s="64"/>
      <c r="BF1" s="64"/>
      <c r="BG1" s="63"/>
      <c r="BH1" s="63"/>
      <c r="BI1" s="67"/>
      <c r="BJ1" s="67"/>
      <c r="BK1" s="67" t="s">
        <v>321</v>
      </c>
      <c r="BL1" s="67"/>
      <c r="BM1" s="67"/>
    </row>
    <row r="2" spans="1:65" ht="20.100000000000001" customHeight="1">
      <c r="A2" s="66" t="s">
        <v>320</v>
      </c>
      <c r="B2" s="65"/>
      <c r="C2" s="63"/>
      <c r="D2" s="63"/>
      <c r="E2" s="63"/>
      <c r="F2" s="63"/>
      <c r="G2" s="63"/>
      <c r="H2" s="63"/>
      <c r="I2" s="63"/>
      <c r="J2" s="63"/>
      <c r="K2" s="63"/>
      <c r="L2" s="63"/>
      <c r="M2" s="63"/>
      <c r="N2" s="63"/>
      <c r="O2" s="63"/>
      <c r="P2" s="63"/>
      <c r="Q2" s="64"/>
      <c r="R2" s="64"/>
      <c r="S2" s="63"/>
      <c r="T2" s="63"/>
      <c r="U2" s="64"/>
      <c r="V2" s="64"/>
      <c r="W2" s="64"/>
      <c r="X2" s="64"/>
      <c r="Y2" s="64"/>
      <c r="Z2" s="63"/>
      <c r="AA2" s="63"/>
      <c r="AB2" s="64"/>
      <c r="AC2" s="64"/>
      <c r="AD2" s="64"/>
      <c r="AE2" s="64"/>
      <c r="AF2" s="64"/>
      <c r="AG2" s="63"/>
      <c r="AH2" s="63"/>
      <c r="AI2" s="64"/>
      <c r="AJ2" s="64"/>
      <c r="AK2" s="64"/>
      <c r="AL2" s="64"/>
      <c r="AM2" s="64"/>
      <c r="AN2" s="63"/>
      <c r="AO2" s="63"/>
      <c r="AP2" s="64"/>
      <c r="AQ2" s="64"/>
      <c r="AR2" s="64"/>
      <c r="AS2" s="64"/>
      <c r="AT2" s="64"/>
      <c r="AU2" s="63"/>
      <c r="AV2" s="63"/>
      <c r="AW2" s="64"/>
      <c r="AX2" s="64"/>
      <c r="AY2" s="64"/>
      <c r="AZ2" s="64"/>
      <c r="BA2" s="64"/>
      <c r="BB2" s="63"/>
      <c r="BC2" s="63"/>
      <c r="BD2" s="64"/>
      <c r="BE2" s="64"/>
      <c r="BF2" s="64"/>
      <c r="BG2" s="63"/>
      <c r="BH2" s="63"/>
      <c r="BI2" s="63"/>
      <c r="BJ2" s="63"/>
      <c r="BK2" s="63"/>
      <c r="BL2" s="63"/>
      <c r="BM2" s="63"/>
    </row>
    <row r="3" spans="1:65" ht="20.100000000000001" customHeight="1">
      <c r="A3" s="1809" t="s">
        <v>319</v>
      </c>
      <c r="B3" s="1809"/>
      <c r="C3" s="1809"/>
      <c r="D3" s="1809"/>
      <c r="E3" s="1809"/>
      <c r="F3" s="1809"/>
      <c r="G3" s="1809"/>
      <c r="H3" s="1809"/>
      <c r="I3" s="1809"/>
      <c r="J3" s="1809"/>
      <c r="K3" s="1809"/>
      <c r="L3" s="1809"/>
      <c r="M3" s="1809"/>
      <c r="N3" s="1809"/>
      <c r="O3" s="1809"/>
      <c r="P3" s="1809"/>
      <c r="Q3" s="1809"/>
      <c r="R3" s="1809"/>
      <c r="S3" s="1809"/>
      <c r="T3" s="1809"/>
      <c r="U3" s="1809"/>
      <c r="V3" s="1809"/>
      <c r="W3" s="1809"/>
      <c r="X3" s="1809"/>
      <c r="Y3" s="1809"/>
      <c r="Z3" s="1809"/>
      <c r="AA3" s="1809"/>
      <c r="AB3" s="1809"/>
      <c r="AC3" s="1809"/>
      <c r="AD3" s="1809"/>
      <c r="AE3" s="1809"/>
      <c r="AF3" s="1809"/>
      <c r="AG3" s="1809"/>
      <c r="AH3" s="1809"/>
      <c r="AI3" s="1809"/>
      <c r="AJ3" s="1809"/>
      <c r="AK3" s="1809"/>
      <c r="AL3" s="1809"/>
      <c r="AM3" s="1809"/>
      <c r="AN3" s="1809"/>
      <c r="AO3" s="1809"/>
      <c r="AP3" s="1809"/>
      <c r="AQ3" s="1809"/>
      <c r="AR3" s="1809"/>
      <c r="AS3" s="1809"/>
      <c r="AT3" s="1809"/>
      <c r="AU3" s="1809"/>
      <c r="AV3" s="1809"/>
      <c r="AW3" s="1809"/>
      <c r="AX3" s="1809"/>
      <c r="AY3" s="1809"/>
      <c r="AZ3" s="1809"/>
      <c r="BA3" s="1809"/>
      <c r="BB3" s="1809"/>
      <c r="BC3" s="1809"/>
      <c r="BD3" s="1809"/>
      <c r="BE3" s="1809"/>
      <c r="BF3" s="1809"/>
      <c r="BG3" s="62"/>
      <c r="BH3" s="62"/>
      <c r="BI3" s="62"/>
      <c r="BJ3" s="62"/>
      <c r="BK3" s="62"/>
      <c r="BL3" s="62"/>
      <c r="BM3" s="62"/>
    </row>
    <row r="4" spans="1:65" ht="20.100000000000001" customHeight="1">
      <c r="A4" s="59"/>
      <c r="B4" s="59"/>
      <c r="C4" s="60"/>
      <c r="D4" s="60"/>
      <c r="E4" s="59"/>
      <c r="F4" s="59"/>
      <c r="G4" s="60"/>
      <c r="H4" s="59"/>
      <c r="I4" s="59"/>
      <c r="J4" s="60"/>
      <c r="K4" s="60"/>
      <c r="L4" s="59"/>
      <c r="M4" s="59"/>
      <c r="N4" s="60"/>
      <c r="O4" s="59"/>
      <c r="P4" s="59"/>
      <c r="Q4" s="60"/>
      <c r="R4" s="60">
        <f>S9</f>
        <v>22251.988499999999</v>
      </c>
      <c r="S4" s="61">
        <f>T9</f>
        <v>13750.34</v>
      </c>
      <c r="T4" s="59"/>
      <c r="U4" s="60"/>
      <c r="V4" s="60"/>
      <c r="W4" s="60"/>
      <c r="X4" s="60"/>
      <c r="Y4" s="60">
        <f>Z9</f>
        <v>24588.688999999998</v>
      </c>
      <c r="Z4" s="61">
        <f>AA9</f>
        <v>0</v>
      </c>
      <c r="AA4" s="59"/>
      <c r="AB4" s="60"/>
      <c r="AC4" s="60"/>
      <c r="AD4" s="60"/>
      <c r="AE4" s="60"/>
      <c r="AF4" s="60">
        <f>AG9</f>
        <v>0</v>
      </c>
      <c r="AG4" s="61">
        <f>AH9</f>
        <v>1485.8036470000002</v>
      </c>
      <c r="AH4" s="59"/>
      <c r="AI4" s="60"/>
      <c r="AJ4" s="60"/>
      <c r="AK4" s="60"/>
      <c r="AL4" s="60"/>
      <c r="AM4" s="60">
        <f>AN9</f>
        <v>17803.25459</v>
      </c>
      <c r="AN4" s="61">
        <f>AO9</f>
        <v>21590.243666999999</v>
      </c>
      <c r="AO4" s="59"/>
      <c r="AP4" s="60"/>
      <c r="AQ4" s="60"/>
      <c r="AR4" s="60"/>
      <c r="AS4" s="60"/>
      <c r="AT4" s="60">
        <f>AU9</f>
        <v>0</v>
      </c>
      <c r="AU4" s="61">
        <f>AV9</f>
        <v>23434.478999999999</v>
      </c>
      <c r="AV4" s="59"/>
      <c r="AW4" s="60"/>
      <c r="AX4" s="60"/>
      <c r="AY4" s="60"/>
      <c r="AZ4" s="60"/>
      <c r="BA4" s="60">
        <f>BB9</f>
        <v>25630.162483</v>
      </c>
      <c r="BB4" s="61">
        <f>BC9</f>
        <v>12711.098560000004</v>
      </c>
      <c r="BC4" s="59"/>
      <c r="BD4" s="60"/>
      <c r="BE4" s="60"/>
      <c r="BF4" s="60"/>
      <c r="BG4" s="60"/>
      <c r="BH4" s="60"/>
      <c r="BI4" s="59"/>
      <c r="BJ4" s="59"/>
      <c r="BK4" s="60"/>
      <c r="BL4" s="59"/>
      <c r="BM4" s="59"/>
    </row>
    <row r="5" spans="1:65" s="57" customFormat="1" ht="18.75" customHeight="1">
      <c r="A5" s="1806" t="s">
        <v>0</v>
      </c>
      <c r="B5" s="1811" t="s">
        <v>318</v>
      </c>
      <c r="C5" s="1805" t="s">
        <v>25</v>
      </c>
      <c r="D5" s="1805"/>
      <c r="E5" s="1805"/>
      <c r="F5" s="1805"/>
      <c r="G5" s="1805"/>
      <c r="H5" s="1805"/>
      <c r="I5" s="1805"/>
      <c r="J5" s="1805" t="s">
        <v>239</v>
      </c>
      <c r="K5" s="1805"/>
      <c r="L5" s="1805"/>
      <c r="M5" s="1805"/>
      <c r="N5" s="1805"/>
      <c r="O5" s="1805"/>
      <c r="P5" s="1805"/>
      <c r="Q5" s="1805" t="s">
        <v>236</v>
      </c>
      <c r="R5" s="1805"/>
      <c r="S5" s="1805"/>
      <c r="T5" s="1805"/>
      <c r="U5" s="1805"/>
      <c r="V5" s="1805"/>
      <c r="W5" s="1805"/>
      <c r="X5" s="1805" t="s">
        <v>235</v>
      </c>
      <c r="Y5" s="1805"/>
      <c r="Z5" s="1805"/>
      <c r="AA5" s="1805"/>
      <c r="AB5" s="1805"/>
      <c r="AC5" s="1805"/>
      <c r="AD5" s="1805"/>
      <c r="AE5" s="1805" t="s">
        <v>317</v>
      </c>
      <c r="AF5" s="1805"/>
      <c r="AG5" s="1805"/>
      <c r="AH5" s="1805"/>
      <c r="AI5" s="1805"/>
      <c r="AJ5" s="1805"/>
      <c r="AK5" s="1805"/>
      <c r="AL5" s="1805" t="s">
        <v>237</v>
      </c>
      <c r="AM5" s="1805"/>
      <c r="AN5" s="1805"/>
      <c r="AO5" s="1805"/>
      <c r="AP5" s="1805"/>
      <c r="AQ5" s="1805"/>
      <c r="AR5" s="1805"/>
      <c r="AS5" s="1805" t="s">
        <v>238</v>
      </c>
      <c r="AT5" s="1805"/>
      <c r="AU5" s="1805"/>
      <c r="AV5" s="1805"/>
      <c r="AW5" s="1805"/>
      <c r="AX5" s="1805"/>
      <c r="AY5" s="1805"/>
      <c r="AZ5" s="1805" t="s">
        <v>234</v>
      </c>
      <c r="BA5" s="1805"/>
      <c r="BB5" s="1805"/>
      <c r="BC5" s="1805"/>
      <c r="BD5" s="1805"/>
      <c r="BE5" s="1805"/>
      <c r="BF5" s="1805"/>
      <c r="BG5" s="1805" t="s">
        <v>240</v>
      </c>
      <c r="BH5" s="1805"/>
      <c r="BI5" s="1805"/>
      <c r="BJ5" s="1805"/>
      <c r="BK5" s="1805"/>
      <c r="BL5" s="1805"/>
      <c r="BM5" s="1805"/>
    </row>
    <row r="6" spans="1:65" s="57" customFormat="1" ht="19.5" customHeight="1">
      <c r="A6" s="1810" t="s">
        <v>316</v>
      </c>
      <c r="B6" s="1812"/>
      <c r="C6" s="1806" t="s">
        <v>25</v>
      </c>
      <c r="D6" s="1805" t="s">
        <v>33</v>
      </c>
      <c r="E6" s="1805"/>
      <c r="F6" s="1805"/>
      <c r="G6" s="1805"/>
      <c r="H6" s="1805"/>
      <c r="I6" s="1805"/>
      <c r="J6" s="1806" t="s">
        <v>25</v>
      </c>
      <c r="K6" s="1805" t="s">
        <v>33</v>
      </c>
      <c r="L6" s="1805"/>
      <c r="M6" s="1805"/>
      <c r="N6" s="1805"/>
      <c r="O6" s="1805"/>
      <c r="P6" s="1805"/>
      <c r="Q6" s="1806" t="s">
        <v>25</v>
      </c>
      <c r="R6" s="1805" t="s">
        <v>33</v>
      </c>
      <c r="S6" s="1805"/>
      <c r="T6" s="1805"/>
      <c r="U6" s="1805"/>
      <c r="V6" s="1805"/>
      <c r="W6" s="1805"/>
      <c r="X6" s="1806" t="s">
        <v>25</v>
      </c>
      <c r="Y6" s="1805" t="s">
        <v>33</v>
      </c>
      <c r="Z6" s="1805"/>
      <c r="AA6" s="1805"/>
      <c r="AB6" s="1805"/>
      <c r="AC6" s="1805"/>
      <c r="AD6" s="1805"/>
      <c r="AE6" s="1806" t="s">
        <v>25</v>
      </c>
      <c r="AF6" s="1805" t="s">
        <v>33</v>
      </c>
      <c r="AG6" s="1805"/>
      <c r="AH6" s="1805"/>
      <c r="AI6" s="1805"/>
      <c r="AJ6" s="1805"/>
      <c r="AK6" s="1805"/>
      <c r="AL6" s="1806" t="s">
        <v>25</v>
      </c>
      <c r="AM6" s="1805" t="s">
        <v>33</v>
      </c>
      <c r="AN6" s="1805"/>
      <c r="AO6" s="1805"/>
      <c r="AP6" s="1805"/>
      <c r="AQ6" s="1805"/>
      <c r="AR6" s="1805"/>
      <c r="AS6" s="1806" t="s">
        <v>25</v>
      </c>
      <c r="AT6" s="1805" t="s">
        <v>33</v>
      </c>
      <c r="AU6" s="1805"/>
      <c r="AV6" s="1805"/>
      <c r="AW6" s="1805"/>
      <c r="AX6" s="1805"/>
      <c r="AY6" s="1805"/>
      <c r="AZ6" s="1806" t="s">
        <v>25</v>
      </c>
      <c r="BA6" s="1805" t="s">
        <v>33</v>
      </c>
      <c r="BB6" s="1805"/>
      <c r="BC6" s="1805"/>
      <c r="BD6" s="1805"/>
      <c r="BE6" s="1805"/>
      <c r="BF6" s="1805"/>
      <c r="BG6" s="1806" t="s">
        <v>25</v>
      </c>
      <c r="BH6" s="1805" t="s">
        <v>33</v>
      </c>
      <c r="BI6" s="1805"/>
      <c r="BJ6" s="1805"/>
      <c r="BK6" s="1805"/>
      <c r="BL6" s="1805"/>
      <c r="BM6" s="1805"/>
    </row>
    <row r="7" spans="1:65" s="57" customFormat="1" ht="20.100000000000001" customHeight="1">
      <c r="A7" s="1810"/>
      <c r="B7" s="1812"/>
      <c r="C7" s="1806"/>
      <c r="D7" s="1806" t="s">
        <v>315</v>
      </c>
      <c r="E7" s="1807" t="s">
        <v>33</v>
      </c>
      <c r="F7" s="1807"/>
      <c r="G7" s="1808" t="s">
        <v>314</v>
      </c>
      <c r="H7" s="1805" t="s">
        <v>33</v>
      </c>
      <c r="I7" s="1805"/>
      <c r="J7" s="1806"/>
      <c r="K7" s="1806" t="s">
        <v>315</v>
      </c>
      <c r="L7" s="1807" t="s">
        <v>33</v>
      </c>
      <c r="M7" s="1807"/>
      <c r="N7" s="1808" t="s">
        <v>314</v>
      </c>
      <c r="O7" s="1805" t="s">
        <v>33</v>
      </c>
      <c r="P7" s="1805"/>
      <c r="Q7" s="1806"/>
      <c r="R7" s="1806" t="s">
        <v>315</v>
      </c>
      <c r="S7" s="1807" t="s">
        <v>33</v>
      </c>
      <c r="T7" s="1807"/>
      <c r="U7" s="1808" t="s">
        <v>314</v>
      </c>
      <c r="V7" s="1805" t="s">
        <v>33</v>
      </c>
      <c r="W7" s="1805"/>
      <c r="X7" s="1806"/>
      <c r="Y7" s="1806" t="s">
        <v>315</v>
      </c>
      <c r="Z7" s="1807" t="s">
        <v>33</v>
      </c>
      <c r="AA7" s="1807"/>
      <c r="AB7" s="1808" t="s">
        <v>314</v>
      </c>
      <c r="AC7" s="1805" t="s">
        <v>33</v>
      </c>
      <c r="AD7" s="1805"/>
      <c r="AE7" s="1806"/>
      <c r="AF7" s="1806" t="s">
        <v>315</v>
      </c>
      <c r="AG7" s="1807" t="s">
        <v>33</v>
      </c>
      <c r="AH7" s="1807"/>
      <c r="AI7" s="1808" t="s">
        <v>314</v>
      </c>
      <c r="AJ7" s="1805" t="s">
        <v>33</v>
      </c>
      <c r="AK7" s="1805"/>
      <c r="AL7" s="1806"/>
      <c r="AM7" s="1806" t="s">
        <v>315</v>
      </c>
      <c r="AN7" s="1807" t="s">
        <v>33</v>
      </c>
      <c r="AO7" s="1807"/>
      <c r="AP7" s="1808" t="s">
        <v>314</v>
      </c>
      <c r="AQ7" s="1805" t="s">
        <v>33</v>
      </c>
      <c r="AR7" s="1805"/>
      <c r="AS7" s="1806"/>
      <c r="AT7" s="1806" t="s">
        <v>315</v>
      </c>
      <c r="AU7" s="1807" t="s">
        <v>33</v>
      </c>
      <c r="AV7" s="1807"/>
      <c r="AW7" s="1808" t="s">
        <v>314</v>
      </c>
      <c r="AX7" s="1805" t="s">
        <v>33</v>
      </c>
      <c r="AY7" s="1805"/>
      <c r="AZ7" s="1806"/>
      <c r="BA7" s="1806" t="s">
        <v>315</v>
      </c>
      <c r="BB7" s="1807" t="s">
        <v>33</v>
      </c>
      <c r="BC7" s="1807"/>
      <c r="BD7" s="1808" t="s">
        <v>314</v>
      </c>
      <c r="BE7" s="1805" t="s">
        <v>33</v>
      </c>
      <c r="BF7" s="1805"/>
      <c r="BG7" s="1806"/>
      <c r="BH7" s="1806" t="s">
        <v>315</v>
      </c>
      <c r="BI7" s="1807" t="s">
        <v>33</v>
      </c>
      <c r="BJ7" s="1807"/>
      <c r="BK7" s="1808" t="s">
        <v>314</v>
      </c>
      <c r="BL7" s="1805" t="s">
        <v>33</v>
      </c>
      <c r="BM7" s="1805"/>
    </row>
    <row r="8" spans="1:65" s="57" customFormat="1" ht="20.100000000000001" customHeight="1">
      <c r="A8" s="1807"/>
      <c r="B8" s="1813"/>
      <c r="C8" s="1806"/>
      <c r="D8" s="1806"/>
      <c r="E8" s="58" t="s">
        <v>313</v>
      </c>
      <c r="F8" s="58" t="s">
        <v>312</v>
      </c>
      <c r="G8" s="1808"/>
      <c r="H8" s="58" t="s">
        <v>313</v>
      </c>
      <c r="I8" s="58" t="s">
        <v>312</v>
      </c>
      <c r="J8" s="1806"/>
      <c r="K8" s="1806"/>
      <c r="L8" s="58" t="s">
        <v>313</v>
      </c>
      <c r="M8" s="58" t="s">
        <v>312</v>
      </c>
      <c r="N8" s="1808"/>
      <c r="O8" s="58" t="s">
        <v>313</v>
      </c>
      <c r="P8" s="58" t="s">
        <v>312</v>
      </c>
      <c r="Q8" s="1806"/>
      <c r="R8" s="1806"/>
      <c r="S8" s="58" t="s">
        <v>313</v>
      </c>
      <c r="T8" s="58" t="s">
        <v>312</v>
      </c>
      <c r="U8" s="1808"/>
      <c r="V8" s="58" t="s">
        <v>313</v>
      </c>
      <c r="W8" s="58" t="s">
        <v>312</v>
      </c>
      <c r="X8" s="1806"/>
      <c r="Y8" s="1806"/>
      <c r="Z8" s="58" t="s">
        <v>313</v>
      </c>
      <c r="AA8" s="58" t="s">
        <v>312</v>
      </c>
      <c r="AB8" s="1808"/>
      <c r="AC8" s="58" t="s">
        <v>313</v>
      </c>
      <c r="AD8" s="58" t="s">
        <v>312</v>
      </c>
      <c r="AE8" s="1806"/>
      <c r="AF8" s="1806"/>
      <c r="AG8" s="58" t="s">
        <v>313</v>
      </c>
      <c r="AH8" s="58" t="s">
        <v>312</v>
      </c>
      <c r="AI8" s="1808"/>
      <c r="AJ8" s="58" t="s">
        <v>313</v>
      </c>
      <c r="AK8" s="58" t="s">
        <v>312</v>
      </c>
      <c r="AL8" s="1806"/>
      <c r="AM8" s="1806"/>
      <c r="AN8" s="58" t="s">
        <v>313</v>
      </c>
      <c r="AO8" s="58" t="s">
        <v>312</v>
      </c>
      <c r="AP8" s="1808"/>
      <c r="AQ8" s="58" t="s">
        <v>313</v>
      </c>
      <c r="AR8" s="58" t="s">
        <v>312</v>
      </c>
      <c r="AS8" s="1806"/>
      <c r="AT8" s="1806"/>
      <c r="AU8" s="58" t="s">
        <v>313</v>
      </c>
      <c r="AV8" s="58" t="s">
        <v>312</v>
      </c>
      <c r="AW8" s="1808"/>
      <c r="AX8" s="58" t="s">
        <v>313</v>
      </c>
      <c r="AY8" s="58" t="s">
        <v>312</v>
      </c>
      <c r="AZ8" s="1806"/>
      <c r="BA8" s="1806"/>
      <c r="BB8" s="58" t="s">
        <v>313</v>
      </c>
      <c r="BC8" s="58" t="s">
        <v>312</v>
      </c>
      <c r="BD8" s="1808"/>
      <c r="BE8" s="58" t="s">
        <v>313</v>
      </c>
      <c r="BF8" s="58" t="s">
        <v>312</v>
      </c>
      <c r="BG8" s="1806"/>
      <c r="BH8" s="1806"/>
      <c r="BI8" s="58" t="s">
        <v>313</v>
      </c>
      <c r="BJ8" s="58" t="s">
        <v>312</v>
      </c>
      <c r="BK8" s="1808"/>
      <c r="BL8" s="58" t="s">
        <v>313</v>
      </c>
      <c r="BM8" s="58" t="s">
        <v>312</v>
      </c>
    </row>
    <row r="9" spans="1:65" s="54" customFormat="1" ht="30" customHeight="1">
      <c r="A9" s="55"/>
      <c r="B9" s="56" t="s">
        <v>311</v>
      </c>
      <c r="C9" s="55">
        <f>D9+G9</f>
        <v>327011.13775300002</v>
      </c>
      <c r="D9" s="55">
        <f t="shared" ref="D9:I9" si="0">D10+D58+D85+D90+D107</f>
        <v>252675.90505200002</v>
      </c>
      <c r="E9" s="55">
        <f t="shared" si="0"/>
        <v>157191.77772499996</v>
      </c>
      <c r="F9" s="55">
        <f t="shared" si="0"/>
        <v>95484.127210000006</v>
      </c>
      <c r="G9" s="55">
        <f t="shared" si="0"/>
        <v>74335.232701000015</v>
      </c>
      <c r="H9" s="55">
        <f t="shared" si="0"/>
        <v>17828.925585999998</v>
      </c>
      <c r="I9" s="55">
        <f t="shared" si="0"/>
        <v>56506.307114999996</v>
      </c>
      <c r="J9" s="55">
        <f>K9+N9</f>
        <v>68131.573719000007</v>
      </c>
      <c r="K9" s="55">
        <f t="shared" ref="K9:P9" si="1">K10+K58+K85+K90</f>
        <v>49565.710336000004</v>
      </c>
      <c r="L9" s="55">
        <f t="shared" si="1"/>
        <v>27053.548000000003</v>
      </c>
      <c r="M9" s="55">
        <f t="shared" si="1"/>
        <v>22512.162336000001</v>
      </c>
      <c r="N9" s="55">
        <f t="shared" si="1"/>
        <v>18565.863383000004</v>
      </c>
      <c r="O9" s="55">
        <f t="shared" si="1"/>
        <v>6187.9871860000003</v>
      </c>
      <c r="P9" s="55">
        <f t="shared" si="1"/>
        <v>12377.876197</v>
      </c>
      <c r="Q9" s="55">
        <f>R9+U9</f>
        <v>44733.080616000007</v>
      </c>
      <c r="R9" s="55">
        <f t="shared" ref="R9:W9" si="2">R10+R58+R85+R107</f>
        <v>36002.328500000003</v>
      </c>
      <c r="S9" s="55">
        <f t="shared" si="2"/>
        <v>22251.988499999999</v>
      </c>
      <c r="T9" s="55">
        <f t="shared" si="2"/>
        <v>13750.34</v>
      </c>
      <c r="U9" s="55">
        <f t="shared" si="2"/>
        <v>8730.7521159999997</v>
      </c>
      <c r="V9" s="55">
        <f t="shared" si="2"/>
        <v>745.09680000000003</v>
      </c>
      <c r="W9" s="55">
        <f t="shared" si="2"/>
        <v>7985.6553160000012</v>
      </c>
      <c r="X9" s="55">
        <f>Y9+AB9</f>
        <v>32579.706599999998</v>
      </c>
      <c r="Y9" s="55">
        <f t="shared" ref="Y9:AD9" si="3">Y10+Y58+Y85</f>
        <v>24588.688999999998</v>
      </c>
      <c r="Z9" s="55">
        <f t="shared" si="3"/>
        <v>24588.688999999998</v>
      </c>
      <c r="AA9" s="55">
        <f t="shared" si="3"/>
        <v>0</v>
      </c>
      <c r="AB9" s="55">
        <f t="shared" si="3"/>
        <v>7991.0175999999992</v>
      </c>
      <c r="AC9" s="55">
        <f t="shared" si="3"/>
        <v>673.95259999999996</v>
      </c>
      <c r="AD9" s="55">
        <f t="shared" si="3"/>
        <v>7317.0650000000005</v>
      </c>
      <c r="AE9" s="55">
        <f>AF9+AI9</f>
        <v>3170.4306470000001</v>
      </c>
      <c r="AF9" s="55">
        <f t="shared" ref="AF9:AK9" si="4">AF10+AF58+AF85</f>
        <v>1485.8036470000002</v>
      </c>
      <c r="AG9" s="55">
        <f t="shared" si="4"/>
        <v>0</v>
      </c>
      <c r="AH9" s="55">
        <f t="shared" si="4"/>
        <v>1485.8036470000002</v>
      </c>
      <c r="AI9" s="55">
        <f t="shared" si="4"/>
        <v>1684.627</v>
      </c>
      <c r="AJ9" s="55">
        <f t="shared" si="4"/>
        <v>61</v>
      </c>
      <c r="AK9" s="55">
        <f t="shared" si="4"/>
        <v>1623.627</v>
      </c>
      <c r="AL9" s="55">
        <f>AM9+AP9</f>
        <v>50690.262622999995</v>
      </c>
      <c r="AM9" s="55">
        <f t="shared" ref="AM9:AR9" si="5">AM10+AM58+AM85</f>
        <v>39393.498256999999</v>
      </c>
      <c r="AN9" s="55">
        <f t="shared" si="5"/>
        <v>17803.25459</v>
      </c>
      <c r="AO9" s="55">
        <f t="shared" si="5"/>
        <v>21590.243666999999</v>
      </c>
      <c r="AP9" s="55">
        <f t="shared" si="5"/>
        <v>11296.764365999998</v>
      </c>
      <c r="AQ9" s="55">
        <f t="shared" si="5"/>
        <v>404.29899999999998</v>
      </c>
      <c r="AR9" s="55">
        <f t="shared" si="5"/>
        <v>10892.465365999999</v>
      </c>
      <c r="AS9" s="55">
        <f>AT9+AW9</f>
        <v>30121.852999999999</v>
      </c>
      <c r="AT9" s="55">
        <f t="shared" ref="AT9:AY9" si="6">AT10+AT58+AT85</f>
        <v>23434.478999999999</v>
      </c>
      <c r="AU9" s="55">
        <f t="shared" si="6"/>
        <v>0</v>
      </c>
      <c r="AV9" s="55">
        <f t="shared" si="6"/>
        <v>23434.478999999999</v>
      </c>
      <c r="AW9" s="55">
        <f t="shared" si="6"/>
        <v>6687.3739999999998</v>
      </c>
      <c r="AX9" s="55">
        <f t="shared" si="6"/>
        <v>123.071</v>
      </c>
      <c r="AY9" s="55">
        <f t="shared" si="6"/>
        <v>6564.3029999999999</v>
      </c>
      <c r="AZ9" s="55">
        <f>BA9+BD9</f>
        <v>44460.821395999999</v>
      </c>
      <c r="BA9" s="55">
        <f t="shared" ref="BA9:BF9" si="7">BA10+BA58</f>
        <v>38341.261160000002</v>
      </c>
      <c r="BB9" s="55">
        <f t="shared" si="7"/>
        <v>25630.162483</v>
      </c>
      <c r="BC9" s="55">
        <f t="shared" si="7"/>
        <v>12711.098560000004</v>
      </c>
      <c r="BD9" s="55">
        <f t="shared" si="7"/>
        <v>6119.5602360000003</v>
      </c>
      <c r="BE9" s="55">
        <f t="shared" si="7"/>
        <v>85.626999999999995</v>
      </c>
      <c r="BF9" s="55">
        <f t="shared" si="7"/>
        <v>6033.9332360000008</v>
      </c>
      <c r="BG9" s="55">
        <f>BH9+BK9</f>
        <v>53123.409152</v>
      </c>
      <c r="BH9" s="55">
        <f t="shared" ref="BH9:BM9" si="8">BH10+BH58+BH85+BH90</f>
        <v>39864.135152000003</v>
      </c>
      <c r="BI9" s="55">
        <f t="shared" si="8"/>
        <v>39864.135152000003</v>
      </c>
      <c r="BJ9" s="55">
        <f t="shared" si="8"/>
        <v>0</v>
      </c>
      <c r="BK9" s="55">
        <f t="shared" si="8"/>
        <v>13259.273999999999</v>
      </c>
      <c r="BL9" s="55">
        <f t="shared" si="8"/>
        <v>9547.8919999999998</v>
      </c>
      <c r="BM9" s="55">
        <f t="shared" si="8"/>
        <v>3711.3819999999996</v>
      </c>
    </row>
    <row r="10" spans="1:65" s="801" customFormat="1" ht="30.75" customHeight="1">
      <c r="A10" s="798" t="s">
        <v>11</v>
      </c>
      <c r="B10" s="799" t="s">
        <v>310</v>
      </c>
      <c r="C10" s="800">
        <f>D10+G10</f>
        <v>174963.62786200002</v>
      </c>
      <c r="D10" s="800">
        <f t="shared" ref="D10:I10" si="9">D33+D11+D46+D51+D54+D56+D57</f>
        <v>131267.75452400002</v>
      </c>
      <c r="E10" s="800">
        <f t="shared" si="9"/>
        <v>103352.06245</v>
      </c>
      <c r="F10" s="800">
        <f t="shared" si="9"/>
        <v>27915.691956999999</v>
      </c>
      <c r="G10" s="800">
        <f t="shared" si="9"/>
        <v>43695.873337999998</v>
      </c>
      <c r="H10" s="800">
        <f t="shared" si="9"/>
        <v>16763.271585999999</v>
      </c>
      <c r="I10" s="800">
        <f t="shared" si="9"/>
        <v>26932.601751999995</v>
      </c>
      <c r="J10" s="800">
        <f>K10+N10</f>
        <v>46735.719309000007</v>
      </c>
      <c r="K10" s="800">
        <f t="shared" ref="K10:P10" si="10">K33+K11+K46+K51+K54</f>
        <v>33291.207841000003</v>
      </c>
      <c r="L10" s="800">
        <f t="shared" si="10"/>
        <v>21520.764999999999</v>
      </c>
      <c r="M10" s="800">
        <f t="shared" si="10"/>
        <v>11770.442841</v>
      </c>
      <c r="N10" s="800">
        <f t="shared" si="10"/>
        <v>13444.511468000001</v>
      </c>
      <c r="O10" s="800">
        <f t="shared" si="10"/>
        <v>6025.9621860000007</v>
      </c>
      <c r="P10" s="800">
        <f t="shared" si="10"/>
        <v>7418.5492819999999</v>
      </c>
      <c r="Q10" s="800">
        <f>R10+U10</f>
        <v>21614.467799999999</v>
      </c>
      <c r="R10" s="800">
        <f>R33+R11+R46+R51+R54</f>
        <v>17871.41</v>
      </c>
      <c r="S10" s="800">
        <f>S33+S11+S46+S51+S54</f>
        <v>17871.41</v>
      </c>
      <c r="T10" s="800">
        <f>T33+T11+T46+T51+T54</f>
        <v>0</v>
      </c>
      <c r="U10" s="800">
        <f>U33+U11+U46+U51+U54+U56+U57</f>
        <v>3743.0577999999996</v>
      </c>
      <c r="V10" s="800">
        <f>V33+V11+V46+V51+V54+V56+V57</f>
        <v>561.49680000000001</v>
      </c>
      <c r="W10" s="800">
        <f>W33+W11+W46+W51+W54</f>
        <v>3181.5610000000001</v>
      </c>
      <c r="X10" s="800">
        <f>Y10+AB10</f>
        <v>15354.9066</v>
      </c>
      <c r="Y10" s="800">
        <f t="shared" ref="Y10:AD10" si="11">Y33+Y11+Y46+Y51+Y54</f>
        <v>12565.902</v>
      </c>
      <c r="Z10" s="800">
        <f t="shared" si="11"/>
        <v>12565.902</v>
      </c>
      <c r="AA10" s="800">
        <f t="shared" si="11"/>
        <v>0</v>
      </c>
      <c r="AB10" s="800">
        <f t="shared" si="11"/>
        <v>2789.0046000000002</v>
      </c>
      <c r="AC10" s="800">
        <f t="shared" si="11"/>
        <v>358.99459999999999</v>
      </c>
      <c r="AD10" s="800">
        <f t="shared" si="11"/>
        <v>2430.0100000000002</v>
      </c>
      <c r="AE10" s="800">
        <f>AF10+AI10</f>
        <v>106</v>
      </c>
      <c r="AF10" s="800">
        <f t="shared" ref="AF10:AK10" si="12">AF33+AF11+AF46+AF51+AF54</f>
        <v>0</v>
      </c>
      <c r="AG10" s="800">
        <f t="shared" si="12"/>
        <v>0</v>
      </c>
      <c r="AH10" s="800">
        <f t="shared" si="12"/>
        <v>0</v>
      </c>
      <c r="AI10" s="800">
        <f t="shared" si="12"/>
        <v>106</v>
      </c>
      <c r="AJ10" s="800">
        <f t="shared" si="12"/>
        <v>28</v>
      </c>
      <c r="AK10" s="800">
        <f t="shared" si="12"/>
        <v>78</v>
      </c>
      <c r="AL10" s="800">
        <f>AM10+AP10</f>
        <v>25642.907153</v>
      </c>
      <c r="AM10" s="800">
        <f t="shared" ref="AM10:AR10" si="13">AM33+AM11+AM46+AM51+AM54</f>
        <v>19807.254682999999</v>
      </c>
      <c r="AN10" s="800">
        <f t="shared" si="13"/>
        <v>17803.25459</v>
      </c>
      <c r="AO10" s="800">
        <f t="shared" si="13"/>
        <v>2004.0000930000001</v>
      </c>
      <c r="AP10" s="800">
        <f t="shared" si="13"/>
        <v>5835.65247</v>
      </c>
      <c r="AQ10" s="800">
        <f t="shared" si="13"/>
        <v>324.29899999999998</v>
      </c>
      <c r="AR10" s="800">
        <f t="shared" si="13"/>
        <v>5511.35347</v>
      </c>
      <c r="AS10" s="800">
        <f>AT10+AW10</f>
        <v>15226.5</v>
      </c>
      <c r="AT10" s="800">
        <f t="shared" ref="AT10:AY10" si="14">AT33+AT11+AT46+AT51+AT54</f>
        <v>11777.08</v>
      </c>
      <c r="AU10" s="800">
        <f t="shared" si="14"/>
        <v>0</v>
      </c>
      <c r="AV10" s="800">
        <f t="shared" si="14"/>
        <v>11777.08</v>
      </c>
      <c r="AW10" s="800">
        <f t="shared" si="14"/>
        <v>3449.42</v>
      </c>
      <c r="AX10" s="800">
        <f t="shared" si="14"/>
        <v>82</v>
      </c>
      <c r="AY10" s="800">
        <f t="shared" si="14"/>
        <v>3367.42</v>
      </c>
      <c r="AZ10" s="800">
        <f>BA10+BD10</f>
        <v>12435.249</v>
      </c>
      <c r="BA10" s="800">
        <f t="shared" ref="BA10:BF10" si="15">BA33+BA11+BA46+BA51+BA54</f>
        <v>10157.495999999999</v>
      </c>
      <c r="BB10" s="800">
        <f t="shared" si="15"/>
        <v>7793.3268599999992</v>
      </c>
      <c r="BC10" s="800">
        <f t="shared" si="15"/>
        <v>2364.1690229999999</v>
      </c>
      <c r="BD10" s="800">
        <f t="shared" si="15"/>
        <v>2277.7530000000002</v>
      </c>
      <c r="BE10" s="800">
        <f t="shared" si="15"/>
        <v>28.626999999999999</v>
      </c>
      <c r="BF10" s="800">
        <f t="shared" si="15"/>
        <v>2249.1260000000002</v>
      </c>
      <c r="BG10" s="800">
        <f>BH10+BK10</f>
        <v>37847.877999999997</v>
      </c>
      <c r="BH10" s="800">
        <f t="shared" ref="BH10:BM10" si="16">BH33+BH11+BH46+BH51+BH54</f>
        <v>25797.403999999999</v>
      </c>
      <c r="BI10" s="800">
        <f t="shared" si="16"/>
        <v>25797.403999999999</v>
      </c>
      <c r="BJ10" s="800">
        <f t="shared" si="16"/>
        <v>0</v>
      </c>
      <c r="BK10" s="800">
        <f t="shared" si="16"/>
        <v>12050.474</v>
      </c>
      <c r="BL10" s="800">
        <f t="shared" si="16"/>
        <v>9353.8919999999998</v>
      </c>
      <c r="BM10" s="800">
        <f t="shared" si="16"/>
        <v>2696.5819999999999</v>
      </c>
    </row>
    <row r="11" spans="1:65" s="26" customFormat="1" ht="24" customHeight="1">
      <c r="A11" s="37">
        <v>1</v>
      </c>
      <c r="B11" s="36" t="s">
        <v>309</v>
      </c>
      <c r="C11" s="35">
        <f>D11+G11</f>
        <v>55306.375759999995</v>
      </c>
      <c r="D11" s="35">
        <f t="shared" ref="D11:I11" si="17">D16+D31+D13+D27+D29+D22+D25</f>
        <v>35678.233</v>
      </c>
      <c r="E11" s="35">
        <f t="shared" si="17"/>
        <v>35678.233</v>
      </c>
      <c r="F11" s="35">
        <f t="shared" si="17"/>
        <v>0</v>
      </c>
      <c r="G11" s="35">
        <f t="shared" si="17"/>
        <v>19628.142759999999</v>
      </c>
      <c r="H11" s="35">
        <f t="shared" si="17"/>
        <v>15306.314186</v>
      </c>
      <c r="I11" s="35">
        <f t="shared" si="17"/>
        <v>4321.8285740000001</v>
      </c>
      <c r="J11" s="35">
        <f>K11+N11</f>
        <v>31104.920760000001</v>
      </c>
      <c r="K11" s="35">
        <f t="shared" ref="K11:P11" si="18">K16+K31+K13+K27+K29+K22+K25</f>
        <v>20801.13</v>
      </c>
      <c r="L11" s="35">
        <f t="shared" si="18"/>
        <v>20801.13</v>
      </c>
      <c r="M11" s="35">
        <f t="shared" si="18"/>
        <v>0</v>
      </c>
      <c r="N11" s="35">
        <f t="shared" si="18"/>
        <v>10303.79076</v>
      </c>
      <c r="O11" s="35">
        <f t="shared" si="18"/>
        <v>5981.9621860000007</v>
      </c>
      <c r="P11" s="35">
        <f t="shared" si="18"/>
        <v>4321.8285740000001</v>
      </c>
      <c r="Q11" s="35">
        <f>R11+U11</f>
        <v>0</v>
      </c>
      <c r="R11" s="35"/>
      <c r="S11" s="35"/>
      <c r="T11" s="35"/>
      <c r="U11" s="35"/>
      <c r="V11" s="35"/>
      <c r="W11" s="35"/>
      <c r="X11" s="35">
        <f>Y11+AB11</f>
        <v>0</v>
      </c>
      <c r="Y11" s="35"/>
      <c r="Z11" s="35"/>
      <c r="AA11" s="35"/>
      <c r="AB11" s="35"/>
      <c r="AC11" s="35"/>
      <c r="AD11" s="35"/>
      <c r="AE11" s="35">
        <f>AF11+AI11</f>
        <v>0</v>
      </c>
      <c r="AF11" s="35"/>
      <c r="AG11" s="35"/>
      <c r="AH11" s="35"/>
      <c r="AI11" s="35"/>
      <c r="AJ11" s="35"/>
      <c r="AK11" s="35"/>
      <c r="AL11" s="35">
        <f>AM11+AP11</f>
        <v>0</v>
      </c>
      <c r="AM11" s="35"/>
      <c r="AN11" s="35"/>
      <c r="AO11" s="35"/>
      <c r="AP11" s="35"/>
      <c r="AQ11" s="35"/>
      <c r="AR11" s="35"/>
      <c r="AS11" s="35">
        <f>AT11+AW11</f>
        <v>0</v>
      </c>
      <c r="AT11" s="35"/>
      <c r="AU11" s="35"/>
      <c r="AV11" s="35"/>
      <c r="AW11" s="35"/>
      <c r="AX11" s="35"/>
      <c r="AY11" s="35"/>
      <c r="AZ11" s="35">
        <f>BA11+BD11</f>
        <v>0</v>
      </c>
      <c r="BA11" s="35"/>
      <c r="BB11" s="35"/>
      <c r="BC11" s="35"/>
      <c r="BD11" s="35"/>
      <c r="BE11" s="35"/>
      <c r="BF11" s="35"/>
      <c r="BG11" s="35">
        <f>BH11+BK11</f>
        <v>24201.454999999998</v>
      </c>
      <c r="BH11" s="35">
        <f t="shared" ref="BH11:BM11" si="19">BH16+BH31+BH13+BH27+BH29+BH22+BH25</f>
        <v>14877.102999999999</v>
      </c>
      <c r="BI11" s="35">
        <f t="shared" si="19"/>
        <v>14877.102999999999</v>
      </c>
      <c r="BJ11" s="35">
        <f t="shared" si="19"/>
        <v>0</v>
      </c>
      <c r="BK11" s="35">
        <f t="shared" si="19"/>
        <v>9324.351999999999</v>
      </c>
      <c r="BL11" s="35">
        <f t="shared" si="19"/>
        <v>9324.351999999999</v>
      </c>
      <c r="BM11" s="35">
        <f t="shared" si="19"/>
        <v>0</v>
      </c>
    </row>
    <row r="12" spans="1:65" s="26" customFormat="1" ht="24" customHeight="1">
      <c r="A12" s="37" t="s">
        <v>308</v>
      </c>
      <c r="B12" s="36" t="s">
        <v>297</v>
      </c>
      <c r="C12" s="35">
        <f t="shared" ref="C12:P12" si="20">C13+C16</f>
        <v>41476.378186000002</v>
      </c>
      <c r="D12" s="35">
        <f t="shared" si="20"/>
        <v>35678.233</v>
      </c>
      <c r="E12" s="35">
        <f t="shared" si="20"/>
        <v>35678.233</v>
      </c>
      <c r="F12" s="35">
        <f t="shared" si="20"/>
        <v>0</v>
      </c>
      <c r="G12" s="35">
        <f t="shared" si="20"/>
        <v>5798.1451859999997</v>
      </c>
      <c r="H12" s="35">
        <f t="shared" si="20"/>
        <v>5798.1451859999997</v>
      </c>
      <c r="I12" s="35">
        <f t="shared" si="20"/>
        <v>0</v>
      </c>
      <c r="J12" s="35">
        <f t="shared" si="20"/>
        <v>24921.174186</v>
      </c>
      <c r="K12" s="35">
        <f t="shared" si="20"/>
        <v>20801.13</v>
      </c>
      <c r="L12" s="35">
        <f t="shared" si="20"/>
        <v>20801.13</v>
      </c>
      <c r="M12" s="35">
        <f t="shared" si="20"/>
        <v>0</v>
      </c>
      <c r="N12" s="35">
        <f t="shared" si="20"/>
        <v>4120.0441860000001</v>
      </c>
      <c r="O12" s="35">
        <f t="shared" si="20"/>
        <v>4120.0441860000001</v>
      </c>
      <c r="P12" s="35">
        <f t="shared" si="20"/>
        <v>0</v>
      </c>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f t="shared" ref="BG12:BM12" si="21">BG13+BG16</f>
        <v>16555.203999999998</v>
      </c>
      <c r="BH12" s="35">
        <f t="shared" si="21"/>
        <v>14877.102999999999</v>
      </c>
      <c r="BI12" s="35">
        <f t="shared" si="21"/>
        <v>14877.102999999999</v>
      </c>
      <c r="BJ12" s="35">
        <f t="shared" si="21"/>
        <v>0</v>
      </c>
      <c r="BK12" s="35">
        <f t="shared" si="21"/>
        <v>1678.1009999999999</v>
      </c>
      <c r="BL12" s="35">
        <f t="shared" si="21"/>
        <v>1678.1009999999999</v>
      </c>
      <c r="BM12" s="35">
        <f t="shared" si="21"/>
        <v>0</v>
      </c>
    </row>
    <row r="13" spans="1:65" s="32" customFormat="1" ht="29.25" customHeight="1">
      <c r="A13" s="34" t="s">
        <v>303</v>
      </c>
      <c r="B13" s="33" t="s">
        <v>307</v>
      </c>
      <c r="C13" s="29">
        <f>D13+G13</f>
        <v>5798.1451859999997</v>
      </c>
      <c r="D13" s="29"/>
      <c r="E13" s="29"/>
      <c r="F13" s="29"/>
      <c r="G13" s="29">
        <f>G14+G15</f>
        <v>5798.1451859999997</v>
      </c>
      <c r="H13" s="29">
        <f>H14+H15</f>
        <v>5798.1451859999997</v>
      </c>
      <c r="I13" s="29"/>
      <c r="J13" s="29">
        <f t="shared" ref="J13:J20" si="22">K13+N13</f>
        <v>4120.0441860000001</v>
      </c>
      <c r="K13" s="29"/>
      <c r="L13" s="29"/>
      <c r="M13" s="29"/>
      <c r="N13" s="29">
        <f>N14+N15</f>
        <v>4120.0441860000001</v>
      </c>
      <c r="O13" s="29">
        <f>O14+O15</f>
        <v>4120.0441860000001</v>
      </c>
      <c r="P13" s="29"/>
      <c r="Q13" s="29">
        <f t="shared" ref="Q13:Q20" si="23">R13+U13</f>
        <v>0</v>
      </c>
      <c r="R13" s="29"/>
      <c r="S13" s="29"/>
      <c r="T13" s="29"/>
      <c r="U13" s="29"/>
      <c r="V13" s="29"/>
      <c r="W13" s="29"/>
      <c r="X13" s="29">
        <f t="shared" ref="X13:X20" si="24">Y13+AB13</f>
        <v>0</v>
      </c>
      <c r="Y13" s="29"/>
      <c r="Z13" s="29"/>
      <c r="AA13" s="29"/>
      <c r="AB13" s="29"/>
      <c r="AC13" s="29"/>
      <c r="AD13" s="29"/>
      <c r="AE13" s="29">
        <f t="shared" ref="AE13:AE20" si="25">AF13+AI13</f>
        <v>0</v>
      </c>
      <c r="AF13" s="29"/>
      <c r="AG13" s="29"/>
      <c r="AH13" s="29"/>
      <c r="AI13" s="29"/>
      <c r="AJ13" s="29"/>
      <c r="AK13" s="29"/>
      <c r="AL13" s="29">
        <f t="shared" ref="AL13:AL20" si="26">AM13+AP13</f>
        <v>0</v>
      </c>
      <c r="AM13" s="29"/>
      <c r="AN13" s="29"/>
      <c r="AO13" s="29"/>
      <c r="AP13" s="29"/>
      <c r="AQ13" s="29"/>
      <c r="AR13" s="29"/>
      <c r="AS13" s="29">
        <f t="shared" ref="AS13:AS20" si="27">AT13+AW13</f>
        <v>0</v>
      </c>
      <c r="AT13" s="29"/>
      <c r="AU13" s="29"/>
      <c r="AV13" s="29"/>
      <c r="AW13" s="29"/>
      <c r="AX13" s="29"/>
      <c r="AY13" s="29"/>
      <c r="AZ13" s="29">
        <f t="shared" ref="AZ13:AZ20" si="28">BA13+BD13</f>
        <v>0</v>
      </c>
      <c r="BA13" s="29"/>
      <c r="BB13" s="29"/>
      <c r="BC13" s="29"/>
      <c r="BD13" s="29"/>
      <c r="BE13" s="29"/>
      <c r="BF13" s="29"/>
      <c r="BG13" s="29">
        <f t="shared" ref="BG13:BG20" si="29">BH13+BK13</f>
        <v>1678.1009999999999</v>
      </c>
      <c r="BH13" s="29"/>
      <c r="BI13" s="29"/>
      <c r="BJ13" s="29"/>
      <c r="BK13" s="29">
        <f>BK14+BK15</f>
        <v>1678.1009999999999</v>
      </c>
      <c r="BL13" s="29">
        <f>BL14+BL15</f>
        <v>1678.1009999999999</v>
      </c>
      <c r="BM13" s="29"/>
    </row>
    <row r="14" spans="1:65" s="32" customFormat="1" ht="24" customHeight="1">
      <c r="A14" s="34"/>
      <c r="B14" s="33" t="s">
        <v>253</v>
      </c>
      <c r="C14" s="29">
        <f t="shared" ref="C14:I15" si="30">J14+Q14+X14+AE14+AL14+AS14+AZ14+BG14</f>
        <v>2661.3791860000001</v>
      </c>
      <c r="D14" s="29">
        <f t="shared" si="30"/>
        <v>0</v>
      </c>
      <c r="E14" s="29">
        <f t="shared" si="30"/>
        <v>0</v>
      </c>
      <c r="F14" s="29">
        <f t="shared" si="30"/>
        <v>0</v>
      </c>
      <c r="G14" s="29">
        <f t="shared" si="30"/>
        <v>2661.3791860000001</v>
      </c>
      <c r="H14" s="29">
        <f t="shared" si="30"/>
        <v>2661.3791860000001</v>
      </c>
      <c r="I14" s="29">
        <f t="shared" si="30"/>
        <v>0</v>
      </c>
      <c r="J14" s="29">
        <f t="shared" si="22"/>
        <v>2215.0781860000002</v>
      </c>
      <c r="K14" s="29"/>
      <c r="L14" s="29"/>
      <c r="M14" s="29"/>
      <c r="N14" s="29">
        <v>2215.0781860000002</v>
      </c>
      <c r="O14" s="29">
        <f>N14</f>
        <v>2215.0781860000002</v>
      </c>
      <c r="P14" s="29"/>
      <c r="Q14" s="29">
        <f t="shared" si="23"/>
        <v>0</v>
      </c>
      <c r="R14" s="29"/>
      <c r="S14" s="29"/>
      <c r="T14" s="29"/>
      <c r="U14" s="29"/>
      <c r="V14" s="29"/>
      <c r="W14" s="29"/>
      <c r="X14" s="29">
        <f t="shared" si="24"/>
        <v>0</v>
      </c>
      <c r="Y14" s="29"/>
      <c r="Z14" s="29"/>
      <c r="AA14" s="29"/>
      <c r="AB14" s="29"/>
      <c r="AC14" s="29"/>
      <c r="AD14" s="29"/>
      <c r="AE14" s="29">
        <f t="shared" si="25"/>
        <v>0</v>
      </c>
      <c r="AF14" s="29"/>
      <c r="AG14" s="29"/>
      <c r="AH14" s="29"/>
      <c r="AI14" s="29"/>
      <c r="AJ14" s="29"/>
      <c r="AK14" s="29"/>
      <c r="AL14" s="29">
        <f t="shared" si="26"/>
        <v>0</v>
      </c>
      <c r="AM14" s="29"/>
      <c r="AN14" s="29"/>
      <c r="AO14" s="29"/>
      <c r="AP14" s="29"/>
      <c r="AQ14" s="29"/>
      <c r="AR14" s="29"/>
      <c r="AS14" s="29">
        <f t="shared" si="27"/>
        <v>0</v>
      </c>
      <c r="AT14" s="29"/>
      <c r="AU14" s="29"/>
      <c r="AV14" s="29"/>
      <c r="AW14" s="29"/>
      <c r="AX14" s="29"/>
      <c r="AY14" s="29"/>
      <c r="AZ14" s="29">
        <f t="shared" si="28"/>
        <v>0</v>
      </c>
      <c r="BA14" s="29"/>
      <c r="BB14" s="29"/>
      <c r="BC14" s="29"/>
      <c r="BD14" s="29"/>
      <c r="BE14" s="29"/>
      <c r="BF14" s="29"/>
      <c r="BG14" s="29">
        <f t="shared" si="29"/>
        <v>446.30099999999999</v>
      </c>
      <c r="BH14" s="29"/>
      <c r="BI14" s="29"/>
      <c r="BJ14" s="29"/>
      <c r="BK14" s="29">
        <v>446.30099999999999</v>
      </c>
      <c r="BL14" s="29">
        <f>BK14</f>
        <v>446.30099999999999</v>
      </c>
      <c r="BM14" s="29"/>
    </row>
    <row r="15" spans="1:65" s="32" customFormat="1" ht="24" customHeight="1">
      <c r="A15" s="34"/>
      <c r="B15" s="33" t="s">
        <v>258</v>
      </c>
      <c r="C15" s="29">
        <f t="shared" si="30"/>
        <v>3136.7659999999996</v>
      </c>
      <c r="D15" s="29">
        <f t="shared" si="30"/>
        <v>0</v>
      </c>
      <c r="E15" s="29">
        <f t="shared" si="30"/>
        <v>0</v>
      </c>
      <c r="F15" s="29">
        <f t="shared" si="30"/>
        <v>0</v>
      </c>
      <c r="G15" s="29">
        <f t="shared" si="30"/>
        <v>3136.7659999999996</v>
      </c>
      <c r="H15" s="29">
        <f t="shared" si="30"/>
        <v>3136.7659999999996</v>
      </c>
      <c r="I15" s="29">
        <f t="shared" si="30"/>
        <v>0</v>
      </c>
      <c r="J15" s="29">
        <f t="shared" si="22"/>
        <v>1904.9659999999999</v>
      </c>
      <c r="K15" s="29"/>
      <c r="L15" s="29"/>
      <c r="M15" s="29"/>
      <c r="N15" s="29">
        <v>1904.9659999999999</v>
      </c>
      <c r="O15" s="29">
        <f>N15</f>
        <v>1904.9659999999999</v>
      </c>
      <c r="P15" s="29"/>
      <c r="Q15" s="29">
        <f t="shared" si="23"/>
        <v>0</v>
      </c>
      <c r="R15" s="29"/>
      <c r="S15" s="29"/>
      <c r="T15" s="29"/>
      <c r="U15" s="29"/>
      <c r="V15" s="29"/>
      <c r="W15" s="29"/>
      <c r="X15" s="29">
        <f t="shared" si="24"/>
        <v>0</v>
      </c>
      <c r="Y15" s="29"/>
      <c r="Z15" s="29"/>
      <c r="AA15" s="29"/>
      <c r="AB15" s="29"/>
      <c r="AC15" s="29"/>
      <c r="AD15" s="29"/>
      <c r="AE15" s="29">
        <f t="shared" si="25"/>
        <v>0</v>
      </c>
      <c r="AF15" s="29"/>
      <c r="AG15" s="29"/>
      <c r="AH15" s="29"/>
      <c r="AI15" s="29"/>
      <c r="AJ15" s="29"/>
      <c r="AK15" s="29"/>
      <c r="AL15" s="29">
        <f t="shared" si="26"/>
        <v>0</v>
      </c>
      <c r="AM15" s="29"/>
      <c r="AN15" s="29"/>
      <c r="AO15" s="29"/>
      <c r="AP15" s="29"/>
      <c r="AQ15" s="29"/>
      <c r="AR15" s="29"/>
      <c r="AS15" s="29">
        <f t="shared" si="27"/>
        <v>0</v>
      </c>
      <c r="AT15" s="29"/>
      <c r="AU15" s="29"/>
      <c r="AV15" s="29"/>
      <c r="AW15" s="29"/>
      <c r="AX15" s="29"/>
      <c r="AY15" s="29"/>
      <c r="AZ15" s="29">
        <f t="shared" si="28"/>
        <v>0</v>
      </c>
      <c r="BA15" s="29"/>
      <c r="BB15" s="29"/>
      <c r="BC15" s="29"/>
      <c r="BD15" s="29"/>
      <c r="BE15" s="29"/>
      <c r="BF15" s="29"/>
      <c r="BG15" s="29">
        <f t="shared" si="29"/>
        <v>1231.8</v>
      </c>
      <c r="BH15" s="29"/>
      <c r="BI15" s="29"/>
      <c r="BJ15" s="29"/>
      <c r="BK15" s="29">
        <v>1231.8</v>
      </c>
      <c r="BL15" s="29">
        <f>BK15</f>
        <v>1231.8</v>
      </c>
      <c r="BM15" s="29"/>
    </row>
    <row r="16" spans="1:65" s="32" customFormat="1" ht="24" customHeight="1">
      <c r="A16" s="34" t="s">
        <v>287</v>
      </c>
      <c r="B16" s="33" t="s">
        <v>306</v>
      </c>
      <c r="C16" s="29">
        <f>D16+G16</f>
        <v>35678.233</v>
      </c>
      <c r="D16" s="814">
        <f>D19+D20</f>
        <v>35678.233</v>
      </c>
      <c r="E16" s="29">
        <f>E19+E20</f>
        <v>35678.233</v>
      </c>
      <c r="F16" s="29"/>
      <c r="G16" s="29"/>
      <c r="H16" s="29"/>
      <c r="I16" s="29"/>
      <c r="J16" s="29">
        <f t="shared" si="22"/>
        <v>20801.13</v>
      </c>
      <c r="K16" s="29">
        <f>K19+K20</f>
        <v>20801.13</v>
      </c>
      <c r="L16" s="29">
        <f>L19+L20</f>
        <v>20801.13</v>
      </c>
      <c r="M16" s="29"/>
      <c r="N16" s="29"/>
      <c r="O16" s="29"/>
      <c r="P16" s="29"/>
      <c r="Q16" s="29">
        <f t="shared" si="23"/>
        <v>0</v>
      </c>
      <c r="R16" s="29"/>
      <c r="S16" s="29"/>
      <c r="T16" s="29"/>
      <c r="U16" s="29"/>
      <c r="V16" s="29"/>
      <c r="W16" s="29"/>
      <c r="X16" s="29">
        <f t="shared" si="24"/>
        <v>0</v>
      </c>
      <c r="Y16" s="29"/>
      <c r="Z16" s="29"/>
      <c r="AA16" s="29"/>
      <c r="AB16" s="29"/>
      <c r="AC16" s="29"/>
      <c r="AD16" s="29"/>
      <c r="AE16" s="29">
        <f t="shared" si="25"/>
        <v>0</v>
      </c>
      <c r="AF16" s="29"/>
      <c r="AG16" s="29"/>
      <c r="AH16" s="29"/>
      <c r="AI16" s="29"/>
      <c r="AJ16" s="29"/>
      <c r="AK16" s="29"/>
      <c r="AL16" s="29">
        <f t="shared" si="26"/>
        <v>0</v>
      </c>
      <c r="AM16" s="29"/>
      <c r="AN16" s="29"/>
      <c r="AO16" s="29"/>
      <c r="AP16" s="29"/>
      <c r="AQ16" s="29"/>
      <c r="AR16" s="29"/>
      <c r="AS16" s="29">
        <f t="shared" si="27"/>
        <v>0</v>
      </c>
      <c r="AT16" s="29"/>
      <c r="AU16" s="29"/>
      <c r="AV16" s="29"/>
      <c r="AW16" s="29"/>
      <c r="AX16" s="29"/>
      <c r="AY16" s="29"/>
      <c r="AZ16" s="29">
        <f t="shared" si="28"/>
        <v>0</v>
      </c>
      <c r="BA16" s="29"/>
      <c r="BB16" s="29"/>
      <c r="BC16" s="29"/>
      <c r="BD16" s="29"/>
      <c r="BE16" s="29"/>
      <c r="BF16" s="29"/>
      <c r="BG16" s="29">
        <f t="shared" si="29"/>
        <v>14877.102999999999</v>
      </c>
      <c r="BH16" s="29">
        <f>BH19+BH20</f>
        <v>14877.102999999999</v>
      </c>
      <c r="BI16" s="29">
        <f>BI19+BI20</f>
        <v>14877.102999999999</v>
      </c>
      <c r="BJ16" s="29"/>
      <c r="BK16" s="29"/>
      <c r="BL16" s="29"/>
      <c r="BM16" s="29"/>
    </row>
    <row r="17" spans="1:65" s="32" customFormat="1" ht="24" hidden="1" customHeight="1">
      <c r="A17" s="34"/>
      <c r="B17" s="33" t="s">
        <v>255</v>
      </c>
      <c r="C17" s="29">
        <f>D17+G17</f>
        <v>0</v>
      </c>
      <c r="D17" s="29"/>
      <c r="E17" s="29"/>
      <c r="F17" s="29"/>
      <c r="G17" s="29"/>
      <c r="H17" s="29"/>
      <c r="I17" s="29"/>
      <c r="J17" s="29">
        <f t="shared" si="22"/>
        <v>0</v>
      </c>
      <c r="K17" s="29"/>
      <c r="L17" s="29"/>
      <c r="M17" s="29"/>
      <c r="N17" s="29"/>
      <c r="O17" s="29"/>
      <c r="P17" s="29"/>
      <c r="Q17" s="29">
        <f t="shared" si="23"/>
        <v>0</v>
      </c>
      <c r="R17" s="29"/>
      <c r="S17" s="29"/>
      <c r="T17" s="29"/>
      <c r="U17" s="29"/>
      <c r="V17" s="29"/>
      <c r="W17" s="29"/>
      <c r="X17" s="29">
        <f t="shared" si="24"/>
        <v>0</v>
      </c>
      <c r="Y17" s="29"/>
      <c r="Z17" s="29"/>
      <c r="AA17" s="29"/>
      <c r="AB17" s="29"/>
      <c r="AC17" s="29"/>
      <c r="AD17" s="29"/>
      <c r="AE17" s="29">
        <f t="shared" si="25"/>
        <v>0</v>
      </c>
      <c r="AF17" s="29"/>
      <c r="AG17" s="29"/>
      <c r="AH17" s="29"/>
      <c r="AI17" s="29"/>
      <c r="AJ17" s="29"/>
      <c r="AK17" s="29"/>
      <c r="AL17" s="29">
        <f t="shared" si="26"/>
        <v>0</v>
      </c>
      <c r="AM17" s="29"/>
      <c r="AN17" s="29"/>
      <c r="AO17" s="29"/>
      <c r="AP17" s="29"/>
      <c r="AQ17" s="29"/>
      <c r="AR17" s="29"/>
      <c r="AS17" s="29">
        <f t="shared" si="27"/>
        <v>0</v>
      </c>
      <c r="AT17" s="29"/>
      <c r="AU17" s="29"/>
      <c r="AV17" s="29"/>
      <c r="AW17" s="29"/>
      <c r="AX17" s="29"/>
      <c r="AY17" s="29"/>
      <c r="AZ17" s="29">
        <f t="shared" si="28"/>
        <v>0</v>
      </c>
      <c r="BA17" s="29"/>
      <c r="BB17" s="29"/>
      <c r="BC17" s="29"/>
      <c r="BD17" s="29"/>
      <c r="BE17" s="29"/>
      <c r="BF17" s="29"/>
      <c r="BG17" s="29">
        <f t="shared" si="29"/>
        <v>0</v>
      </c>
      <c r="BH17" s="29"/>
      <c r="BI17" s="29"/>
      <c r="BJ17" s="29"/>
      <c r="BK17" s="29"/>
      <c r="BL17" s="29"/>
      <c r="BM17" s="29"/>
    </row>
    <row r="18" spans="1:65" s="32" customFormat="1" ht="24" customHeight="1">
      <c r="A18" s="34"/>
      <c r="B18" s="33" t="s">
        <v>254</v>
      </c>
      <c r="C18" s="29">
        <f t="shared" ref="C18:I20" si="31">J18+Q18+X18+AE18+AL18+AS18+AZ18+BG18</f>
        <v>0</v>
      </c>
      <c r="D18" s="29">
        <f t="shared" si="31"/>
        <v>0</v>
      </c>
      <c r="E18" s="29">
        <f t="shared" si="31"/>
        <v>0</v>
      </c>
      <c r="F18" s="29">
        <f t="shared" si="31"/>
        <v>0</v>
      </c>
      <c r="G18" s="29">
        <f t="shared" si="31"/>
        <v>0</v>
      </c>
      <c r="H18" s="29">
        <f t="shared" si="31"/>
        <v>0</v>
      </c>
      <c r="I18" s="29">
        <f t="shared" si="31"/>
        <v>0</v>
      </c>
      <c r="J18" s="29">
        <f t="shared" si="22"/>
        <v>0</v>
      </c>
      <c r="K18" s="29"/>
      <c r="L18" s="29"/>
      <c r="M18" s="29"/>
      <c r="N18" s="29"/>
      <c r="O18" s="29"/>
      <c r="P18" s="29"/>
      <c r="Q18" s="29">
        <f t="shared" si="23"/>
        <v>0</v>
      </c>
      <c r="R18" s="29"/>
      <c r="S18" s="29"/>
      <c r="T18" s="29"/>
      <c r="U18" s="29"/>
      <c r="V18" s="29"/>
      <c r="W18" s="29"/>
      <c r="X18" s="29">
        <f t="shared" si="24"/>
        <v>0</v>
      </c>
      <c r="Y18" s="29"/>
      <c r="Z18" s="29"/>
      <c r="AA18" s="29"/>
      <c r="AB18" s="29"/>
      <c r="AC18" s="29"/>
      <c r="AD18" s="29"/>
      <c r="AE18" s="29">
        <f t="shared" si="25"/>
        <v>0</v>
      </c>
      <c r="AF18" s="29"/>
      <c r="AG18" s="29"/>
      <c r="AH18" s="29"/>
      <c r="AI18" s="29"/>
      <c r="AJ18" s="29"/>
      <c r="AK18" s="29"/>
      <c r="AL18" s="29">
        <f t="shared" si="26"/>
        <v>0</v>
      </c>
      <c r="AM18" s="29"/>
      <c r="AN18" s="29"/>
      <c r="AO18" s="29"/>
      <c r="AP18" s="29"/>
      <c r="AQ18" s="29"/>
      <c r="AR18" s="29"/>
      <c r="AS18" s="29">
        <f t="shared" si="27"/>
        <v>0</v>
      </c>
      <c r="AT18" s="29"/>
      <c r="AU18" s="29"/>
      <c r="AV18" s="29"/>
      <c r="AW18" s="29"/>
      <c r="AX18" s="29"/>
      <c r="AY18" s="29"/>
      <c r="AZ18" s="29">
        <f t="shared" si="28"/>
        <v>0</v>
      </c>
      <c r="BA18" s="29"/>
      <c r="BB18" s="29"/>
      <c r="BC18" s="29"/>
      <c r="BD18" s="29"/>
      <c r="BE18" s="29"/>
      <c r="BF18" s="29"/>
      <c r="BG18" s="29">
        <f t="shared" si="29"/>
        <v>0</v>
      </c>
      <c r="BH18" s="29"/>
      <c r="BI18" s="29"/>
      <c r="BJ18" s="29"/>
      <c r="BK18" s="29"/>
      <c r="BL18" s="29"/>
      <c r="BM18" s="29"/>
    </row>
    <row r="19" spans="1:65" s="32" customFormat="1" ht="24" customHeight="1">
      <c r="A19" s="34"/>
      <c r="B19" s="33" t="s">
        <v>253</v>
      </c>
      <c r="C19" s="29">
        <f t="shared" si="31"/>
        <v>14426.668000000001</v>
      </c>
      <c r="D19" s="29">
        <f t="shared" si="31"/>
        <v>14426.668000000001</v>
      </c>
      <c r="E19" s="29">
        <f t="shared" si="31"/>
        <v>14426.668000000001</v>
      </c>
      <c r="F19" s="29">
        <f t="shared" si="31"/>
        <v>0</v>
      </c>
      <c r="G19" s="29">
        <f t="shared" si="31"/>
        <v>0</v>
      </c>
      <c r="H19" s="29">
        <f t="shared" si="31"/>
        <v>0</v>
      </c>
      <c r="I19" s="29">
        <f t="shared" si="31"/>
        <v>0</v>
      </c>
      <c r="J19" s="29">
        <f t="shared" si="22"/>
        <v>6435.5870000000004</v>
      </c>
      <c r="K19" s="29">
        <v>6435.5870000000004</v>
      </c>
      <c r="L19" s="29">
        <f>K19</f>
        <v>6435.5870000000004</v>
      </c>
      <c r="M19" s="29"/>
      <c r="N19" s="29"/>
      <c r="O19" s="29"/>
      <c r="P19" s="29"/>
      <c r="Q19" s="29">
        <f t="shared" si="23"/>
        <v>0</v>
      </c>
      <c r="R19" s="29"/>
      <c r="S19" s="29"/>
      <c r="T19" s="29"/>
      <c r="U19" s="29"/>
      <c r="V19" s="29"/>
      <c r="W19" s="29"/>
      <c r="X19" s="29">
        <f t="shared" si="24"/>
        <v>0</v>
      </c>
      <c r="Y19" s="29"/>
      <c r="Z19" s="29"/>
      <c r="AA19" s="29"/>
      <c r="AB19" s="29"/>
      <c r="AC19" s="29"/>
      <c r="AD19" s="29"/>
      <c r="AE19" s="29">
        <f t="shared" si="25"/>
        <v>0</v>
      </c>
      <c r="AF19" s="29"/>
      <c r="AG19" s="29"/>
      <c r="AH19" s="29"/>
      <c r="AI19" s="29"/>
      <c r="AJ19" s="29"/>
      <c r="AK19" s="29"/>
      <c r="AL19" s="29">
        <f t="shared" si="26"/>
        <v>0</v>
      </c>
      <c r="AM19" s="29"/>
      <c r="AN19" s="29"/>
      <c r="AO19" s="29"/>
      <c r="AP19" s="29"/>
      <c r="AQ19" s="29"/>
      <c r="AR19" s="29"/>
      <c r="AS19" s="29">
        <f t="shared" si="27"/>
        <v>0</v>
      </c>
      <c r="AT19" s="29"/>
      <c r="AU19" s="29"/>
      <c r="AV19" s="29"/>
      <c r="AW19" s="29"/>
      <c r="AX19" s="29"/>
      <c r="AY19" s="29"/>
      <c r="AZ19" s="29">
        <f t="shared" si="28"/>
        <v>0</v>
      </c>
      <c r="BA19" s="29"/>
      <c r="BB19" s="29"/>
      <c r="BC19" s="29"/>
      <c r="BD19" s="29"/>
      <c r="BE19" s="29"/>
      <c r="BF19" s="29"/>
      <c r="BG19" s="29">
        <f t="shared" si="29"/>
        <v>7991.0810000000001</v>
      </c>
      <c r="BH19" s="29">
        <v>7991.0810000000001</v>
      </c>
      <c r="BI19" s="29">
        <f>BH19</f>
        <v>7991.0810000000001</v>
      </c>
      <c r="BJ19" s="29"/>
      <c r="BK19" s="29"/>
      <c r="BL19" s="29"/>
      <c r="BM19" s="29"/>
    </row>
    <row r="20" spans="1:65" s="32" customFormat="1" ht="24" customHeight="1">
      <c r="A20" s="34"/>
      <c r="B20" s="33" t="s">
        <v>258</v>
      </c>
      <c r="C20" s="29">
        <f t="shared" si="31"/>
        <v>21251.564999999999</v>
      </c>
      <c r="D20" s="29">
        <f t="shared" si="31"/>
        <v>21251.564999999999</v>
      </c>
      <c r="E20" s="29">
        <f t="shared" si="31"/>
        <v>21251.564999999999</v>
      </c>
      <c r="F20" s="29">
        <f t="shared" si="31"/>
        <v>0</v>
      </c>
      <c r="G20" s="29">
        <f t="shared" si="31"/>
        <v>0</v>
      </c>
      <c r="H20" s="29">
        <f t="shared" si="31"/>
        <v>0</v>
      </c>
      <c r="I20" s="29">
        <f t="shared" si="31"/>
        <v>0</v>
      </c>
      <c r="J20" s="29">
        <f t="shared" si="22"/>
        <v>14365.543</v>
      </c>
      <c r="K20" s="29">
        <v>14365.543</v>
      </c>
      <c r="L20" s="29">
        <f>K20</f>
        <v>14365.543</v>
      </c>
      <c r="M20" s="29"/>
      <c r="N20" s="29"/>
      <c r="O20" s="29"/>
      <c r="P20" s="29"/>
      <c r="Q20" s="29">
        <f t="shared" si="23"/>
        <v>0</v>
      </c>
      <c r="R20" s="29"/>
      <c r="S20" s="29"/>
      <c r="T20" s="29"/>
      <c r="U20" s="29"/>
      <c r="V20" s="29"/>
      <c r="W20" s="29"/>
      <c r="X20" s="29">
        <f t="shared" si="24"/>
        <v>0</v>
      </c>
      <c r="Y20" s="29"/>
      <c r="Z20" s="29"/>
      <c r="AA20" s="29"/>
      <c r="AB20" s="29"/>
      <c r="AC20" s="29"/>
      <c r="AD20" s="29"/>
      <c r="AE20" s="29">
        <f t="shared" si="25"/>
        <v>0</v>
      </c>
      <c r="AF20" s="29"/>
      <c r="AG20" s="29"/>
      <c r="AH20" s="29"/>
      <c r="AI20" s="29"/>
      <c r="AJ20" s="29"/>
      <c r="AK20" s="29"/>
      <c r="AL20" s="29">
        <f t="shared" si="26"/>
        <v>0</v>
      </c>
      <c r="AM20" s="29"/>
      <c r="AN20" s="29"/>
      <c r="AO20" s="29"/>
      <c r="AP20" s="29"/>
      <c r="AQ20" s="29"/>
      <c r="AR20" s="29"/>
      <c r="AS20" s="29">
        <f t="shared" si="27"/>
        <v>0</v>
      </c>
      <c r="AT20" s="29"/>
      <c r="AU20" s="29"/>
      <c r="AV20" s="29"/>
      <c r="AW20" s="29"/>
      <c r="AX20" s="29"/>
      <c r="AY20" s="29"/>
      <c r="AZ20" s="29">
        <f t="shared" si="28"/>
        <v>0</v>
      </c>
      <c r="BA20" s="29"/>
      <c r="BB20" s="29"/>
      <c r="BC20" s="29"/>
      <c r="BD20" s="29"/>
      <c r="BE20" s="29"/>
      <c r="BF20" s="29"/>
      <c r="BG20" s="29">
        <f t="shared" si="29"/>
        <v>6886.0219999999999</v>
      </c>
      <c r="BH20" s="29">
        <v>6886.0219999999999</v>
      </c>
      <c r="BI20" s="29">
        <f>BH20</f>
        <v>6886.0219999999999</v>
      </c>
      <c r="BJ20" s="29"/>
      <c r="BK20" s="29"/>
      <c r="BL20" s="29"/>
      <c r="BM20" s="29"/>
    </row>
    <row r="21" spans="1:65" s="26" customFormat="1" ht="41.25" customHeight="1">
      <c r="A21" s="37" t="s">
        <v>305</v>
      </c>
      <c r="B21" s="36" t="s">
        <v>304</v>
      </c>
      <c r="C21" s="35">
        <f t="shared" ref="C21:P21" si="32">C22+C25+C27+C29</f>
        <v>13557.721573999999</v>
      </c>
      <c r="D21" s="35">
        <f t="shared" si="32"/>
        <v>0</v>
      </c>
      <c r="E21" s="35">
        <f t="shared" si="32"/>
        <v>0</v>
      </c>
      <c r="F21" s="35">
        <f t="shared" si="32"/>
        <v>0</v>
      </c>
      <c r="G21" s="35">
        <f t="shared" si="32"/>
        <v>13557.721573999999</v>
      </c>
      <c r="H21" s="35">
        <f t="shared" si="32"/>
        <v>9235.893</v>
      </c>
      <c r="I21" s="35">
        <f t="shared" si="32"/>
        <v>4321.8285740000001</v>
      </c>
      <c r="J21" s="35">
        <f t="shared" si="32"/>
        <v>6093.8205740000003</v>
      </c>
      <c r="K21" s="35">
        <f t="shared" si="32"/>
        <v>0</v>
      </c>
      <c r="L21" s="35">
        <f t="shared" si="32"/>
        <v>0</v>
      </c>
      <c r="M21" s="35">
        <f t="shared" si="32"/>
        <v>0</v>
      </c>
      <c r="N21" s="35">
        <f t="shared" si="32"/>
        <v>6093.8205740000003</v>
      </c>
      <c r="O21" s="35">
        <f t="shared" si="32"/>
        <v>1771.992</v>
      </c>
      <c r="P21" s="35">
        <f t="shared" si="32"/>
        <v>4321.8285740000001</v>
      </c>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f t="shared" ref="BG21:BM21" si="33">BG22+BG25+BG27+BG29</f>
        <v>7463.9009999999998</v>
      </c>
      <c r="BH21" s="35">
        <f t="shared" si="33"/>
        <v>0</v>
      </c>
      <c r="BI21" s="35">
        <f t="shared" si="33"/>
        <v>0</v>
      </c>
      <c r="BJ21" s="35">
        <f t="shared" si="33"/>
        <v>0</v>
      </c>
      <c r="BK21" s="35">
        <f t="shared" si="33"/>
        <v>7463.9009999999998</v>
      </c>
      <c r="BL21" s="35">
        <f t="shared" si="33"/>
        <v>7463.9009999999998</v>
      </c>
      <c r="BM21" s="35">
        <f t="shared" si="33"/>
        <v>0</v>
      </c>
    </row>
    <row r="22" spans="1:65" s="32" customFormat="1" ht="24" customHeight="1">
      <c r="A22" s="34" t="s">
        <v>303</v>
      </c>
      <c r="B22" s="33" t="s">
        <v>292</v>
      </c>
      <c r="C22" s="29">
        <f>D22+G22</f>
        <v>9343.7395739999993</v>
      </c>
      <c r="D22" s="29"/>
      <c r="E22" s="29"/>
      <c r="F22" s="29"/>
      <c r="G22" s="29">
        <f>G23+G24</f>
        <v>9343.7395739999993</v>
      </c>
      <c r="H22" s="29">
        <f>H23+H24</f>
        <v>5281.9110000000001</v>
      </c>
      <c r="I22" s="29">
        <f>I23+I24</f>
        <v>4061.8285740000001</v>
      </c>
      <c r="J22" s="29">
        <f t="shared" ref="J22:J33" si="34">K22+N22</f>
        <v>4528.5485740000004</v>
      </c>
      <c r="K22" s="29"/>
      <c r="L22" s="29"/>
      <c r="M22" s="29"/>
      <c r="N22" s="29">
        <f>N23+N24</f>
        <v>4528.5485740000004</v>
      </c>
      <c r="O22" s="29">
        <f>O23+O24</f>
        <v>466.72</v>
      </c>
      <c r="P22" s="29">
        <f>P23+P24</f>
        <v>4061.8285740000001</v>
      </c>
      <c r="Q22" s="29">
        <f t="shared" ref="Q22:Q33" si="35">R22+U22</f>
        <v>0</v>
      </c>
      <c r="R22" s="29"/>
      <c r="S22" s="29"/>
      <c r="T22" s="29"/>
      <c r="U22" s="29"/>
      <c r="V22" s="29"/>
      <c r="W22" s="29"/>
      <c r="X22" s="29">
        <f t="shared" ref="X22:X33" si="36">Y22+AB22</f>
        <v>0</v>
      </c>
      <c r="Y22" s="29"/>
      <c r="Z22" s="29"/>
      <c r="AA22" s="29"/>
      <c r="AB22" s="29"/>
      <c r="AC22" s="29"/>
      <c r="AD22" s="29"/>
      <c r="AE22" s="29">
        <f t="shared" ref="AE22:AE33" si="37">AF22+AI22</f>
        <v>0</v>
      </c>
      <c r="AF22" s="29"/>
      <c r="AG22" s="29"/>
      <c r="AH22" s="29"/>
      <c r="AI22" s="29"/>
      <c r="AJ22" s="29"/>
      <c r="AK22" s="29"/>
      <c r="AL22" s="29">
        <f t="shared" ref="AL22:AL33" si="38">AM22+AP22</f>
        <v>0</v>
      </c>
      <c r="AM22" s="29"/>
      <c r="AN22" s="29"/>
      <c r="AO22" s="29"/>
      <c r="AP22" s="29"/>
      <c r="AQ22" s="29"/>
      <c r="AR22" s="29"/>
      <c r="AS22" s="29">
        <f t="shared" ref="AS22:AS33" si="39">AT22+AW22</f>
        <v>0</v>
      </c>
      <c r="AT22" s="29"/>
      <c r="AU22" s="29"/>
      <c r="AV22" s="29"/>
      <c r="AW22" s="29"/>
      <c r="AX22" s="29"/>
      <c r="AY22" s="29"/>
      <c r="AZ22" s="29">
        <f t="shared" ref="AZ22:AZ33" si="40">BA22+BD22</f>
        <v>0</v>
      </c>
      <c r="BA22" s="29"/>
      <c r="BB22" s="29"/>
      <c r="BC22" s="29"/>
      <c r="BD22" s="29"/>
      <c r="BE22" s="29"/>
      <c r="BF22" s="29"/>
      <c r="BG22" s="29">
        <f t="shared" ref="BG22:BG33" si="41">BH22+BK22</f>
        <v>4815.1909999999998</v>
      </c>
      <c r="BH22" s="29"/>
      <c r="BI22" s="29"/>
      <c r="BJ22" s="29"/>
      <c r="BK22" s="29">
        <f>BK23+BK24</f>
        <v>4815.1909999999998</v>
      </c>
      <c r="BL22" s="29">
        <f>BL23+BL24</f>
        <v>4815.1909999999998</v>
      </c>
      <c r="BM22" s="29"/>
    </row>
    <row r="23" spans="1:65" s="32" customFormat="1" ht="24" customHeight="1">
      <c r="A23" s="34"/>
      <c r="B23" s="33" t="s">
        <v>253</v>
      </c>
      <c r="C23" s="29">
        <f t="shared" ref="C23:I24" si="42">J23+Q23+X23+AE23+AL23+AS23+AZ23+BG23</f>
        <v>1442.72</v>
      </c>
      <c r="D23" s="29">
        <f t="shared" si="42"/>
        <v>0</v>
      </c>
      <c r="E23" s="29">
        <f t="shared" si="42"/>
        <v>0</v>
      </c>
      <c r="F23" s="29">
        <f t="shared" si="42"/>
        <v>0</v>
      </c>
      <c r="G23" s="29">
        <f t="shared" si="42"/>
        <v>1442.72</v>
      </c>
      <c r="H23" s="29">
        <f t="shared" si="42"/>
        <v>1442.72</v>
      </c>
      <c r="I23" s="29">
        <f t="shared" si="42"/>
        <v>0</v>
      </c>
      <c r="J23" s="29">
        <f t="shared" si="34"/>
        <v>466.72</v>
      </c>
      <c r="K23" s="29"/>
      <c r="L23" s="29"/>
      <c r="M23" s="29"/>
      <c r="N23" s="29">
        <f>O23</f>
        <v>466.72</v>
      </c>
      <c r="O23" s="29">
        <v>466.72</v>
      </c>
      <c r="P23" s="29"/>
      <c r="Q23" s="29">
        <f t="shared" si="35"/>
        <v>0</v>
      </c>
      <c r="R23" s="29"/>
      <c r="S23" s="29"/>
      <c r="T23" s="29"/>
      <c r="U23" s="29"/>
      <c r="V23" s="29"/>
      <c r="W23" s="29"/>
      <c r="X23" s="29">
        <f t="shared" si="36"/>
        <v>0</v>
      </c>
      <c r="Y23" s="29"/>
      <c r="Z23" s="29"/>
      <c r="AA23" s="29"/>
      <c r="AB23" s="29"/>
      <c r="AC23" s="29"/>
      <c r="AD23" s="29"/>
      <c r="AE23" s="29">
        <f t="shared" si="37"/>
        <v>0</v>
      </c>
      <c r="AF23" s="29"/>
      <c r="AG23" s="29"/>
      <c r="AH23" s="29"/>
      <c r="AI23" s="29"/>
      <c r="AJ23" s="29"/>
      <c r="AK23" s="29"/>
      <c r="AL23" s="29">
        <f t="shared" si="38"/>
        <v>0</v>
      </c>
      <c r="AM23" s="29"/>
      <c r="AN23" s="29"/>
      <c r="AO23" s="29"/>
      <c r="AP23" s="29"/>
      <c r="AQ23" s="29"/>
      <c r="AR23" s="29"/>
      <c r="AS23" s="29">
        <f t="shared" si="39"/>
        <v>0</v>
      </c>
      <c r="AT23" s="29"/>
      <c r="AU23" s="29"/>
      <c r="AV23" s="29"/>
      <c r="AW23" s="29"/>
      <c r="AX23" s="29"/>
      <c r="AY23" s="29"/>
      <c r="AZ23" s="29">
        <f t="shared" si="40"/>
        <v>0</v>
      </c>
      <c r="BA23" s="29"/>
      <c r="BB23" s="29"/>
      <c r="BC23" s="29"/>
      <c r="BD23" s="29"/>
      <c r="BE23" s="29"/>
      <c r="BF23" s="29"/>
      <c r="BG23" s="29">
        <f t="shared" si="41"/>
        <v>976</v>
      </c>
      <c r="BH23" s="29"/>
      <c r="BI23" s="29"/>
      <c r="BJ23" s="29"/>
      <c r="BK23" s="29">
        <v>976</v>
      </c>
      <c r="BL23" s="29">
        <f>BK23</f>
        <v>976</v>
      </c>
      <c r="BM23" s="29"/>
    </row>
    <row r="24" spans="1:65" s="32" customFormat="1" ht="24" customHeight="1">
      <c r="A24" s="34"/>
      <c r="B24" s="33" t="s">
        <v>258</v>
      </c>
      <c r="C24" s="29">
        <f t="shared" si="42"/>
        <v>7901.0195739999999</v>
      </c>
      <c r="D24" s="29">
        <f t="shared" si="42"/>
        <v>0</v>
      </c>
      <c r="E24" s="29">
        <f t="shared" si="42"/>
        <v>0</v>
      </c>
      <c r="F24" s="29">
        <f t="shared" si="42"/>
        <v>0</v>
      </c>
      <c r="G24" s="29">
        <f t="shared" si="42"/>
        <v>7901.0195739999999</v>
      </c>
      <c r="H24" s="29">
        <f t="shared" si="42"/>
        <v>3839.1909999999998</v>
      </c>
      <c r="I24" s="29">
        <f t="shared" si="42"/>
        <v>4061.8285740000001</v>
      </c>
      <c r="J24" s="29">
        <f t="shared" si="34"/>
        <v>4061.8285740000001</v>
      </c>
      <c r="K24" s="29"/>
      <c r="L24" s="29"/>
      <c r="M24" s="29"/>
      <c r="N24" s="29">
        <f>P24</f>
        <v>4061.8285740000001</v>
      </c>
      <c r="O24" s="29"/>
      <c r="P24" s="29">
        <v>4061.8285740000001</v>
      </c>
      <c r="Q24" s="29">
        <f t="shared" si="35"/>
        <v>0</v>
      </c>
      <c r="R24" s="29"/>
      <c r="S24" s="29"/>
      <c r="T24" s="29"/>
      <c r="U24" s="29"/>
      <c r="V24" s="29"/>
      <c r="W24" s="29"/>
      <c r="X24" s="29">
        <f t="shared" si="36"/>
        <v>0</v>
      </c>
      <c r="Y24" s="29"/>
      <c r="Z24" s="29"/>
      <c r="AA24" s="29"/>
      <c r="AB24" s="29"/>
      <c r="AC24" s="29"/>
      <c r="AD24" s="29"/>
      <c r="AE24" s="29">
        <f t="shared" si="37"/>
        <v>0</v>
      </c>
      <c r="AF24" s="29"/>
      <c r="AG24" s="29"/>
      <c r="AH24" s="29"/>
      <c r="AI24" s="29"/>
      <c r="AJ24" s="29"/>
      <c r="AK24" s="29"/>
      <c r="AL24" s="29">
        <f t="shared" si="38"/>
        <v>0</v>
      </c>
      <c r="AM24" s="29"/>
      <c r="AN24" s="29"/>
      <c r="AO24" s="29"/>
      <c r="AP24" s="29"/>
      <c r="AQ24" s="29"/>
      <c r="AR24" s="29"/>
      <c r="AS24" s="29">
        <f t="shared" si="39"/>
        <v>0</v>
      </c>
      <c r="AT24" s="29"/>
      <c r="AU24" s="29"/>
      <c r="AV24" s="29"/>
      <c r="AW24" s="29"/>
      <c r="AX24" s="29"/>
      <c r="AY24" s="29"/>
      <c r="AZ24" s="29">
        <f t="shared" si="40"/>
        <v>0</v>
      </c>
      <c r="BA24" s="29"/>
      <c r="BB24" s="29"/>
      <c r="BC24" s="29"/>
      <c r="BD24" s="29"/>
      <c r="BE24" s="29"/>
      <c r="BF24" s="29"/>
      <c r="BG24" s="29">
        <f t="shared" si="41"/>
        <v>3839.1909999999998</v>
      </c>
      <c r="BH24" s="29"/>
      <c r="BI24" s="29"/>
      <c r="BJ24" s="29"/>
      <c r="BK24" s="29">
        <v>3839.1909999999998</v>
      </c>
      <c r="BL24" s="29">
        <f>BK24</f>
        <v>3839.1909999999998</v>
      </c>
      <c r="BM24" s="29"/>
    </row>
    <row r="25" spans="1:65" s="32" customFormat="1" ht="24" customHeight="1">
      <c r="A25" s="34" t="s">
        <v>287</v>
      </c>
      <c r="B25" s="33" t="s">
        <v>289</v>
      </c>
      <c r="C25" s="29">
        <f>D25+G25</f>
        <v>499.92500000000001</v>
      </c>
      <c r="D25" s="29"/>
      <c r="E25" s="29"/>
      <c r="F25" s="29"/>
      <c r="G25" s="29">
        <f>G26</f>
        <v>499.92500000000001</v>
      </c>
      <c r="H25" s="29">
        <f>H26</f>
        <v>239.92500000000001</v>
      </c>
      <c r="I25" s="29">
        <f>I26</f>
        <v>260</v>
      </c>
      <c r="J25" s="29">
        <f t="shared" si="34"/>
        <v>260</v>
      </c>
      <c r="K25" s="29"/>
      <c r="L25" s="29"/>
      <c r="M25" s="29"/>
      <c r="N25" s="29">
        <f>N26</f>
        <v>260</v>
      </c>
      <c r="O25" s="29">
        <f>O26</f>
        <v>0</v>
      </c>
      <c r="P25" s="29">
        <f>P26</f>
        <v>260</v>
      </c>
      <c r="Q25" s="29">
        <f t="shared" si="35"/>
        <v>0</v>
      </c>
      <c r="R25" s="29"/>
      <c r="S25" s="29"/>
      <c r="T25" s="29"/>
      <c r="U25" s="29"/>
      <c r="V25" s="29"/>
      <c r="W25" s="29"/>
      <c r="X25" s="29">
        <f t="shared" si="36"/>
        <v>0</v>
      </c>
      <c r="Y25" s="29"/>
      <c r="Z25" s="29"/>
      <c r="AA25" s="29"/>
      <c r="AB25" s="29"/>
      <c r="AC25" s="29"/>
      <c r="AD25" s="29"/>
      <c r="AE25" s="29">
        <f t="shared" si="37"/>
        <v>0</v>
      </c>
      <c r="AF25" s="29"/>
      <c r="AG25" s="29"/>
      <c r="AH25" s="29"/>
      <c r="AI25" s="29"/>
      <c r="AJ25" s="29"/>
      <c r="AK25" s="29"/>
      <c r="AL25" s="29">
        <f t="shared" si="38"/>
        <v>0</v>
      </c>
      <c r="AM25" s="29"/>
      <c r="AN25" s="29"/>
      <c r="AO25" s="29"/>
      <c r="AP25" s="29"/>
      <c r="AQ25" s="29"/>
      <c r="AR25" s="29"/>
      <c r="AS25" s="29">
        <f t="shared" si="39"/>
        <v>0</v>
      </c>
      <c r="AT25" s="29"/>
      <c r="AU25" s="29"/>
      <c r="AV25" s="29"/>
      <c r="AW25" s="29"/>
      <c r="AX25" s="29"/>
      <c r="AY25" s="29"/>
      <c r="AZ25" s="29">
        <f t="shared" si="40"/>
        <v>0</v>
      </c>
      <c r="BA25" s="29"/>
      <c r="BB25" s="29"/>
      <c r="BC25" s="29"/>
      <c r="BD25" s="29"/>
      <c r="BE25" s="29"/>
      <c r="BF25" s="29"/>
      <c r="BG25" s="29">
        <f t="shared" si="41"/>
        <v>239.92500000000001</v>
      </c>
      <c r="BH25" s="29"/>
      <c r="BI25" s="29"/>
      <c r="BJ25" s="29"/>
      <c r="BK25" s="29">
        <f>BK26</f>
        <v>239.92500000000001</v>
      </c>
      <c r="BL25" s="29">
        <f>BL26</f>
        <v>239.92500000000001</v>
      </c>
      <c r="BM25" s="29"/>
    </row>
    <row r="26" spans="1:65" s="32" customFormat="1" ht="24" customHeight="1">
      <c r="A26" s="34"/>
      <c r="B26" s="33" t="s">
        <v>258</v>
      </c>
      <c r="C26" s="29">
        <f t="shared" ref="C26:I26" si="43">J26+Q26+X26+AE26+AL26+AS26+AZ26+BG26</f>
        <v>499.92500000000001</v>
      </c>
      <c r="D26" s="29">
        <f t="shared" si="43"/>
        <v>0</v>
      </c>
      <c r="E26" s="29">
        <f t="shared" si="43"/>
        <v>0</v>
      </c>
      <c r="F26" s="29">
        <f t="shared" si="43"/>
        <v>0</v>
      </c>
      <c r="G26" s="29">
        <f t="shared" si="43"/>
        <v>499.92500000000001</v>
      </c>
      <c r="H26" s="29">
        <f t="shared" si="43"/>
        <v>239.92500000000001</v>
      </c>
      <c r="I26" s="29">
        <f t="shared" si="43"/>
        <v>260</v>
      </c>
      <c r="J26" s="29">
        <f t="shared" si="34"/>
        <v>260</v>
      </c>
      <c r="K26" s="29"/>
      <c r="L26" s="29"/>
      <c r="M26" s="29"/>
      <c r="N26" s="29">
        <v>260</v>
      </c>
      <c r="O26" s="29"/>
      <c r="P26" s="29">
        <f>N26</f>
        <v>260</v>
      </c>
      <c r="Q26" s="29">
        <f t="shared" si="35"/>
        <v>0</v>
      </c>
      <c r="R26" s="29"/>
      <c r="S26" s="29"/>
      <c r="T26" s="29"/>
      <c r="U26" s="29"/>
      <c r="V26" s="29"/>
      <c r="W26" s="29"/>
      <c r="X26" s="29">
        <f t="shared" si="36"/>
        <v>0</v>
      </c>
      <c r="Y26" s="29"/>
      <c r="Z26" s="29"/>
      <c r="AA26" s="29"/>
      <c r="AB26" s="29"/>
      <c r="AC26" s="29"/>
      <c r="AD26" s="29"/>
      <c r="AE26" s="29">
        <f t="shared" si="37"/>
        <v>0</v>
      </c>
      <c r="AF26" s="29"/>
      <c r="AG26" s="29"/>
      <c r="AH26" s="29"/>
      <c r="AI26" s="29"/>
      <c r="AJ26" s="29"/>
      <c r="AK26" s="29"/>
      <c r="AL26" s="29">
        <f t="shared" si="38"/>
        <v>0</v>
      </c>
      <c r="AM26" s="29"/>
      <c r="AN26" s="29"/>
      <c r="AO26" s="29"/>
      <c r="AP26" s="29"/>
      <c r="AQ26" s="29"/>
      <c r="AR26" s="29"/>
      <c r="AS26" s="29">
        <f t="shared" si="39"/>
        <v>0</v>
      </c>
      <c r="AT26" s="29"/>
      <c r="AU26" s="29"/>
      <c r="AV26" s="29"/>
      <c r="AW26" s="29"/>
      <c r="AX26" s="29"/>
      <c r="AY26" s="29"/>
      <c r="AZ26" s="29">
        <f t="shared" si="40"/>
        <v>0</v>
      </c>
      <c r="BA26" s="29"/>
      <c r="BB26" s="29"/>
      <c r="BC26" s="29"/>
      <c r="BD26" s="29"/>
      <c r="BE26" s="29"/>
      <c r="BF26" s="29"/>
      <c r="BG26" s="29">
        <f t="shared" si="41"/>
        <v>239.92500000000001</v>
      </c>
      <c r="BH26" s="29"/>
      <c r="BI26" s="29"/>
      <c r="BJ26" s="29"/>
      <c r="BK26" s="29">
        <v>239.92500000000001</v>
      </c>
      <c r="BL26" s="29">
        <f>BK26</f>
        <v>239.92500000000001</v>
      </c>
      <c r="BM26" s="29"/>
    </row>
    <row r="27" spans="1:65" s="32" customFormat="1" ht="24" customHeight="1">
      <c r="A27" s="34" t="s">
        <v>303</v>
      </c>
      <c r="B27" s="33" t="s">
        <v>302</v>
      </c>
      <c r="C27" s="29">
        <f>D27+G27</f>
        <v>3124.2719999999999</v>
      </c>
      <c r="D27" s="29"/>
      <c r="E27" s="29"/>
      <c r="F27" s="29"/>
      <c r="G27" s="29">
        <f>G28</f>
        <v>3124.2719999999999</v>
      </c>
      <c r="H27" s="29">
        <f>H28</f>
        <v>3124.2719999999999</v>
      </c>
      <c r="I27" s="29"/>
      <c r="J27" s="29">
        <f t="shared" si="34"/>
        <v>1305.2719999999999</v>
      </c>
      <c r="K27" s="29"/>
      <c r="L27" s="29"/>
      <c r="M27" s="29"/>
      <c r="N27" s="29">
        <f>N28</f>
        <v>1305.2719999999999</v>
      </c>
      <c r="O27" s="29">
        <f>O28</f>
        <v>1305.2719999999999</v>
      </c>
      <c r="P27" s="29"/>
      <c r="Q27" s="29">
        <f t="shared" si="35"/>
        <v>0</v>
      </c>
      <c r="R27" s="29"/>
      <c r="S27" s="29"/>
      <c r="T27" s="29"/>
      <c r="U27" s="29"/>
      <c r="V27" s="29"/>
      <c r="W27" s="29"/>
      <c r="X27" s="29">
        <f t="shared" si="36"/>
        <v>0</v>
      </c>
      <c r="Y27" s="29"/>
      <c r="Z27" s="29"/>
      <c r="AA27" s="29"/>
      <c r="AB27" s="29"/>
      <c r="AC27" s="29"/>
      <c r="AD27" s="29"/>
      <c r="AE27" s="29">
        <f t="shared" si="37"/>
        <v>0</v>
      </c>
      <c r="AF27" s="29"/>
      <c r="AG27" s="29"/>
      <c r="AH27" s="29"/>
      <c r="AI27" s="29"/>
      <c r="AJ27" s="29"/>
      <c r="AK27" s="29"/>
      <c r="AL27" s="29">
        <f t="shared" si="38"/>
        <v>0</v>
      </c>
      <c r="AM27" s="29"/>
      <c r="AN27" s="29"/>
      <c r="AO27" s="29"/>
      <c r="AP27" s="29"/>
      <c r="AQ27" s="29"/>
      <c r="AR27" s="29"/>
      <c r="AS27" s="29">
        <f t="shared" si="39"/>
        <v>0</v>
      </c>
      <c r="AT27" s="29"/>
      <c r="AU27" s="29"/>
      <c r="AV27" s="29"/>
      <c r="AW27" s="29"/>
      <c r="AX27" s="29"/>
      <c r="AY27" s="29"/>
      <c r="AZ27" s="29">
        <f t="shared" si="40"/>
        <v>0</v>
      </c>
      <c r="BA27" s="29"/>
      <c r="BB27" s="29"/>
      <c r="BC27" s="29"/>
      <c r="BD27" s="29"/>
      <c r="BE27" s="29"/>
      <c r="BF27" s="29"/>
      <c r="BG27" s="29">
        <f t="shared" si="41"/>
        <v>1819</v>
      </c>
      <c r="BH27" s="29"/>
      <c r="BI27" s="29"/>
      <c r="BJ27" s="29"/>
      <c r="BK27" s="29">
        <f>BK28</f>
        <v>1819</v>
      </c>
      <c r="BL27" s="29">
        <f>BL28</f>
        <v>1819</v>
      </c>
      <c r="BM27" s="29"/>
    </row>
    <row r="28" spans="1:65" s="32" customFormat="1" ht="24" customHeight="1">
      <c r="A28" s="34"/>
      <c r="B28" s="33" t="s">
        <v>258</v>
      </c>
      <c r="C28" s="29">
        <f t="shared" ref="C28:I28" si="44">J28+Q28+X28+AE28+AL28+AS28+AZ28+BG28</f>
        <v>3124.2719999999999</v>
      </c>
      <c r="D28" s="29">
        <f t="shared" si="44"/>
        <v>0</v>
      </c>
      <c r="E28" s="29">
        <f t="shared" si="44"/>
        <v>0</v>
      </c>
      <c r="F28" s="29">
        <f t="shared" si="44"/>
        <v>0</v>
      </c>
      <c r="G28" s="29">
        <f t="shared" si="44"/>
        <v>3124.2719999999999</v>
      </c>
      <c r="H28" s="29">
        <f t="shared" si="44"/>
        <v>3124.2719999999999</v>
      </c>
      <c r="I28" s="29">
        <f t="shared" si="44"/>
        <v>0</v>
      </c>
      <c r="J28" s="29">
        <f t="shared" si="34"/>
        <v>1305.2719999999999</v>
      </c>
      <c r="K28" s="29"/>
      <c r="L28" s="29"/>
      <c r="M28" s="29"/>
      <c r="N28" s="29">
        <v>1305.2719999999999</v>
      </c>
      <c r="O28" s="29">
        <f>N28</f>
        <v>1305.2719999999999</v>
      </c>
      <c r="P28" s="29"/>
      <c r="Q28" s="29">
        <f t="shared" si="35"/>
        <v>0</v>
      </c>
      <c r="R28" s="29"/>
      <c r="S28" s="29"/>
      <c r="T28" s="29"/>
      <c r="U28" s="29"/>
      <c r="V28" s="29"/>
      <c r="W28" s="29"/>
      <c r="X28" s="29">
        <f t="shared" si="36"/>
        <v>0</v>
      </c>
      <c r="Y28" s="29"/>
      <c r="Z28" s="29"/>
      <c r="AA28" s="29"/>
      <c r="AB28" s="29"/>
      <c r="AC28" s="29"/>
      <c r="AD28" s="29"/>
      <c r="AE28" s="29">
        <f t="shared" si="37"/>
        <v>0</v>
      </c>
      <c r="AF28" s="29"/>
      <c r="AG28" s="29"/>
      <c r="AH28" s="29"/>
      <c r="AI28" s="29"/>
      <c r="AJ28" s="29"/>
      <c r="AK28" s="29"/>
      <c r="AL28" s="29">
        <f t="shared" si="38"/>
        <v>0</v>
      </c>
      <c r="AM28" s="29"/>
      <c r="AN28" s="29"/>
      <c r="AO28" s="29"/>
      <c r="AP28" s="29"/>
      <c r="AQ28" s="29"/>
      <c r="AR28" s="29"/>
      <c r="AS28" s="29">
        <f t="shared" si="39"/>
        <v>0</v>
      </c>
      <c r="AT28" s="29"/>
      <c r="AU28" s="29"/>
      <c r="AV28" s="29"/>
      <c r="AW28" s="29"/>
      <c r="AX28" s="29"/>
      <c r="AY28" s="29"/>
      <c r="AZ28" s="29">
        <f t="shared" si="40"/>
        <v>0</v>
      </c>
      <c r="BA28" s="29"/>
      <c r="BB28" s="29"/>
      <c r="BC28" s="29"/>
      <c r="BD28" s="29"/>
      <c r="BE28" s="29"/>
      <c r="BF28" s="29"/>
      <c r="BG28" s="29">
        <f t="shared" si="41"/>
        <v>1819</v>
      </c>
      <c r="BH28" s="29"/>
      <c r="BI28" s="29"/>
      <c r="BJ28" s="29"/>
      <c r="BK28" s="29">
        <v>1819</v>
      </c>
      <c r="BL28" s="29">
        <f>BK28</f>
        <v>1819</v>
      </c>
      <c r="BM28" s="29"/>
    </row>
    <row r="29" spans="1:65" s="32" customFormat="1" ht="31.5" customHeight="1">
      <c r="A29" s="34" t="s">
        <v>287</v>
      </c>
      <c r="B29" s="33" t="s">
        <v>301</v>
      </c>
      <c r="C29" s="29">
        <f>D29+G29</f>
        <v>589.78499999999997</v>
      </c>
      <c r="D29" s="29"/>
      <c r="E29" s="29"/>
      <c r="F29" s="29"/>
      <c r="G29" s="29">
        <f>G30</f>
        <v>589.78499999999997</v>
      </c>
      <c r="H29" s="29">
        <f>H30</f>
        <v>589.78499999999997</v>
      </c>
      <c r="I29" s="29"/>
      <c r="J29" s="29">
        <f t="shared" si="34"/>
        <v>0</v>
      </c>
      <c r="K29" s="29"/>
      <c r="L29" s="29"/>
      <c r="M29" s="29"/>
      <c r="N29" s="29">
        <f>N30</f>
        <v>0</v>
      </c>
      <c r="O29" s="29">
        <f>O30</f>
        <v>0</v>
      </c>
      <c r="P29" s="29"/>
      <c r="Q29" s="29">
        <f t="shared" si="35"/>
        <v>0</v>
      </c>
      <c r="R29" s="29"/>
      <c r="S29" s="29"/>
      <c r="T29" s="29"/>
      <c r="U29" s="29"/>
      <c r="V29" s="29"/>
      <c r="W29" s="29"/>
      <c r="X29" s="29">
        <f t="shared" si="36"/>
        <v>0</v>
      </c>
      <c r="Y29" s="29"/>
      <c r="Z29" s="29"/>
      <c r="AA29" s="29"/>
      <c r="AB29" s="29"/>
      <c r="AC29" s="29"/>
      <c r="AD29" s="29"/>
      <c r="AE29" s="29">
        <f t="shared" si="37"/>
        <v>0</v>
      </c>
      <c r="AF29" s="29"/>
      <c r="AG29" s="29"/>
      <c r="AH29" s="29"/>
      <c r="AI29" s="29"/>
      <c r="AJ29" s="29"/>
      <c r="AK29" s="29"/>
      <c r="AL29" s="29">
        <f t="shared" si="38"/>
        <v>0</v>
      </c>
      <c r="AM29" s="29"/>
      <c r="AN29" s="29"/>
      <c r="AO29" s="29"/>
      <c r="AP29" s="29"/>
      <c r="AQ29" s="29"/>
      <c r="AR29" s="29"/>
      <c r="AS29" s="29">
        <f t="shared" si="39"/>
        <v>0</v>
      </c>
      <c r="AT29" s="29"/>
      <c r="AU29" s="29"/>
      <c r="AV29" s="29"/>
      <c r="AW29" s="29"/>
      <c r="AX29" s="29"/>
      <c r="AY29" s="29"/>
      <c r="AZ29" s="29">
        <f t="shared" si="40"/>
        <v>0</v>
      </c>
      <c r="BA29" s="29"/>
      <c r="BB29" s="29"/>
      <c r="BC29" s="29"/>
      <c r="BD29" s="29"/>
      <c r="BE29" s="29"/>
      <c r="BF29" s="29"/>
      <c r="BG29" s="29">
        <f t="shared" si="41"/>
        <v>589.78499999999997</v>
      </c>
      <c r="BH29" s="29"/>
      <c r="BI29" s="29"/>
      <c r="BJ29" s="29"/>
      <c r="BK29" s="29">
        <f>BK30</f>
        <v>589.78499999999997</v>
      </c>
      <c r="BL29" s="29">
        <f>BL30</f>
        <v>589.78499999999997</v>
      </c>
      <c r="BM29" s="29"/>
    </row>
    <row r="30" spans="1:65" s="32" customFormat="1" ht="24" customHeight="1">
      <c r="A30" s="34"/>
      <c r="B30" s="33" t="s">
        <v>258</v>
      </c>
      <c r="C30" s="29">
        <f t="shared" ref="C30:I30" si="45">J30+Q30+X30+AE30+AL30+AS30+AZ30+BG30</f>
        <v>589.78499999999997</v>
      </c>
      <c r="D30" s="29">
        <f t="shared" si="45"/>
        <v>0</v>
      </c>
      <c r="E30" s="29">
        <f t="shared" si="45"/>
        <v>0</v>
      </c>
      <c r="F30" s="29">
        <f t="shared" si="45"/>
        <v>0</v>
      </c>
      <c r="G30" s="29">
        <f t="shared" si="45"/>
        <v>589.78499999999997</v>
      </c>
      <c r="H30" s="29">
        <f t="shared" si="45"/>
        <v>589.78499999999997</v>
      </c>
      <c r="I30" s="29">
        <f t="shared" si="45"/>
        <v>0</v>
      </c>
      <c r="J30" s="29">
        <f t="shared" si="34"/>
        <v>0</v>
      </c>
      <c r="K30" s="29"/>
      <c r="L30" s="29"/>
      <c r="M30" s="29"/>
      <c r="N30" s="29"/>
      <c r="O30" s="29">
        <f>N30</f>
        <v>0</v>
      </c>
      <c r="P30" s="29"/>
      <c r="Q30" s="29">
        <f t="shared" si="35"/>
        <v>0</v>
      </c>
      <c r="R30" s="29"/>
      <c r="S30" s="29"/>
      <c r="T30" s="29"/>
      <c r="U30" s="29"/>
      <c r="V30" s="29"/>
      <c r="W30" s="29"/>
      <c r="X30" s="29">
        <f t="shared" si="36"/>
        <v>0</v>
      </c>
      <c r="Y30" s="29"/>
      <c r="Z30" s="29"/>
      <c r="AA30" s="29"/>
      <c r="AB30" s="29"/>
      <c r="AC30" s="29"/>
      <c r="AD30" s="29"/>
      <c r="AE30" s="29">
        <f t="shared" si="37"/>
        <v>0</v>
      </c>
      <c r="AF30" s="29"/>
      <c r="AG30" s="29"/>
      <c r="AH30" s="29"/>
      <c r="AI30" s="29"/>
      <c r="AJ30" s="29"/>
      <c r="AK30" s="29"/>
      <c r="AL30" s="29">
        <f t="shared" si="38"/>
        <v>0</v>
      </c>
      <c r="AM30" s="29"/>
      <c r="AN30" s="29"/>
      <c r="AO30" s="29"/>
      <c r="AP30" s="29"/>
      <c r="AQ30" s="29"/>
      <c r="AR30" s="29"/>
      <c r="AS30" s="29">
        <f t="shared" si="39"/>
        <v>0</v>
      </c>
      <c r="AT30" s="29"/>
      <c r="AU30" s="29"/>
      <c r="AV30" s="29"/>
      <c r="AW30" s="29"/>
      <c r="AX30" s="29"/>
      <c r="AY30" s="29"/>
      <c r="AZ30" s="29">
        <f t="shared" si="40"/>
        <v>0</v>
      </c>
      <c r="BA30" s="29"/>
      <c r="BB30" s="29"/>
      <c r="BC30" s="29"/>
      <c r="BD30" s="29"/>
      <c r="BE30" s="29"/>
      <c r="BF30" s="29"/>
      <c r="BG30" s="29">
        <f t="shared" si="41"/>
        <v>589.78499999999997</v>
      </c>
      <c r="BH30" s="29"/>
      <c r="BI30" s="29"/>
      <c r="BJ30" s="29"/>
      <c r="BK30" s="29">
        <v>589.78499999999997</v>
      </c>
      <c r="BL30" s="29">
        <f>BK30</f>
        <v>589.78499999999997</v>
      </c>
      <c r="BM30" s="29"/>
    </row>
    <row r="31" spans="1:65" s="26" customFormat="1" ht="30.75" customHeight="1">
      <c r="A31" s="37" t="s">
        <v>300</v>
      </c>
      <c r="B31" s="36" t="s">
        <v>299</v>
      </c>
      <c r="C31" s="35">
        <f>D31+G31</f>
        <v>272.27600000000001</v>
      </c>
      <c r="D31" s="35"/>
      <c r="E31" s="35"/>
      <c r="F31" s="35"/>
      <c r="G31" s="35">
        <f>G32</f>
        <v>272.27600000000001</v>
      </c>
      <c r="H31" s="35">
        <f>H32</f>
        <v>272.27600000000001</v>
      </c>
      <c r="I31" s="35"/>
      <c r="J31" s="35">
        <f t="shared" si="34"/>
        <v>89.926000000000002</v>
      </c>
      <c r="K31" s="35"/>
      <c r="L31" s="35"/>
      <c r="M31" s="35"/>
      <c r="N31" s="35">
        <f>N32</f>
        <v>89.926000000000002</v>
      </c>
      <c r="O31" s="35">
        <f>O32</f>
        <v>89.926000000000002</v>
      </c>
      <c r="P31" s="35"/>
      <c r="Q31" s="35">
        <f t="shared" si="35"/>
        <v>0</v>
      </c>
      <c r="R31" s="35"/>
      <c r="S31" s="35"/>
      <c r="T31" s="35"/>
      <c r="U31" s="35"/>
      <c r="V31" s="35"/>
      <c r="W31" s="35"/>
      <c r="X31" s="35">
        <f t="shared" si="36"/>
        <v>0</v>
      </c>
      <c r="Y31" s="35"/>
      <c r="Z31" s="35"/>
      <c r="AA31" s="35"/>
      <c r="AB31" s="35"/>
      <c r="AC31" s="35"/>
      <c r="AD31" s="35"/>
      <c r="AE31" s="35">
        <f t="shared" si="37"/>
        <v>0</v>
      </c>
      <c r="AF31" s="35"/>
      <c r="AG31" s="35"/>
      <c r="AH31" s="35"/>
      <c r="AI31" s="35"/>
      <c r="AJ31" s="35"/>
      <c r="AK31" s="35"/>
      <c r="AL31" s="35">
        <f t="shared" si="38"/>
        <v>0</v>
      </c>
      <c r="AM31" s="35"/>
      <c r="AN31" s="35"/>
      <c r="AO31" s="35"/>
      <c r="AP31" s="35"/>
      <c r="AQ31" s="35"/>
      <c r="AR31" s="35"/>
      <c r="AS31" s="35">
        <f t="shared" si="39"/>
        <v>0</v>
      </c>
      <c r="AT31" s="35"/>
      <c r="AU31" s="35"/>
      <c r="AV31" s="35"/>
      <c r="AW31" s="35"/>
      <c r="AX31" s="35"/>
      <c r="AY31" s="35"/>
      <c r="AZ31" s="35">
        <f t="shared" si="40"/>
        <v>0</v>
      </c>
      <c r="BA31" s="35"/>
      <c r="BB31" s="35"/>
      <c r="BC31" s="35"/>
      <c r="BD31" s="35"/>
      <c r="BE31" s="35"/>
      <c r="BF31" s="35"/>
      <c r="BG31" s="35">
        <f t="shared" si="41"/>
        <v>182.35</v>
      </c>
      <c r="BH31" s="35"/>
      <c r="BI31" s="35"/>
      <c r="BJ31" s="35"/>
      <c r="BK31" s="35">
        <f>BK32</f>
        <v>182.35</v>
      </c>
      <c r="BL31" s="35">
        <f>BL32</f>
        <v>182.35</v>
      </c>
      <c r="BM31" s="35"/>
    </row>
    <row r="32" spans="1:65" s="32" customFormat="1" ht="24" customHeight="1">
      <c r="A32" s="34"/>
      <c r="B32" s="33" t="s">
        <v>258</v>
      </c>
      <c r="C32" s="29">
        <f t="shared" ref="C32:I32" si="46">J32+Q32+X32+AE32+AL32+AS32+AZ32+BG32</f>
        <v>272.27600000000001</v>
      </c>
      <c r="D32" s="29">
        <f t="shared" si="46"/>
        <v>0</v>
      </c>
      <c r="E32" s="29">
        <f t="shared" si="46"/>
        <v>0</v>
      </c>
      <c r="F32" s="29">
        <f t="shared" si="46"/>
        <v>0</v>
      </c>
      <c r="G32" s="29">
        <f t="shared" si="46"/>
        <v>272.27600000000001</v>
      </c>
      <c r="H32" s="29">
        <f t="shared" si="46"/>
        <v>272.27600000000001</v>
      </c>
      <c r="I32" s="29">
        <f t="shared" si="46"/>
        <v>0</v>
      </c>
      <c r="J32" s="29">
        <f t="shared" si="34"/>
        <v>89.926000000000002</v>
      </c>
      <c r="K32" s="29"/>
      <c r="L32" s="29"/>
      <c r="M32" s="29"/>
      <c r="N32" s="29">
        <v>89.926000000000002</v>
      </c>
      <c r="O32" s="29">
        <f>N32</f>
        <v>89.926000000000002</v>
      </c>
      <c r="P32" s="29"/>
      <c r="Q32" s="29">
        <f t="shared" si="35"/>
        <v>0</v>
      </c>
      <c r="R32" s="29"/>
      <c r="S32" s="29"/>
      <c r="T32" s="29"/>
      <c r="U32" s="29"/>
      <c r="V32" s="29"/>
      <c r="W32" s="29"/>
      <c r="X32" s="29">
        <f t="shared" si="36"/>
        <v>0</v>
      </c>
      <c r="Y32" s="29"/>
      <c r="Z32" s="29"/>
      <c r="AA32" s="29"/>
      <c r="AB32" s="29"/>
      <c r="AC32" s="29"/>
      <c r="AD32" s="29"/>
      <c r="AE32" s="29">
        <f t="shared" si="37"/>
        <v>0</v>
      </c>
      <c r="AF32" s="29"/>
      <c r="AG32" s="29"/>
      <c r="AH32" s="29"/>
      <c r="AI32" s="29"/>
      <c r="AJ32" s="29"/>
      <c r="AK32" s="29"/>
      <c r="AL32" s="29">
        <f t="shared" si="38"/>
        <v>0</v>
      </c>
      <c r="AM32" s="29"/>
      <c r="AN32" s="29"/>
      <c r="AO32" s="29"/>
      <c r="AP32" s="29"/>
      <c r="AQ32" s="29"/>
      <c r="AR32" s="29"/>
      <c r="AS32" s="29">
        <f t="shared" si="39"/>
        <v>0</v>
      </c>
      <c r="AT32" s="29"/>
      <c r="AU32" s="29"/>
      <c r="AV32" s="29"/>
      <c r="AW32" s="29"/>
      <c r="AX32" s="29"/>
      <c r="AY32" s="29"/>
      <c r="AZ32" s="29">
        <f t="shared" si="40"/>
        <v>0</v>
      </c>
      <c r="BA32" s="29"/>
      <c r="BB32" s="29"/>
      <c r="BC32" s="29"/>
      <c r="BD32" s="29"/>
      <c r="BE32" s="29"/>
      <c r="BF32" s="29"/>
      <c r="BG32" s="29">
        <f t="shared" si="41"/>
        <v>182.35</v>
      </c>
      <c r="BH32" s="29"/>
      <c r="BI32" s="29"/>
      <c r="BJ32" s="29"/>
      <c r="BK32" s="29">
        <v>182.35</v>
      </c>
      <c r="BL32" s="29">
        <f>BK32</f>
        <v>182.35</v>
      </c>
      <c r="BM32" s="29"/>
    </row>
    <row r="33" spans="1:65" s="26" customFormat="1" ht="24" customHeight="1">
      <c r="A33" s="37">
        <v>2</v>
      </c>
      <c r="B33" s="36" t="s">
        <v>298</v>
      </c>
      <c r="C33" s="35">
        <f>D33+G33</f>
        <v>118094.924702</v>
      </c>
      <c r="D33" s="35">
        <f t="shared" ref="D33:I33" si="47">D38+D42+D35+D44</f>
        <v>95589.521524000011</v>
      </c>
      <c r="E33" s="35">
        <f t="shared" si="47"/>
        <v>67673.82944999999</v>
      </c>
      <c r="F33" s="35">
        <f t="shared" si="47"/>
        <v>27915.691956999999</v>
      </c>
      <c r="G33" s="35">
        <f t="shared" si="47"/>
        <v>22505.403177999997</v>
      </c>
      <c r="H33" s="35">
        <f t="shared" si="47"/>
        <v>290</v>
      </c>
      <c r="I33" s="35">
        <f t="shared" si="47"/>
        <v>22215.403177999997</v>
      </c>
      <c r="J33" s="35">
        <f t="shared" si="34"/>
        <v>15586.798549000001</v>
      </c>
      <c r="K33" s="35">
        <f t="shared" ref="K33:P33" si="48">K38+K42+K35+K44</f>
        <v>12490.077841</v>
      </c>
      <c r="L33" s="35">
        <f t="shared" si="48"/>
        <v>719.63499999999999</v>
      </c>
      <c r="M33" s="35">
        <f t="shared" si="48"/>
        <v>11770.442841</v>
      </c>
      <c r="N33" s="35">
        <f t="shared" si="48"/>
        <v>3096.7207080000003</v>
      </c>
      <c r="O33" s="35">
        <f t="shared" si="48"/>
        <v>0</v>
      </c>
      <c r="P33" s="35">
        <f t="shared" si="48"/>
        <v>3096.7207080000003</v>
      </c>
      <c r="Q33" s="35">
        <f t="shared" si="35"/>
        <v>21052.971000000001</v>
      </c>
      <c r="R33" s="35">
        <f>R38</f>
        <v>17871.41</v>
      </c>
      <c r="S33" s="35">
        <f>S38</f>
        <v>17871.41</v>
      </c>
      <c r="T33" s="35">
        <f>T38</f>
        <v>0</v>
      </c>
      <c r="U33" s="35">
        <f>U42+U35+U44</f>
        <v>3181.5610000000001</v>
      </c>
      <c r="V33" s="35">
        <f>V42+V35+V44</f>
        <v>0</v>
      </c>
      <c r="W33" s="35">
        <f>W42+W35+W44</f>
        <v>3181.5610000000001</v>
      </c>
      <c r="X33" s="35">
        <f t="shared" si="36"/>
        <v>15059.912</v>
      </c>
      <c r="Y33" s="35">
        <f>Y38</f>
        <v>12565.902</v>
      </c>
      <c r="Z33" s="35">
        <f>Z38</f>
        <v>12565.902</v>
      </c>
      <c r="AA33" s="35">
        <f>AA38</f>
        <v>0</v>
      </c>
      <c r="AB33" s="35">
        <f>AB42+AB35+AB44</f>
        <v>2494.0100000000002</v>
      </c>
      <c r="AC33" s="35">
        <f>AC42+AC35+AC44</f>
        <v>64</v>
      </c>
      <c r="AD33" s="35">
        <f>AD42+AD35+AD44</f>
        <v>2430.0100000000002</v>
      </c>
      <c r="AE33" s="35">
        <f t="shared" si="37"/>
        <v>3</v>
      </c>
      <c r="AF33" s="35">
        <f>AF38</f>
        <v>0</v>
      </c>
      <c r="AG33" s="35">
        <f>AG38</f>
        <v>0</v>
      </c>
      <c r="AH33" s="35">
        <f>AH38</f>
        <v>0</v>
      </c>
      <c r="AI33" s="35">
        <f>AI42+AI35+AI44</f>
        <v>3</v>
      </c>
      <c r="AJ33" s="35">
        <f>AJ42+AJ35+AJ44</f>
        <v>0</v>
      </c>
      <c r="AK33" s="35">
        <f>AK42+AK35+AK44</f>
        <v>3</v>
      </c>
      <c r="AL33" s="35">
        <f t="shared" si="38"/>
        <v>25328.608153000001</v>
      </c>
      <c r="AM33" s="35">
        <f>AM38</f>
        <v>19807.254682999999</v>
      </c>
      <c r="AN33" s="35">
        <f>AN38</f>
        <v>17803.25459</v>
      </c>
      <c r="AO33" s="35">
        <f>AO38</f>
        <v>2004.0000930000001</v>
      </c>
      <c r="AP33" s="35">
        <f>AP42+AP35+AP44</f>
        <v>5521.35347</v>
      </c>
      <c r="AQ33" s="35">
        <f>AQ42+AQ35+AQ44</f>
        <v>144</v>
      </c>
      <c r="AR33" s="35">
        <f>AR42+AR35+AR44</f>
        <v>5377.35347</v>
      </c>
      <c r="AS33" s="35">
        <f t="shared" si="39"/>
        <v>15040.130000000001</v>
      </c>
      <c r="AT33" s="35">
        <f>AT38</f>
        <v>11777.08</v>
      </c>
      <c r="AU33" s="35">
        <f>AU38</f>
        <v>0</v>
      </c>
      <c r="AV33" s="35">
        <f>AV38</f>
        <v>11777.08</v>
      </c>
      <c r="AW33" s="35">
        <f>AW42+AW35+AW44</f>
        <v>3263.05</v>
      </c>
      <c r="AX33" s="35">
        <f>AX42+AX35+AX44</f>
        <v>82</v>
      </c>
      <c r="AY33" s="35">
        <f>AY42+AY35+AY44</f>
        <v>3181.05</v>
      </c>
      <c r="AZ33" s="35">
        <f t="shared" si="40"/>
        <v>12406.621999999999</v>
      </c>
      <c r="BA33" s="35">
        <f>BA38</f>
        <v>10157.495999999999</v>
      </c>
      <c r="BB33" s="35">
        <f>BB38</f>
        <v>7793.3268599999992</v>
      </c>
      <c r="BC33" s="35">
        <f>BC38</f>
        <v>2364.1690229999999</v>
      </c>
      <c r="BD33" s="35">
        <f>BD42+BD35+BD44</f>
        <v>2249.1260000000002</v>
      </c>
      <c r="BE33" s="35">
        <f>BE42+BE35+BE44</f>
        <v>0</v>
      </c>
      <c r="BF33" s="35">
        <f>BF42+BF35+BF44</f>
        <v>2249.1260000000002</v>
      </c>
      <c r="BG33" s="35">
        <f t="shared" si="41"/>
        <v>13616.883</v>
      </c>
      <c r="BH33" s="35">
        <f t="shared" ref="BH33:BM33" si="49">BH38+BH42+BH35+BH44</f>
        <v>10920.300999999999</v>
      </c>
      <c r="BI33" s="35">
        <f t="shared" si="49"/>
        <v>10920.300999999999</v>
      </c>
      <c r="BJ33" s="35">
        <f t="shared" si="49"/>
        <v>0</v>
      </c>
      <c r="BK33" s="35">
        <f t="shared" si="49"/>
        <v>2696.5819999999999</v>
      </c>
      <c r="BL33" s="35">
        <f t="shared" si="49"/>
        <v>0</v>
      </c>
      <c r="BM33" s="35">
        <f t="shared" si="49"/>
        <v>2696.5819999999999</v>
      </c>
    </row>
    <row r="34" spans="1:65" s="26" customFormat="1" ht="24" customHeight="1">
      <c r="A34" s="37" t="s">
        <v>294</v>
      </c>
      <c r="B34" s="36" t="s">
        <v>297</v>
      </c>
      <c r="C34" s="35">
        <f t="shared" ref="C34:AH34" si="50">C35+C38</f>
        <v>99683.341186000005</v>
      </c>
      <c r="D34" s="35">
        <f t="shared" si="50"/>
        <v>95589.521524000011</v>
      </c>
      <c r="E34" s="35">
        <f t="shared" si="50"/>
        <v>67673.82944999999</v>
      </c>
      <c r="F34" s="35">
        <f t="shared" si="50"/>
        <v>27915.691956999999</v>
      </c>
      <c r="G34" s="35">
        <f t="shared" si="50"/>
        <v>4093.8196619999994</v>
      </c>
      <c r="H34" s="35">
        <f t="shared" si="50"/>
        <v>0</v>
      </c>
      <c r="I34" s="35">
        <f t="shared" si="50"/>
        <v>4093.8196619999994</v>
      </c>
      <c r="J34" s="35">
        <f t="shared" si="50"/>
        <v>13118.178403</v>
      </c>
      <c r="K34" s="35">
        <f t="shared" si="50"/>
        <v>12490.077841</v>
      </c>
      <c r="L34" s="35">
        <f t="shared" si="50"/>
        <v>719.63499999999999</v>
      </c>
      <c r="M34" s="35">
        <f t="shared" si="50"/>
        <v>11770.442841</v>
      </c>
      <c r="N34" s="35">
        <f t="shared" si="50"/>
        <v>628.10056199999997</v>
      </c>
      <c r="O34" s="35">
        <f t="shared" si="50"/>
        <v>0</v>
      </c>
      <c r="P34" s="35">
        <f t="shared" si="50"/>
        <v>628.10056199999997</v>
      </c>
      <c r="Q34" s="35">
        <f t="shared" si="50"/>
        <v>18468.079999999998</v>
      </c>
      <c r="R34" s="35">
        <f t="shared" si="50"/>
        <v>17871.41</v>
      </c>
      <c r="S34" s="35">
        <f t="shared" si="50"/>
        <v>17871.41</v>
      </c>
      <c r="T34" s="35">
        <f t="shared" si="50"/>
        <v>0</v>
      </c>
      <c r="U34" s="35">
        <f t="shared" si="50"/>
        <v>596.66999999999996</v>
      </c>
      <c r="V34" s="35">
        <f t="shared" si="50"/>
        <v>0</v>
      </c>
      <c r="W34" s="35">
        <f t="shared" si="50"/>
        <v>596.66999999999996</v>
      </c>
      <c r="X34" s="35">
        <f t="shared" si="50"/>
        <v>13034.272000000001</v>
      </c>
      <c r="Y34" s="35">
        <f t="shared" si="50"/>
        <v>12565.902</v>
      </c>
      <c r="Z34" s="35">
        <f t="shared" si="50"/>
        <v>12565.902</v>
      </c>
      <c r="AA34" s="35">
        <f t="shared" si="50"/>
        <v>0</v>
      </c>
      <c r="AB34" s="35">
        <f t="shared" si="50"/>
        <v>468.37</v>
      </c>
      <c r="AC34" s="35">
        <f t="shared" si="50"/>
        <v>0</v>
      </c>
      <c r="AD34" s="35">
        <f t="shared" si="50"/>
        <v>468.37</v>
      </c>
      <c r="AE34" s="35">
        <f t="shared" si="50"/>
        <v>0</v>
      </c>
      <c r="AF34" s="35">
        <f t="shared" si="50"/>
        <v>0</v>
      </c>
      <c r="AG34" s="35">
        <f t="shared" si="50"/>
        <v>0</v>
      </c>
      <c r="AH34" s="35">
        <f t="shared" si="50"/>
        <v>0</v>
      </c>
      <c r="AI34" s="35">
        <f t="shared" ref="AI34:BM34" si="51">AI35+AI38</f>
        <v>0</v>
      </c>
      <c r="AJ34" s="35">
        <f t="shared" si="51"/>
        <v>0</v>
      </c>
      <c r="AK34" s="35">
        <f t="shared" si="51"/>
        <v>0</v>
      </c>
      <c r="AL34" s="35">
        <f t="shared" si="51"/>
        <v>20743.692782999999</v>
      </c>
      <c r="AM34" s="35">
        <f t="shared" si="51"/>
        <v>19807.254682999999</v>
      </c>
      <c r="AN34" s="35">
        <f t="shared" si="51"/>
        <v>17803.25459</v>
      </c>
      <c r="AO34" s="35">
        <f t="shared" si="51"/>
        <v>2004.0000930000001</v>
      </c>
      <c r="AP34" s="35">
        <f t="shared" si="51"/>
        <v>936.43809999999996</v>
      </c>
      <c r="AQ34" s="35">
        <f t="shared" si="51"/>
        <v>0</v>
      </c>
      <c r="AR34" s="35">
        <f t="shared" si="51"/>
        <v>936.43809999999996</v>
      </c>
      <c r="AS34" s="35">
        <f t="shared" si="51"/>
        <v>12339.5</v>
      </c>
      <c r="AT34" s="35">
        <f t="shared" si="51"/>
        <v>11777.08</v>
      </c>
      <c r="AU34" s="35">
        <f t="shared" si="51"/>
        <v>0</v>
      </c>
      <c r="AV34" s="35">
        <f t="shared" si="51"/>
        <v>11777.08</v>
      </c>
      <c r="AW34" s="35">
        <f t="shared" si="51"/>
        <v>562.41999999999996</v>
      </c>
      <c r="AX34" s="35">
        <f t="shared" si="51"/>
        <v>0</v>
      </c>
      <c r="AY34" s="35">
        <f t="shared" si="51"/>
        <v>562.41999999999996</v>
      </c>
      <c r="AZ34" s="35">
        <f t="shared" si="51"/>
        <v>10575.902</v>
      </c>
      <c r="BA34" s="35">
        <f t="shared" si="51"/>
        <v>10157.495999999999</v>
      </c>
      <c r="BB34" s="35">
        <f t="shared" si="51"/>
        <v>7793.3268599999992</v>
      </c>
      <c r="BC34" s="35">
        <f t="shared" si="51"/>
        <v>2364.1690229999999</v>
      </c>
      <c r="BD34" s="35">
        <f t="shared" si="51"/>
        <v>418.40600000000001</v>
      </c>
      <c r="BE34" s="35">
        <f t="shared" si="51"/>
        <v>0</v>
      </c>
      <c r="BF34" s="35">
        <f t="shared" si="51"/>
        <v>418.40600000000001</v>
      </c>
      <c r="BG34" s="35">
        <f t="shared" si="51"/>
        <v>11403.716</v>
      </c>
      <c r="BH34" s="35">
        <f t="shared" si="51"/>
        <v>10920.300999999999</v>
      </c>
      <c r="BI34" s="35">
        <f t="shared" si="51"/>
        <v>10920.300999999999</v>
      </c>
      <c r="BJ34" s="35">
        <f t="shared" si="51"/>
        <v>0</v>
      </c>
      <c r="BK34" s="35">
        <f t="shared" si="51"/>
        <v>483.41500000000002</v>
      </c>
      <c r="BL34" s="35">
        <f t="shared" si="51"/>
        <v>0</v>
      </c>
      <c r="BM34" s="35">
        <f t="shared" si="51"/>
        <v>483.41500000000002</v>
      </c>
    </row>
    <row r="35" spans="1:65" s="32" customFormat="1" ht="24" customHeight="1">
      <c r="A35" s="34" t="s">
        <v>287</v>
      </c>
      <c r="B35" s="33" t="s">
        <v>296</v>
      </c>
      <c r="C35" s="29">
        <f>D35+G35</f>
        <v>4093.8196619999994</v>
      </c>
      <c r="D35" s="29"/>
      <c r="E35" s="29"/>
      <c r="F35" s="29"/>
      <c r="G35" s="29">
        <f>G37+G36</f>
        <v>4093.8196619999994</v>
      </c>
      <c r="H35" s="29"/>
      <c r="I35" s="29">
        <f>I37+I36</f>
        <v>4093.8196619999994</v>
      </c>
      <c r="J35" s="29">
        <f t="shared" ref="J35:J40" si="52">K35+N35</f>
        <v>628.10056199999997</v>
      </c>
      <c r="K35" s="29"/>
      <c r="L35" s="29"/>
      <c r="M35" s="29"/>
      <c r="N35" s="29">
        <f>N37+N36</f>
        <v>628.10056199999997</v>
      </c>
      <c r="O35" s="29"/>
      <c r="P35" s="29">
        <f>P37+P36</f>
        <v>628.10056199999997</v>
      </c>
      <c r="Q35" s="29">
        <f t="shared" ref="Q35:Q40" si="53">R35+U35</f>
        <v>596.66999999999996</v>
      </c>
      <c r="R35" s="29"/>
      <c r="S35" s="29"/>
      <c r="T35" s="29"/>
      <c r="U35" s="29">
        <f>U37+U36</f>
        <v>596.66999999999996</v>
      </c>
      <c r="V35" s="29">
        <f>V37+V36</f>
        <v>0</v>
      </c>
      <c r="W35" s="29">
        <f>W37+W36</f>
        <v>596.66999999999996</v>
      </c>
      <c r="X35" s="29">
        <f>Y35+AB35</f>
        <v>468.37</v>
      </c>
      <c r="Y35" s="29"/>
      <c r="Z35" s="29"/>
      <c r="AA35" s="29"/>
      <c r="AB35" s="29">
        <f>AB37</f>
        <v>468.37</v>
      </c>
      <c r="AC35" s="35"/>
      <c r="AD35" s="29">
        <f>AD37</f>
        <v>468.37</v>
      </c>
      <c r="AE35" s="29">
        <f>AF35+AI35</f>
        <v>0</v>
      </c>
      <c r="AF35" s="29"/>
      <c r="AG35" s="29"/>
      <c r="AH35" s="29"/>
      <c r="AI35" s="29">
        <f>AI37</f>
        <v>0</v>
      </c>
      <c r="AJ35" s="35"/>
      <c r="AK35" s="29">
        <f>AK37</f>
        <v>0</v>
      </c>
      <c r="AL35" s="29">
        <f>AM35+AP35</f>
        <v>936.43809999999996</v>
      </c>
      <c r="AM35" s="29"/>
      <c r="AN35" s="29"/>
      <c r="AO35" s="29"/>
      <c r="AP35" s="29">
        <f>AP37</f>
        <v>936.43809999999996</v>
      </c>
      <c r="AQ35" s="35"/>
      <c r="AR35" s="29">
        <f>AR37</f>
        <v>936.43809999999996</v>
      </c>
      <c r="AS35" s="29">
        <f>AT35+AW35</f>
        <v>562.41999999999996</v>
      </c>
      <c r="AT35" s="29"/>
      <c r="AU35" s="29"/>
      <c r="AV35" s="29"/>
      <c r="AW35" s="29">
        <f>AW37</f>
        <v>562.41999999999996</v>
      </c>
      <c r="AX35" s="35"/>
      <c r="AY35" s="29">
        <f>AY37</f>
        <v>562.41999999999996</v>
      </c>
      <c r="AZ35" s="29">
        <f>BA35+BD35</f>
        <v>418.40600000000001</v>
      </c>
      <c r="BA35" s="29"/>
      <c r="BB35" s="29"/>
      <c r="BC35" s="29"/>
      <c r="BD35" s="29">
        <f>BD37</f>
        <v>418.40600000000001</v>
      </c>
      <c r="BE35" s="35"/>
      <c r="BF35" s="29">
        <f>BF37</f>
        <v>418.40600000000001</v>
      </c>
      <c r="BG35" s="29">
        <f>BH35+BK35</f>
        <v>483.41500000000002</v>
      </c>
      <c r="BH35" s="29"/>
      <c r="BI35" s="29"/>
      <c r="BJ35" s="29"/>
      <c r="BK35" s="29">
        <f>BK37</f>
        <v>483.41500000000002</v>
      </c>
      <c r="BL35" s="29"/>
      <c r="BM35" s="29">
        <f>BM37</f>
        <v>483.41500000000002</v>
      </c>
    </row>
    <row r="36" spans="1:65" s="32" customFormat="1" ht="24" customHeight="1">
      <c r="A36" s="34"/>
      <c r="B36" s="33" t="s">
        <v>253</v>
      </c>
      <c r="C36" s="29">
        <f t="shared" ref="C36:I37" si="54">J36+Q36+X36+AE36+AL36+AS36+AZ36+BG36</f>
        <v>53.579499999999989</v>
      </c>
      <c r="D36" s="29">
        <f t="shared" si="54"/>
        <v>0</v>
      </c>
      <c r="E36" s="29">
        <f t="shared" si="54"/>
        <v>0</v>
      </c>
      <c r="F36" s="29">
        <f t="shared" si="54"/>
        <v>0</v>
      </c>
      <c r="G36" s="29">
        <f t="shared" si="54"/>
        <v>53.579499999999989</v>
      </c>
      <c r="H36" s="29">
        <f t="shared" si="54"/>
        <v>0</v>
      </c>
      <c r="I36" s="29">
        <f t="shared" si="54"/>
        <v>53.579499999999989</v>
      </c>
      <c r="J36" s="29">
        <f t="shared" si="52"/>
        <v>10.189500000000001</v>
      </c>
      <c r="K36" s="29"/>
      <c r="L36" s="29"/>
      <c r="M36" s="29"/>
      <c r="N36" s="29">
        <v>10.189500000000001</v>
      </c>
      <c r="O36" s="29"/>
      <c r="P36" s="29">
        <f>N36</f>
        <v>10.189500000000001</v>
      </c>
      <c r="Q36" s="29">
        <f t="shared" si="53"/>
        <v>43.389999999999986</v>
      </c>
      <c r="R36" s="29"/>
      <c r="S36" s="29"/>
      <c r="T36" s="29"/>
      <c r="U36" s="29">
        <v>43.389999999999986</v>
      </c>
      <c r="V36" s="35"/>
      <c r="W36" s="29">
        <f>U36</f>
        <v>43.389999999999986</v>
      </c>
      <c r="X36" s="29"/>
      <c r="Y36" s="29"/>
      <c r="Z36" s="29"/>
      <c r="AA36" s="29"/>
      <c r="AB36" s="29"/>
      <c r="AC36" s="35"/>
      <c r="AD36" s="29"/>
      <c r="AE36" s="29"/>
      <c r="AF36" s="29"/>
      <c r="AG36" s="29"/>
      <c r="AH36" s="29"/>
      <c r="AI36" s="29"/>
      <c r="AJ36" s="35"/>
      <c r="AK36" s="29"/>
      <c r="AL36" s="29"/>
      <c r="AM36" s="29"/>
      <c r="AN36" s="29"/>
      <c r="AO36" s="29"/>
      <c r="AP36" s="29"/>
      <c r="AQ36" s="35"/>
      <c r="AR36" s="29"/>
      <c r="AS36" s="29"/>
      <c r="AT36" s="29"/>
      <c r="AU36" s="29"/>
      <c r="AV36" s="29"/>
      <c r="AW36" s="29"/>
      <c r="AX36" s="35"/>
      <c r="AY36" s="29"/>
      <c r="AZ36" s="29"/>
      <c r="BA36" s="29"/>
      <c r="BB36" s="29"/>
      <c r="BC36" s="29"/>
      <c r="BD36" s="29"/>
      <c r="BE36" s="35"/>
      <c r="BF36" s="29"/>
      <c r="BG36" s="29"/>
      <c r="BH36" s="29"/>
      <c r="BI36" s="29"/>
      <c r="BJ36" s="29"/>
      <c r="BK36" s="29"/>
      <c r="BL36" s="29"/>
      <c r="BM36" s="29"/>
    </row>
    <row r="37" spans="1:65" s="32" customFormat="1" ht="24" customHeight="1">
      <c r="A37" s="34"/>
      <c r="B37" s="33" t="s">
        <v>258</v>
      </c>
      <c r="C37" s="29">
        <f t="shared" si="54"/>
        <v>4040.2401619999996</v>
      </c>
      <c r="D37" s="29">
        <f t="shared" si="54"/>
        <v>0</v>
      </c>
      <c r="E37" s="29">
        <f t="shared" si="54"/>
        <v>0</v>
      </c>
      <c r="F37" s="29">
        <f t="shared" si="54"/>
        <v>0</v>
      </c>
      <c r="G37" s="29">
        <f t="shared" si="54"/>
        <v>4040.2401619999996</v>
      </c>
      <c r="H37" s="29">
        <f t="shared" si="54"/>
        <v>0</v>
      </c>
      <c r="I37" s="29">
        <f t="shared" si="54"/>
        <v>4040.2401619999996</v>
      </c>
      <c r="J37" s="29">
        <f t="shared" si="52"/>
        <v>617.91106200000002</v>
      </c>
      <c r="K37" s="29"/>
      <c r="L37" s="29"/>
      <c r="M37" s="29"/>
      <c r="N37" s="29">
        <v>617.91106200000002</v>
      </c>
      <c r="O37" s="29"/>
      <c r="P37" s="29">
        <f>N37</f>
        <v>617.91106200000002</v>
      </c>
      <c r="Q37" s="29">
        <f t="shared" si="53"/>
        <v>553.28</v>
      </c>
      <c r="R37" s="29"/>
      <c r="S37" s="29"/>
      <c r="T37" s="29"/>
      <c r="U37" s="29">
        <v>553.28</v>
      </c>
      <c r="V37" s="29"/>
      <c r="W37" s="29">
        <f>U37</f>
        <v>553.28</v>
      </c>
      <c r="X37" s="29">
        <f>Y37+AB37</f>
        <v>468.37</v>
      </c>
      <c r="Y37" s="29"/>
      <c r="Z37" s="29"/>
      <c r="AA37" s="29"/>
      <c r="AB37" s="29">
        <v>468.37</v>
      </c>
      <c r="AC37" s="29"/>
      <c r="AD37" s="29">
        <f>AB37</f>
        <v>468.37</v>
      </c>
      <c r="AE37" s="29">
        <f>AF37+AI37</f>
        <v>0</v>
      </c>
      <c r="AF37" s="29"/>
      <c r="AG37" s="29"/>
      <c r="AH37" s="29"/>
      <c r="AI37" s="29"/>
      <c r="AJ37" s="29"/>
      <c r="AK37" s="29">
        <f>AI37</f>
        <v>0</v>
      </c>
      <c r="AL37" s="29">
        <f>AM37+AP37</f>
        <v>936.43809999999996</v>
      </c>
      <c r="AM37" s="29"/>
      <c r="AN37" s="29"/>
      <c r="AO37" s="29"/>
      <c r="AP37" s="29">
        <v>936.43809999999996</v>
      </c>
      <c r="AQ37" s="29"/>
      <c r="AR37" s="29">
        <f>AP37</f>
        <v>936.43809999999996</v>
      </c>
      <c r="AS37" s="29">
        <f>AT37+AW37</f>
        <v>562.41999999999996</v>
      </c>
      <c r="AT37" s="29"/>
      <c r="AU37" s="29"/>
      <c r="AV37" s="29"/>
      <c r="AW37" s="29">
        <v>562.41999999999996</v>
      </c>
      <c r="AX37" s="29"/>
      <c r="AY37" s="29">
        <f>AW37</f>
        <v>562.41999999999996</v>
      </c>
      <c r="AZ37" s="29">
        <f>BA37+BD37</f>
        <v>418.40600000000001</v>
      </c>
      <c r="BA37" s="29"/>
      <c r="BB37" s="29"/>
      <c r="BC37" s="29"/>
      <c r="BD37" s="29">
        <v>418.40600000000001</v>
      </c>
      <c r="BE37" s="29"/>
      <c r="BF37" s="29">
        <f>BD37</f>
        <v>418.40600000000001</v>
      </c>
      <c r="BG37" s="29">
        <f>BH37+BK37</f>
        <v>483.41500000000002</v>
      </c>
      <c r="BH37" s="29"/>
      <c r="BI37" s="29"/>
      <c r="BJ37" s="29"/>
      <c r="BK37" s="29">
        <v>483.41500000000002</v>
      </c>
      <c r="BL37" s="29"/>
      <c r="BM37" s="29">
        <f>BK37</f>
        <v>483.41500000000002</v>
      </c>
    </row>
    <row r="38" spans="1:65" s="32" customFormat="1" ht="24" customHeight="1">
      <c r="A38" s="34" t="s">
        <v>287</v>
      </c>
      <c r="B38" s="33" t="s">
        <v>295</v>
      </c>
      <c r="C38" s="29">
        <f>D38+G38</f>
        <v>95589.521524000011</v>
      </c>
      <c r="D38" s="814">
        <f>D39+D40</f>
        <v>95589.521524000011</v>
      </c>
      <c r="E38" s="29">
        <f>E39+E40</f>
        <v>67673.82944999999</v>
      </c>
      <c r="F38" s="29">
        <f>F39+F40</f>
        <v>27915.691956999999</v>
      </c>
      <c r="G38" s="29"/>
      <c r="H38" s="29"/>
      <c r="I38" s="29"/>
      <c r="J38" s="29">
        <f t="shared" si="52"/>
        <v>12490.077841</v>
      </c>
      <c r="K38" s="29">
        <f>K39+K40</f>
        <v>12490.077841</v>
      </c>
      <c r="L38" s="29">
        <f>L39+L40</f>
        <v>719.63499999999999</v>
      </c>
      <c r="M38" s="29">
        <f>M39+M40</f>
        <v>11770.442841</v>
      </c>
      <c r="N38" s="29"/>
      <c r="O38" s="29"/>
      <c r="P38" s="29"/>
      <c r="Q38" s="29">
        <f t="shared" si="53"/>
        <v>17871.41</v>
      </c>
      <c r="R38" s="29">
        <f>R39+R40</f>
        <v>17871.41</v>
      </c>
      <c r="S38" s="29">
        <f>S39+S40</f>
        <v>17871.41</v>
      </c>
      <c r="T38" s="29">
        <f>T39+T40</f>
        <v>0</v>
      </c>
      <c r="U38" s="29"/>
      <c r="V38" s="35"/>
      <c r="W38" s="35"/>
      <c r="X38" s="29">
        <f>Y38+AB38</f>
        <v>12565.902</v>
      </c>
      <c r="Y38" s="29">
        <f>Y39+Y40</f>
        <v>12565.902</v>
      </c>
      <c r="Z38" s="29">
        <f>Z39+Z40</f>
        <v>12565.902</v>
      </c>
      <c r="AA38" s="29">
        <f>AA39+AA40</f>
        <v>0</v>
      </c>
      <c r="AB38" s="29"/>
      <c r="AC38" s="35"/>
      <c r="AD38" s="35"/>
      <c r="AE38" s="29">
        <f>AF38+AI38</f>
        <v>0</v>
      </c>
      <c r="AF38" s="29">
        <f>AF39+AF40</f>
        <v>0</v>
      </c>
      <c r="AG38" s="29">
        <f>AG39+AG40</f>
        <v>0</v>
      </c>
      <c r="AH38" s="29">
        <f>AH39+AH40</f>
        <v>0</v>
      </c>
      <c r="AI38" s="29"/>
      <c r="AJ38" s="35"/>
      <c r="AK38" s="35"/>
      <c r="AL38" s="29">
        <f>AM38+AP38</f>
        <v>19807.254682999999</v>
      </c>
      <c r="AM38" s="29">
        <f>AM39+AM40</f>
        <v>19807.254682999999</v>
      </c>
      <c r="AN38" s="29">
        <f>AN39+AN40</f>
        <v>17803.25459</v>
      </c>
      <c r="AO38" s="29">
        <f>AO39+AO40</f>
        <v>2004.0000930000001</v>
      </c>
      <c r="AP38" s="29"/>
      <c r="AQ38" s="35"/>
      <c r="AR38" s="35"/>
      <c r="AS38" s="29">
        <f>AT38+AW38</f>
        <v>11777.08</v>
      </c>
      <c r="AT38" s="29">
        <f>AT39+AT40</f>
        <v>11777.08</v>
      </c>
      <c r="AU38" s="29">
        <f>AU39+AU40</f>
        <v>0</v>
      </c>
      <c r="AV38" s="29">
        <f>AV39+AV40</f>
        <v>11777.08</v>
      </c>
      <c r="AW38" s="29"/>
      <c r="AX38" s="35"/>
      <c r="AY38" s="35"/>
      <c r="AZ38" s="29">
        <f>BA38+BD38</f>
        <v>10157.495999999999</v>
      </c>
      <c r="BA38" s="29">
        <f>BA39+BA40</f>
        <v>10157.495999999999</v>
      </c>
      <c r="BB38" s="29">
        <f>BB39+BB40</f>
        <v>7793.3268599999992</v>
      </c>
      <c r="BC38" s="29">
        <f>BC39+BC40</f>
        <v>2364.1690229999999</v>
      </c>
      <c r="BD38" s="29"/>
      <c r="BE38" s="35"/>
      <c r="BF38" s="35"/>
      <c r="BG38" s="29">
        <f>BH38+BK38</f>
        <v>10920.300999999999</v>
      </c>
      <c r="BH38" s="29">
        <f>BH39+BH40</f>
        <v>10920.300999999999</v>
      </c>
      <c r="BI38" s="29">
        <f>BI39+BI40</f>
        <v>10920.300999999999</v>
      </c>
      <c r="BJ38" s="29"/>
      <c r="BK38" s="29"/>
      <c r="BL38" s="29"/>
      <c r="BM38" s="29"/>
    </row>
    <row r="39" spans="1:65" s="32" customFormat="1" ht="24" customHeight="1">
      <c r="A39" s="34"/>
      <c r="B39" s="33" t="s">
        <v>253</v>
      </c>
      <c r="C39" s="29">
        <f t="shared" ref="C39:I40" si="55">J39+Q39+X39+AE39+AL39+AS39+AZ39+BG39</f>
        <v>56374.000524000003</v>
      </c>
      <c r="D39" s="29">
        <f t="shared" si="55"/>
        <v>56374.000524000003</v>
      </c>
      <c r="E39" s="29">
        <f t="shared" si="55"/>
        <v>38533.727549999996</v>
      </c>
      <c r="F39" s="29">
        <f t="shared" si="55"/>
        <v>17840.272863999999</v>
      </c>
      <c r="G39" s="29">
        <f t="shared" si="55"/>
        <v>0</v>
      </c>
      <c r="H39" s="29">
        <f t="shared" si="55"/>
        <v>0</v>
      </c>
      <c r="I39" s="29">
        <f t="shared" si="55"/>
        <v>0</v>
      </c>
      <c r="J39" s="29">
        <f t="shared" si="52"/>
        <v>9345.7138410000007</v>
      </c>
      <c r="K39" s="29">
        <f>M39</f>
        <v>9345.7138410000007</v>
      </c>
      <c r="L39" s="29"/>
      <c r="M39" s="29">
        <v>9345.7138410000007</v>
      </c>
      <c r="N39" s="29"/>
      <c r="O39" s="29"/>
      <c r="P39" s="29"/>
      <c r="Q39" s="29">
        <f t="shared" si="53"/>
        <v>7865.81</v>
      </c>
      <c r="R39" s="29">
        <v>7865.81</v>
      </c>
      <c r="S39" s="29">
        <f>R39</f>
        <v>7865.81</v>
      </c>
      <c r="T39" s="29"/>
      <c r="U39" s="29"/>
      <c r="V39" s="35"/>
      <c r="W39" s="35"/>
      <c r="X39" s="29">
        <f>Y39+AB39</f>
        <v>7751.692</v>
      </c>
      <c r="Y39" s="29">
        <v>7751.692</v>
      </c>
      <c r="Z39" s="29">
        <f>Y39</f>
        <v>7751.692</v>
      </c>
      <c r="AA39" s="29"/>
      <c r="AB39" s="29"/>
      <c r="AC39" s="35"/>
      <c r="AD39" s="35"/>
      <c r="AE39" s="29">
        <f>AF39+AI39</f>
        <v>0</v>
      </c>
      <c r="AF39" s="29">
        <f>AG39+AH39</f>
        <v>0</v>
      </c>
      <c r="AG39" s="29"/>
      <c r="AH39" s="29"/>
      <c r="AI39" s="29"/>
      <c r="AJ39" s="35"/>
      <c r="AK39" s="35"/>
      <c r="AL39" s="29">
        <f>AM39+AP39</f>
        <v>13802.211683</v>
      </c>
      <c r="AM39" s="29">
        <f>AN39+AO39</f>
        <v>13802.211683</v>
      </c>
      <c r="AN39" s="29">
        <v>12329.85159</v>
      </c>
      <c r="AO39" s="29">
        <v>1472.360093</v>
      </c>
      <c r="AP39" s="29"/>
      <c r="AQ39" s="35"/>
      <c r="AR39" s="35"/>
      <c r="AS39" s="29">
        <f>AT39+AW39</f>
        <v>5826.41</v>
      </c>
      <c r="AT39" s="29">
        <v>5826.41</v>
      </c>
      <c r="AU39" s="29"/>
      <c r="AV39" s="29">
        <f>AT39</f>
        <v>5826.41</v>
      </c>
      <c r="AW39" s="29"/>
      <c r="AX39" s="35"/>
      <c r="AY39" s="35"/>
      <c r="AZ39" s="29">
        <f>BA39+BD39</f>
        <v>3465.5720000000001</v>
      </c>
      <c r="BA39" s="29">
        <v>3465.5720000000001</v>
      </c>
      <c r="BB39" s="29">
        <v>2269.78296</v>
      </c>
      <c r="BC39" s="29">
        <v>1195.7889299999999</v>
      </c>
      <c r="BD39" s="29"/>
      <c r="BE39" s="35"/>
      <c r="BF39" s="35"/>
      <c r="BG39" s="29">
        <f>BH39+BK39</f>
        <v>8316.5910000000003</v>
      </c>
      <c r="BH39" s="29">
        <v>8316.5910000000003</v>
      </c>
      <c r="BI39" s="29">
        <f>BH39</f>
        <v>8316.5910000000003</v>
      </c>
      <c r="BJ39" s="29"/>
      <c r="BK39" s="29"/>
      <c r="BL39" s="29"/>
      <c r="BM39" s="29"/>
    </row>
    <row r="40" spans="1:65" s="32" customFormat="1" ht="24" customHeight="1">
      <c r="A40" s="34"/>
      <c r="B40" s="33" t="s">
        <v>258</v>
      </c>
      <c r="C40" s="29">
        <f t="shared" si="55"/>
        <v>39215.521000000001</v>
      </c>
      <c r="D40" s="29">
        <f t="shared" si="55"/>
        <v>39215.521000000001</v>
      </c>
      <c r="E40" s="29">
        <f t="shared" si="55"/>
        <v>29140.101899999998</v>
      </c>
      <c r="F40" s="29">
        <f t="shared" si="55"/>
        <v>10075.419093</v>
      </c>
      <c r="G40" s="29">
        <f t="shared" si="55"/>
        <v>0</v>
      </c>
      <c r="H40" s="29">
        <f t="shared" si="55"/>
        <v>0</v>
      </c>
      <c r="I40" s="29">
        <f t="shared" si="55"/>
        <v>0</v>
      </c>
      <c r="J40" s="29">
        <f t="shared" si="52"/>
        <v>3144.3639999999996</v>
      </c>
      <c r="K40" s="29">
        <f>L40+M40</f>
        <v>3144.3639999999996</v>
      </c>
      <c r="L40" s="29">
        <v>719.63499999999999</v>
      </c>
      <c r="M40" s="29">
        <v>2424.7289999999998</v>
      </c>
      <c r="N40" s="29"/>
      <c r="O40" s="29"/>
      <c r="P40" s="29"/>
      <c r="Q40" s="29">
        <f t="shared" si="53"/>
        <v>10005.6</v>
      </c>
      <c r="R40" s="29">
        <v>10005.6</v>
      </c>
      <c r="S40" s="29">
        <f>R40</f>
        <v>10005.6</v>
      </c>
      <c r="T40" s="29"/>
      <c r="U40" s="29"/>
      <c r="V40" s="35"/>
      <c r="W40" s="35"/>
      <c r="X40" s="29">
        <f>Y40+AB40</f>
        <v>4814.21</v>
      </c>
      <c r="Y40" s="29">
        <v>4814.21</v>
      </c>
      <c r="Z40" s="29">
        <f>Y40</f>
        <v>4814.21</v>
      </c>
      <c r="AA40" s="29"/>
      <c r="AB40" s="29"/>
      <c r="AC40" s="35"/>
      <c r="AD40" s="35"/>
      <c r="AE40" s="29">
        <f>AF40+AI40</f>
        <v>0</v>
      </c>
      <c r="AF40" s="29">
        <f>AG40+AH40</f>
        <v>0</v>
      </c>
      <c r="AG40" s="29"/>
      <c r="AH40" s="29"/>
      <c r="AI40" s="29"/>
      <c r="AJ40" s="35"/>
      <c r="AK40" s="35"/>
      <c r="AL40" s="29">
        <f>AM40+AP40</f>
        <v>6005.0430000000006</v>
      </c>
      <c r="AM40" s="29">
        <f>AN40+AO40</f>
        <v>6005.0430000000006</v>
      </c>
      <c r="AN40" s="29">
        <v>5473.4030000000002</v>
      </c>
      <c r="AO40" s="29">
        <v>531.64</v>
      </c>
      <c r="AP40" s="29"/>
      <c r="AQ40" s="35"/>
      <c r="AR40" s="35"/>
      <c r="AS40" s="29">
        <f>AT40+AW40</f>
        <v>5950.67</v>
      </c>
      <c r="AT40" s="29">
        <v>5950.67</v>
      </c>
      <c r="AU40" s="29"/>
      <c r="AV40" s="29">
        <f>AT40</f>
        <v>5950.67</v>
      </c>
      <c r="AW40" s="29"/>
      <c r="AX40" s="35"/>
      <c r="AY40" s="35"/>
      <c r="AZ40" s="29">
        <f>BA40+BD40</f>
        <v>6691.924</v>
      </c>
      <c r="BA40" s="29">
        <v>6691.924</v>
      </c>
      <c r="BB40" s="29">
        <v>5523.5438999999997</v>
      </c>
      <c r="BC40" s="29">
        <v>1168.380093</v>
      </c>
      <c r="BD40" s="29"/>
      <c r="BE40" s="35"/>
      <c r="BF40" s="35"/>
      <c r="BG40" s="29">
        <f>BH40+BK40</f>
        <v>2603.71</v>
      </c>
      <c r="BH40" s="29">
        <v>2603.71</v>
      </c>
      <c r="BI40" s="29">
        <f>BH40</f>
        <v>2603.71</v>
      </c>
      <c r="BJ40" s="29"/>
      <c r="BK40" s="29"/>
      <c r="BL40" s="29"/>
      <c r="BM40" s="29"/>
    </row>
    <row r="41" spans="1:65" s="26" customFormat="1" ht="40.5" customHeight="1">
      <c r="A41" s="37" t="s">
        <v>294</v>
      </c>
      <c r="B41" s="36" t="s">
        <v>293</v>
      </c>
      <c r="C41" s="35">
        <f t="shared" ref="C41:AH41" si="56">C42+C44</f>
        <v>18411.583515999999</v>
      </c>
      <c r="D41" s="35">
        <f t="shared" si="56"/>
        <v>0</v>
      </c>
      <c r="E41" s="35">
        <f t="shared" si="56"/>
        <v>0</v>
      </c>
      <c r="F41" s="35">
        <f t="shared" si="56"/>
        <v>0</v>
      </c>
      <c r="G41" s="35">
        <f t="shared" si="56"/>
        <v>18411.583515999999</v>
      </c>
      <c r="H41" s="35">
        <f t="shared" si="56"/>
        <v>290</v>
      </c>
      <c r="I41" s="35">
        <f t="shared" si="56"/>
        <v>18121.583515999999</v>
      </c>
      <c r="J41" s="35">
        <f t="shared" si="56"/>
        <v>2468.6201460000002</v>
      </c>
      <c r="K41" s="35">
        <f t="shared" si="56"/>
        <v>0</v>
      </c>
      <c r="L41" s="35">
        <f t="shared" si="56"/>
        <v>0</v>
      </c>
      <c r="M41" s="35">
        <f t="shared" si="56"/>
        <v>0</v>
      </c>
      <c r="N41" s="35">
        <f t="shared" si="56"/>
        <v>2468.6201460000002</v>
      </c>
      <c r="O41" s="35">
        <f t="shared" si="56"/>
        <v>0</v>
      </c>
      <c r="P41" s="35">
        <f t="shared" si="56"/>
        <v>2468.6201460000002</v>
      </c>
      <c r="Q41" s="35">
        <f t="shared" si="56"/>
        <v>2584.8910000000001</v>
      </c>
      <c r="R41" s="35">
        <f t="shared" si="56"/>
        <v>0</v>
      </c>
      <c r="S41" s="35">
        <f t="shared" si="56"/>
        <v>0</v>
      </c>
      <c r="T41" s="35">
        <f t="shared" si="56"/>
        <v>0</v>
      </c>
      <c r="U41" s="35">
        <f t="shared" si="56"/>
        <v>2584.8910000000001</v>
      </c>
      <c r="V41" s="35">
        <f t="shared" si="56"/>
        <v>0</v>
      </c>
      <c r="W41" s="35">
        <f t="shared" si="56"/>
        <v>2584.8910000000001</v>
      </c>
      <c r="X41" s="35">
        <f t="shared" si="56"/>
        <v>2025.64</v>
      </c>
      <c r="Y41" s="35">
        <f t="shared" si="56"/>
        <v>0</v>
      </c>
      <c r="Z41" s="35">
        <f t="shared" si="56"/>
        <v>0</v>
      </c>
      <c r="AA41" s="35">
        <f t="shared" si="56"/>
        <v>0</v>
      </c>
      <c r="AB41" s="35">
        <f t="shared" si="56"/>
        <v>2025.64</v>
      </c>
      <c r="AC41" s="35">
        <f t="shared" si="56"/>
        <v>64</v>
      </c>
      <c r="AD41" s="35">
        <f t="shared" si="56"/>
        <v>1961.64</v>
      </c>
      <c r="AE41" s="35">
        <f t="shared" si="56"/>
        <v>3</v>
      </c>
      <c r="AF41" s="35">
        <f t="shared" si="56"/>
        <v>0</v>
      </c>
      <c r="AG41" s="35">
        <f t="shared" si="56"/>
        <v>0</v>
      </c>
      <c r="AH41" s="35">
        <f t="shared" si="56"/>
        <v>0</v>
      </c>
      <c r="AI41" s="35">
        <f t="shared" ref="AI41:BM41" si="57">AI42+AI44</f>
        <v>3</v>
      </c>
      <c r="AJ41" s="35">
        <f t="shared" si="57"/>
        <v>0</v>
      </c>
      <c r="AK41" s="35">
        <f t="shared" si="57"/>
        <v>3</v>
      </c>
      <c r="AL41" s="35">
        <f t="shared" si="57"/>
        <v>4584.9153699999997</v>
      </c>
      <c r="AM41" s="35">
        <f t="shared" si="57"/>
        <v>0</v>
      </c>
      <c r="AN41" s="35">
        <f t="shared" si="57"/>
        <v>0</v>
      </c>
      <c r="AO41" s="35">
        <f t="shared" si="57"/>
        <v>0</v>
      </c>
      <c r="AP41" s="35">
        <f t="shared" si="57"/>
        <v>4584.9153699999997</v>
      </c>
      <c r="AQ41" s="35">
        <f t="shared" si="57"/>
        <v>144</v>
      </c>
      <c r="AR41" s="35">
        <f t="shared" si="57"/>
        <v>4440.9153699999997</v>
      </c>
      <c r="AS41" s="35">
        <f t="shared" si="57"/>
        <v>2700.63</v>
      </c>
      <c r="AT41" s="35">
        <f t="shared" si="57"/>
        <v>0</v>
      </c>
      <c r="AU41" s="35">
        <f t="shared" si="57"/>
        <v>0</v>
      </c>
      <c r="AV41" s="35">
        <f t="shared" si="57"/>
        <v>0</v>
      </c>
      <c r="AW41" s="35">
        <f t="shared" si="57"/>
        <v>2700.63</v>
      </c>
      <c r="AX41" s="35">
        <f t="shared" si="57"/>
        <v>82</v>
      </c>
      <c r="AY41" s="35">
        <f t="shared" si="57"/>
        <v>2618.63</v>
      </c>
      <c r="AZ41" s="35">
        <f t="shared" si="57"/>
        <v>1830.72</v>
      </c>
      <c r="BA41" s="35">
        <f t="shared" si="57"/>
        <v>0</v>
      </c>
      <c r="BB41" s="35">
        <f t="shared" si="57"/>
        <v>0</v>
      </c>
      <c r="BC41" s="35">
        <f t="shared" si="57"/>
        <v>0</v>
      </c>
      <c r="BD41" s="35">
        <f t="shared" si="57"/>
        <v>1830.72</v>
      </c>
      <c r="BE41" s="35">
        <f t="shared" si="57"/>
        <v>0</v>
      </c>
      <c r="BF41" s="35">
        <f t="shared" si="57"/>
        <v>1830.72</v>
      </c>
      <c r="BG41" s="35">
        <f t="shared" si="57"/>
        <v>2213.1669999999999</v>
      </c>
      <c r="BH41" s="35">
        <f t="shared" si="57"/>
        <v>0</v>
      </c>
      <c r="BI41" s="35">
        <f t="shared" si="57"/>
        <v>0</v>
      </c>
      <c r="BJ41" s="35">
        <f t="shared" si="57"/>
        <v>0</v>
      </c>
      <c r="BK41" s="35">
        <f t="shared" si="57"/>
        <v>2213.1669999999999</v>
      </c>
      <c r="BL41" s="35">
        <f t="shared" si="57"/>
        <v>0</v>
      </c>
      <c r="BM41" s="35">
        <f t="shared" si="57"/>
        <v>2213.1669999999999</v>
      </c>
    </row>
    <row r="42" spans="1:65" s="32" customFormat="1" ht="18" customHeight="1">
      <c r="A42" s="34" t="s">
        <v>287</v>
      </c>
      <c r="B42" s="33" t="s">
        <v>292</v>
      </c>
      <c r="C42" s="29">
        <f>D42+G42</f>
        <v>18054.584515999999</v>
      </c>
      <c r="D42" s="29">
        <f>D43</f>
        <v>0</v>
      </c>
      <c r="E42" s="29"/>
      <c r="F42" s="29">
        <f>F43</f>
        <v>0</v>
      </c>
      <c r="G42" s="29">
        <f>G43</f>
        <v>18054.584515999999</v>
      </c>
      <c r="H42" s="29"/>
      <c r="I42" s="29">
        <f>I43</f>
        <v>18054.584515999999</v>
      </c>
      <c r="J42" s="29">
        <f t="shared" ref="J42:J55" si="58">K42+N42</f>
        <v>2468.6201460000002</v>
      </c>
      <c r="K42" s="29">
        <f>K43</f>
        <v>0</v>
      </c>
      <c r="L42" s="29"/>
      <c r="M42" s="29">
        <f>M43</f>
        <v>0</v>
      </c>
      <c r="N42" s="29">
        <f>N43</f>
        <v>2468.6201460000002</v>
      </c>
      <c r="O42" s="29"/>
      <c r="P42" s="29">
        <f>P43</f>
        <v>2468.6201460000002</v>
      </c>
      <c r="Q42" s="29">
        <f t="shared" ref="Q42:Q57" si="59">R42+U42</f>
        <v>2584.8910000000001</v>
      </c>
      <c r="R42" s="29"/>
      <c r="S42" s="29"/>
      <c r="T42" s="29"/>
      <c r="U42" s="29">
        <f>U43</f>
        <v>2584.8910000000001</v>
      </c>
      <c r="V42" s="29">
        <f>V43</f>
        <v>0</v>
      </c>
      <c r="W42" s="29">
        <f>W43</f>
        <v>2584.8910000000001</v>
      </c>
      <c r="X42" s="29">
        <f t="shared" ref="X42:X55" si="60">Y42+AB42</f>
        <v>1961.64</v>
      </c>
      <c r="Y42" s="29"/>
      <c r="Z42" s="29"/>
      <c r="AA42" s="29"/>
      <c r="AB42" s="29">
        <f>AB43</f>
        <v>1961.64</v>
      </c>
      <c r="AC42" s="29">
        <f>AC43</f>
        <v>0</v>
      </c>
      <c r="AD42" s="29">
        <f>AD43</f>
        <v>1961.64</v>
      </c>
      <c r="AE42" s="29">
        <f t="shared" ref="AE42:AE55" si="61">AF42+AI42</f>
        <v>3</v>
      </c>
      <c r="AF42" s="29"/>
      <c r="AG42" s="29"/>
      <c r="AH42" s="29"/>
      <c r="AI42" s="29">
        <f>AI43</f>
        <v>3</v>
      </c>
      <c r="AJ42" s="29"/>
      <c r="AK42" s="29">
        <f>AK43</f>
        <v>3</v>
      </c>
      <c r="AL42" s="29">
        <f t="shared" ref="AL42:AL55" si="62">AM42+AP42</f>
        <v>4440.9153699999997</v>
      </c>
      <c r="AM42" s="29"/>
      <c r="AN42" s="29"/>
      <c r="AO42" s="29"/>
      <c r="AP42" s="29">
        <f>AP43</f>
        <v>4440.9153699999997</v>
      </c>
      <c r="AQ42" s="29"/>
      <c r="AR42" s="29">
        <f>AR43</f>
        <v>4440.9153699999997</v>
      </c>
      <c r="AS42" s="29">
        <f t="shared" ref="AS42:AS55" si="63">AT42+AW42</f>
        <v>2618.63</v>
      </c>
      <c r="AT42" s="29"/>
      <c r="AU42" s="29"/>
      <c r="AV42" s="29"/>
      <c r="AW42" s="29">
        <f>AW43</f>
        <v>2618.63</v>
      </c>
      <c r="AX42" s="29"/>
      <c r="AY42" s="29">
        <f>AY43</f>
        <v>2618.63</v>
      </c>
      <c r="AZ42" s="29">
        <f t="shared" ref="AZ42:AZ55" si="64">BA42+BD42</f>
        <v>1830.72</v>
      </c>
      <c r="BA42" s="29"/>
      <c r="BB42" s="29"/>
      <c r="BC42" s="29"/>
      <c r="BD42" s="29">
        <f>BD43</f>
        <v>1830.72</v>
      </c>
      <c r="BE42" s="29"/>
      <c r="BF42" s="29">
        <f>BF43</f>
        <v>1830.72</v>
      </c>
      <c r="BG42" s="29">
        <f t="shared" ref="BG42:BG55" si="65">BH42+BK42</f>
        <v>2146.1680000000001</v>
      </c>
      <c r="BH42" s="29">
        <f>BH43</f>
        <v>0</v>
      </c>
      <c r="BI42" s="29"/>
      <c r="BJ42" s="29">
        <f>BJ43</f>
        <v>0</v>
      </c>
      <c r="BK42" s="29">
        <f>BK43</f>
        <v>2146.1680000000001</v>
      </c>
      <c r="BL42" s="29"/>
      <c r="BM42" s="29">
        <f>BM43</f>
        <v>2146.1680000000001</v>
      </c>
    </row>
    <row r="43" spans="1:65" s="32" customFormat="1" ht="24" customHeight="1">
      <c r="A43" s="34"/>
      <c r="B43" s="33" t="s">
        <v>258</v>
      </c>
      <c r="C43" s="29">
        <f t="shared" ref="C43:I43" si="66">J43+Q43+X43+AE43+AL43+AS43+AZ43+BG43</f>
        <v>18054.584515999999</v>
      </c>
      <c r="D43" s="29">
        <f t="shared" si="66"/>
        <v>0</v>
      </c>
      <c r="E43" s="29">
        <f t="shared" si="66"/>
        <v>0</v>
      </c>
      <c r="F43" s="29">
        <f t="shared" si="66"/>
        <v>0</v>
      </c>
      <c r="G43" s="29">
        <f t="shared" si="66"/>
        <v>18054.584515999999</v>
      </c>
      <c r="H43" s="29">
        <f t="shared" si="66"/>
        <v>0</v>
      </c>
      <c r="I43" s="29">
        <f t="shared" si="66"/>
        <v>18054.584515999999</v>
      </c>
      <c r="J43" s="29">
        <f t="shared" si="58"/>
        <v>2468.6201460000002</v>
      </c>
      <c r="K43" s="29"/>
      <c r="L43" s="29"/>
      <c r="M43" s="29"/>
      <c r="N43" s="29">
        <v>2468.6201460000002</v>
      </c>
      <c r="O43" s="29"/>
      <c r="P43" s="29">
        <f>N43</f>
        <v>2468.6201460000002</v>
      </c>
      <c r="Q43" s="29">
        <f t="shared" si="59"/>
        <v>2584.8910000000001</v>
      </c>
      <c r="R43" s="29"/>
      <c r="S43" s="29"/>
      <c r="T43" s="29"/>
      <c r="U43" s="29">
        <v>2584.8910000000001</v>
      </c>
      <c r="V43" s="29"/>
      <c r="W43" s="29">
        <f>U43</f>
        <v>2584.8910000000001</v>
      </c>
      <c r="X43" s="29">
        <f t="shared" si="60"/>
        <v>1961.64</v>
      </c>
      <c r="Y43" s="29"/>
      <c r="Z43" s="29"/>
      <c r="AA43" s="29"/>
      <c r="AB43" s="29">
        <f>AC43+AD43</f>
        <v>1961.64</v>
      </c>
      <c r="AC43" s="29"/>
      <c r="AD43" s="29">
        <v>1961.64</v>
      </c>
      <c r="AE43" s="29">
        <f t="shared" si="61"/>
        <v>3</v>
      </c>
      <c r="AF43" s="29"/>
      <c r="AG43" s="29"/>
      <c r="AH43" s="29"/>
      <c r="AI43" s="29">
        <v>3</v>
      </c>
      <c r="AJ43" s="35"/>
      <c r="AK43" s="29">
        <f>AI43</f>
        <v>3</v>
      </c>
      <c r="AL43" s="29">
        <f t="shared" si="62"/>
        <v>4440.9153699999997</v>
      </c>
      <c r="AM43" s="29"/>
      <c r="AN43" s="29"/>
      <c r="AO43" s="29"/>
      <c r="AP43" s="29">
        <v>4440.9153699999997</v>
      </c>
      <c r="AQ43" s="35"/>
      <c r="AR43" s="29">
        <f>AP43</f>
        <v>4440.9153699999997</v>
      </c>
      <c r="AS43" s="29">
        <f t="shared" si="63"/>
        <v>2618.63</v>
      </c>
      <c r="AT43" s="29"/>
      <c r="AU43" s="29"/>
      <c r="AV43" s="29"/>
      <c r="AW43" s="29">
        <v>2618.63</v>
      </c>
      <c r="AX43" s="35"/>
      <c r="AY43" s="29">
        <f>AW43</f>
        <v>2618.63</v>
      </c>
      <c r="AZ43" s="29">
        <f t="shared" si="64"/>
        <v>1830.72</v>
      </c>
      <c r="BA43" s="29"/>
      <c r="BB43" s="29"/>
      <c r="BC43" s="29"/>
      <c r="BD43" s="29">
        <v>1830.72</v>
      </c>
      <c r="BE43" s="35"/>
      <c r="BF43" s="29">
        <f>BD43</f>
        <v>1830.72</v>
      </c>
      <c r="BG43" s="29">
        <f t="shared" si="65"/>
        <v>2146.1680000000001</v>
      </c>
      <c r="BH43" s="29"/>
      <c r="BI43" s="29"/>
      <c r="BJ43" s="29"/>
      <c r="BK43" s="29">
        <v>2146.1680000000001</v>
      </c>
      <c r="BL43" s="29"/>
      <c r="BM43" s="29">
        <f>BK43</f>
        <v>2146.1680000000001</v>
      </c>
    </row>
    <row r="44" spans="1:65" s="32" customFormat="1" ht="28.5" customHeight="1">
      <c r="A44" s="34" t="s">
        <v>287</v>
      </c>
      <c r="B44" s="33" t="s">
        <v>289</v>
      </c>
      <c r="C44" s="29">
        <f>D44+G44</f>
        <v>356.99900000000002</v>
      </c>
      <c r="D44" s="29"/>
      <c r="E44" s="29"/>
      <c r="F44" s="29"/>
      <c r="G44" s="29">
        <f>G45</f>
        <v>356.99900000000002</v>
      </c>
      <c r="H44" s="29">
        <f>H45</f>
        <v>290</v>
      </c>
      <c r="I44" s="29">
        <f>I45</f>
        <v>66.998999999999995</v>
      </c>
      <c r="J44" s="29">
        <f t="shared" si="58"/>
        <v>0</v>
      </c>
      <c r="K44" s="29"/>
      <c r="L44" s="29"/>
      <c r="M44" s="29"/>
      <c r="N44" s="29">
        <f>N45</f>
        <v>0</v>
      </c>
      <c r="O44" s="29"/>
      <c r="P44" s="29">
        <f>P45</f>
        <v>0</v>
      </c>
      <c r="Q44" s="29">
        <f t="shared" si="59"/>
        <v>0</v>
      </c>
      <c r="R44" s="29"/>
      <c r="S44" s="29"/>
      <c r="T44" s="29"/>
      <c r="U44" s="29">
        <f>U45</f>
        <v>0</v>
      </c>
      <c r="V44" s="29">
        <f>V45</f>
        <v>0</v>
      </c>
      <c r="W44" s="29">
        <f>W45</f>
        <v>0</v>
      </c>
      <c r="X44" s="29">
        <f t="shared" si="60"/>
        <v>64</v>
      </c>
      <c r="Y44" s="29"/>
      <c r="Z44" s="29"/>
      <c r="AA44" s="29"/>
      <c r="AB44" s="29">
        <f>AB45</f>
        <v>64</v>
      </c>
      <c r="AC44" s="29">
        <f>AC45</f>
        <v>64</v>
      </c>
      <c r="AD44" s="29">
        <f>AD45</f>
        <v>0</v>
      </c>
      <c r="AE44" s="29">
        <f t="shared" si="61"/>
        <v>0</v>
      </c>
      <c r="AF44" s="29"/>
      <c r="AG44" s="29"/>
      <c r="AH44" s="29"/>
      <c r="AI44" s="29">
        <f>AI45</f>
        <v>0</v>
      </c>
      <c r="AJ44" s="29">
        <f>AJ45</f>
        <v>0</v>
      </c>
      <c r="AK44" s="29">
        <f>AK45</f>
        <v>0</v>
      </c>
      <c r="AL44" s="29">
        <f t="shared" si="62"/>
        <v>144</v>
      </c>
      <c r="AM44" s="29"/>
      <c r="AN44" s="29"/>
      <c r="AO44" s="29"/>
      <c r="AP44" s="29">
        <f>AP45</f>
        <v>144</v>
      </c>
      <c r="AQ44" s="29">
        <f>AQ45</f>
        <v>144</v>
      </c>
      <c r="AR44" s="29">
        <f>AR45</f>
        <v>0</v>
      </c>
      <c r="AS44" s="29">
        <f t="shared" si="63"/>
        <v>82</v>
      </c>
      <c r="AT44" s="29"/>
      <c r="AU44" s="29"/>
      <c r="AV44" s="29"/>
      <c r="AW44" s="29">
        <f>AW45</f>
        <v>82</v>
      </c>
      <c r="AX44" s="29">
        <f>AX45</f>
        <v>82</v>
      </c>
      <c r="AY44" s="29">
        <f>AY45</f>
        <v>0</v>
      </c>
      <c r="AZ44" s="29">
        <f t="shared" si="64"/>
        <v>0</v>
      </c>
      <c r="BA44" s="29"/>
      <c r="BB44" s="29"/>
      <c r="BC44" s="29"/>
      <c r="BD44" s="29">
        <f>BD45</f>
        <v>0</v>
      </c>
      <c r="BE44" s="29"/>
      <c r="BF44" s="29"/>
      <c r="BG44" s="29">
        <f t="shared" si="65"/>
        <v>66.998999999999995</v>
      </c>
      <c r="BH44" s="29"/>
      <c r="BI44" s="29"/>
      <c r="BJ44" s="29"/>
      <c r="BK44" s="29">
        <f>BK45</f>
        <v>66.998999999999995</v>
      </c>
      <c r="BL44" s="29"/>
      <c r="BM44" s="29">
        <f>BM45</f>
        <v>66.998999999999995</v>
      </c>
    </row>
    <row r="45" spans="1:65" s="32" customFormat="1" ht="28.5" customHeight="1">
      <c r="A45" s="34"/>
      <c r="B45" s="33" t="s">
        <v>258</v>
      </c>
      <c r="C45" s="29">
        <f t="shared" ref="C45:I45" si="67">J45+Q45+X45+AE45+AL45+AS45+AZ45+BG45</f>
        <v>356.99900000000002</v>
      </c>
      <c r="D45" s="29">
        <f t="shared" si="67"/>
        <v>0</v>
      </c>
      <c r="E45" s="29">
        <f t="shared" si="67"/>
        <v>0</v>
      </c>
      <c r="F45" s="29">
        <f t="shared" si="67"/>
        <v>0</v>
      </c>
      <c r="G45" s="29">
        <f t="shared" si="67"/>
        <v>356.99900000000002</v>
      </c>
      <c r="H45" s="29">
        <f t="shared" si="67"/>
        <v>290</v>
      </c>
      <c r="I45" s="29">
        <f t="shared" si="67"/>
        <v>66.998999999999995</v>
      </c>
      <c r="J45" s="29">
        <f t="shared" si="58"/>
        <v>0</v>
      </c>
      <c r="K45" s="29"/>
      <c r="L45" s="29"/>
      <c r="M45" s="29"/>
      <c r="N45" s="29"/>
      <c r="O45" s="29"/>
      <c r="P45" s="29">
        <f>N45</f>
        <v>0</v>
      </c>
      <c r="Q45" s="29">
        <f t="shared" si="59"/>
        <v>0</v>
      </c>
      <c r="R45" s="29"/>
      <c r="S45" s="29"/>
      <c r="T45" s="29"/>
      <c r="U45" s="29">
        <f>V45</f>
        <v>0</v>
      </c>
      <c r="V45" s="29"/>
      <c r="W45" s="29"/>
      <c r="X45" s="29">
        <f t="shared" si="60"/>
        <v>64</v>
      </c>
      <c r="Y45" s="29"/>
      <c r="Z45" s="29"/>
      <c r="AA45" s="29"/>
      <c r="AB45" s="29">
        <f>AC45</f>
        <v>64</v>
      </c>
      <c r="AC45" s="29">
        <v>64</v>
      </c>
      <c r="AD45" s="29"/>
      <c r="AE45" s="29">
        <f t="shared" si="61"/>
        <v>0</v>
      </c>
      <c r="AF45" s="29"/>
      <c r="AG45" s="29"/>
      <c r="AH45" s="29"/>
      <c r="AI45" s="29"/>
      <c r="AJ45" s="29">
        <f>AI45</f>
        <v>0</v>
      </c>
      <c r="AK45" s="29"/>
      <c r="AL45" s="29">
        <f t="shared" si="62"/>
        <v>144</v>
      </c>
      <c r="AM45" s="29"/>
      <c r="AN45" s="29"/>
      <c r="AO45" s="29"/>
      <c r="AP45" s="29">
        <v>144</v>
      </c>
      <c r="AQ45" s="29">
        <f>AP45</f>
        <v>144</v>
      </c>
      <c r="AR45" s="29"/>
      <c r="AS45" s="29">
        <f t="shared" si="63"/>
        <v>82</v>
      </c>
      <c r="AT45" s="29"/>
      <c r="AU45" s="29"/>
      <c r="AV45" s="29"/>
      <c r="AW45" s="29">
        <v>82</v>
      </c>
      <c r="AX45" s="29">
        <f>AW45</f>
        <v>82</v>
      </c>
      <c r="AY45" s="29"/>
      <c r="AZ45" s="29">
        <f t="shared" si="64"/>
        <v>0</v>
      </c>
      <c r="BA45" s="29"/>
      <c r="BB45" s="29"/>
      <c r="BC45" s="29"/>
      <c r="BD45" s="29"/>
      <c r="BE45" s="29"/>
      <c r="BF45" s="29"/>
      <c r="BG45" s="29">
        <f t="shared" si="65"/>
        <v>66.998999999999995</v>
      </c>
      <c r="BH45" s="29"/>
      <c r="BI45" s="29"/>
      <c r="BJ45" s="29"/>
      <c r="BK45" s="29">
        <v>66.998999999999995</v>
      </c>
      <c r="BL45" s="29"/>
      <c r="BM45" s="29">
        <f>BK45</f>
        <v>66.998999999999995</v>
      </c>
    </row>
    <row r="46" spans="1:65" s="26" customFormat="1" ht="45.75" customHeight="1">
      <c r="A46" s="37">
        <v>3</v>
      </c>
      <c r="B46" s="36" t="s">
        <v>291</v>
      </c>
      <c r="C46" s="35">
        <f t="shared" ref="C46:I46" si="68">C47+C49</f>
        <v>1253.7565999999999</v>
      </c>
      <c r="D46" s="35">
        <f t="shared" si="68"/>
        <v>0</v>
      </c>
      <c r="E46" s="35">
        <f t="shared" si="68"/>
        <v>0</v>
      </c>
      <c r="F46" s="35">
        <f t="shared" si="68"/>
        <v>0</v>
      </c>
      <c r="G46" s="35">
        <f t="shared" si="68"/>
        <v>1253.7565999999999</v>
      </c>
      <c r="H46" s="35">
        <f t="shared" si="68"/>
        <v>892.83659999999998</v>
      </c>
      <c r="I46" s="35">
        <f t="shared" si="68"/>
        <v>360.91999999999996</v>
      </c>
      <c r="J46" s="35">
        <f t="shared" si="58"/>
        <v>0</v>
      </c>
      <c r="K46" s="35"/>
      <c r="L46" s="35"/>
      <c r="M46" s="35"/>
      <c r="N46" s="35"/>
      <c r="O46" s="35"/>
      <c r="P46" s="35"/>
      <c r="Q46" s="35">
        <f t="shared" si="59"/>
        <v>494</v>
      </c>
      <c r="R46" s="35">
        <f t="shared" ref="R46:W46" si="69">R47+R49</f>
        <v>0</v>
      </c>
      <c r="S46" s="35">
        <f t="shared" si="69"/>
        <v>0</v>
      </c>
      <c r="T46" s="35">
        <f t="shared" si="69"/>
        <v>0</v>
      </c>
      <c r="U46" s="35">
        <f t="shared" si="69"/>
        <v>494</v>
      </c>
      <c r="V46" s="35">
        <f t="shared" si="69"/>
        <v>494</v>
      </c>
      <c r="W46" s="35">
        <f t="shared" si="69"/>
        <v>0</v>
      </c>
      <c r="X46" s="35">
        <f t="shared" si="60"/>
        <v>265.99459999999999</v>
      </c>
      <c r="Y46" s="35">
        <f t="shared" ref="Y46:AD46" si="70">Y47+Y49</f>
        <v>0</v>
      </c>
      <c r="Z46" s="35">
        <f t="shared" si="70"/>
        <v>0</v>
      </c>
      <c r="AA46" s="35">
        <f t="shared" si="70"/>
        <v>0</v>
      </c>
      <c r="AB46" s="35">
        <f t="shared" si="70"/>
        <v>265.99459999999999</v>
      </c>
      <c r="AC46" s="35">
        <f t="shared" si="70"/>
        <v>265.99459999999999</v>
      </c>
      <c r="AD46" s="35">
        <f t="shared" si="70"/>
        <v>0</v>
      </c>
      <c r="AE46" s="35">
        <f t="shared" si="61"/>
        <v>75</v>
      </c>
      <c r="AF46" s="35">
        <f t="shared" ref="AF46:AK46" si="71">AF47+AF49</f>
        <v>0</v>
      </c>
      <c r="AG46" s="35">
        <f t="shared" si="71"/>
        <v>0</v>
      </c>
      <c r="AH46" s="35">
        <f t="shared" si="71"/>
        <v>0</v>
      </c>
      <c r="AI46" s="35">
        <f t="shared" si="71"/>
        <v>75</v>
      </c>
      <c r="AJ46" s="35">
        <f t="shared" si="71"/>
        <v>0</v>
      </c>
      <c r="AK46" s="35">
        <f t="shared" si="71"/>
        <v>75</v>
      </c>
      <c r="AL46" s="35">
        <f t="shared" si="62"/>
        <v>266.84199999999998</v>
      </c>
      <c r="AM46" s="35">
        <f t="shared" ref="AM46:AR46" si="72">AM47+AM49</f>
        <v>0</v>
      </c>
      <c r="AN46" s="35">
        <f t="shared" si="72"/>
        <v>0</v>
      </c>
      <c r="AO46" s="35">
        <f t="shared" si="72"/>
        <v>0</v>
      </c>
      <c r="AP46" s="35">
        <f t="shared" si="72"/>
        <v>266.84199999999998</v>
      </c>
      <c r="AQ46" s="35">
        <f t="shared" si="72"/>
        <v>132.84200000000001</v>
      </c>
      <c r="AR46" s="35">
        <f t="shared" si="72"/>
        <v>134</v>
      </c>
      <c r="AS46" s="35">
        <f t="shared" si="63"/>
        <v>151.91999999999999</v>
      </c>
      <c r="AT46" s="35">
        <f>AU46+AX46</f>
        <v>0</v>
      </c>
      <c r="AU46" s="35"/>
      <c r="AV46" s="35"/>
      <c r="AW46" s="35">
        <f>AW47+AW49</f>
        <v>151.91999999999999</v>
      </c>
      <c r="AX46" s="35">
        <f>AX47+AX49</f>
        <v>0</v>
      </c>
      <c r="AY46" s="35">
        <f>AY47+AY49</f>
        <v>151.91999999999999</v>
      </c>
      <c r="AZ46" s="35">
        <f t="shared" si="64"/>
        <v>0</v>
      </c>
      <c r="BA46" s="35">
        <f t="shared" ref="BA46:BF46" si="73">BB46+BE46</f>
        <v>0</v>
      </c>
      <c r="BB46" s="35">
        <f t="shared" si="73"/>
        <v>0</v>
      </c>
      <c r="BC46" s="35">
        <f t="shared" si="73"/>
        <v>0</v>
      </c>
      <c r="BD46" s="35">
        <f t="shared" si="73"/>
        <v>0</v>
      </c>
      <c r="BE46" s="35">
        <f t="shared" si="73"/>
        <v>0</v>
      </c>
      <c r="BF46" s="35">
        <f t="shared" si="73"/>
        <v>0</v>
      </c>
      <c r="BG46" s="35">
        <f t="shared" si="65"/>
        <v>0</v>
      </c>
      <c r="BH46" s="35"/>
      <c r="BI46" s="35"/>
      <c r="BJ46" s="35"/>
      <c r="BK46" s="35"/>
      <c r="BL46" s="35"/>
      <c r="BM46" s="35"/>
    </row>
    <row r="47" spans="1:65" s="32" customFormat="1" ht="29.25" customHeight="1">
      <c r="A47" s="34" t="s">
        <v>287</v>
      </c>
      <c r="B47" s="33" t="s">
        <v>290</v>
      </c>
      <c r="C47" s="29">
        <f t="shared" ref="C47:I47" si="74">C48</f>
        <v>716.99459999999999</v>
      </c>
      <c r="D47" s="29">
        <f t="shared" si="74"/>
        <v>0</v>
      </c>
      <c r="E47" s="29">
        <f t="shared" si="74"/>
        <v>0</v>
      </c>
      <c r="F47" s="29">
        <f t="shared" si="74"/>
        <v>0</v>
      </c>
      <c r="G47" s="29">
        <f t="shared" si="74"/>
        <v>716.99459999999999</v>
      </c>
      <c r="H47" s="29">
        <f t="shared" si="74"/>
        <v>482.99459999999999</v>
      </c>
      <c r="I47" s="29">
        <f t="shared" si="74"/>
        <v>234</v>
      </c>
      <c r="J47" s="29">
        <f t="shared" si="58"/>
        <v>0</v>
      </c>
      <c r="K47" s="29"/>
      <c r="L47" s="29"/>
      <c r="M47" s="29"/>
      <c r="N47" s="29"/>
      <c r="O47" s="29"/>
      <c r="P47" s="29"/>
      <c r="Q47" s="29">
        <f t="shared" si="59"/>
        <v>217</v>
      </c>
      <c r="R47" s="29"/>
      <c r="S47" s="29"/>
      <c r="T47" s="29"/>
      <c r="U47" s="29">
        <f>U48</f>
        <v>217</v>
      </c>
      <c r="V47" s="29">
        <f>V48</f>
        <v>217</v>
      </c>
      <c r="W47" s="29">
        <f>W48</f>
        <v>0</v>
      </c>
      <c r="X47" s="29">
        <f t="shared" si="60"/>
        <v>265.99459999999999</v>
      </c>
      <c r="Y47" s="29"/>
      <c r="Z47" s="29"/>
      <c r="AA47" s="29"/>
      <c r="AB47" s="29">
        <f>AB48</f>
        <v>265.99459999999999</v>
      </c>
      <c r="AC47" s="29">
        <f>AC48</f>
        <v>265.99459999999999</v>
      </c>
      <c r="AD47" s="29">
        <f>AD48</f>
        <v>0</v>
      </c>
      <c r="AE47" s="29">
        <f t="shared" si="61"/>
        <v>33</v>
      </c>
      <c r="AF47" s="29"/>
      <c r="AG47" s="29"/>
      <c r="AH47" s="29"/>
      <c r="AI47" s="29">
        <f>AI48</f>
        <v>33</v>
      </c>
      <c r="AJ47" s="29">
        <f>AJ48</f>
        <v>0</v>
      </c>
      <c r="AK47" s="29">
        <f>AK48</f>
        <v>33</v>
      </c>
      <c r="AL47" s="29">
        <f t="shared" si="62"/>
        <v>134</v>
      </c>
      <c r="AM47" s="29"/>
      <c r="AN47" s="29"/>
      <c r="AO47" s="29"/>
      <c r="AP47" s="29">
        <f>AP48</f>
        <v>134</v>
      </c>
      <c r="AQ47" s="29">
        <f>AQ48</f>
        <v>0</v>
      </c>
      <c r="AR47" s="29">
        <f>AR48</f>
        <v>134</v>
      </c>
      <c r="AS47" s="29">
        <f t="shared" si="63"/>
        <v>67</v>
      </c>
      <c r="AT47" s="29"/>
      <c r="AU47" s="29"/>
      <c r="AV47" s="29"/>
      <c r="AW47" s="29">
        <f>AW48</f>
        <v>67</v>
      </c>
      <c r="AX47" s="29">
        <f>AX48</f>
        <v>0</v>
      </c>
      <c r="AY47" s="29">
        <f>AY48</f>
        <v>67</v>
      </c>
      <c r="AZ47" s="29">
        <f t="shared" si="64"/>
        <v>0</v>
      </c>
      <c r="BA47" s="29"/>
      <c r="BB47" s="29"/>
      <c r="BC47" s="29"/>
      <c r="BD47" s="29"/>
      <c r="BE47" s="29"/>
      <c r="BF47" s="29"/>
      <c r="BG47" s="29">
        <f t="shared" si="65"/>
        <v>0</v>
      </c>
      <c r="BH47" s="29"/>
      <c r="BI47" s="29"/>
      <c r="BJ47" s="29"/>
      <c r="BK47" s="29"/>
      <c r="BL47" s="29"/>
      <c r="BM47" s="29"/>
    </row>
    <row r="48" spans="1:65" s="32" customFormat="1" ht="24" customHeight="1">
      <c r="A48" s="34"/>
      <c r="B48" s="33" t="s">
        <v>258</v>
      </c>
      <c r="C48" s="29">
        <f t="shared" ref="C48:I48" si="75">J48+Q48+X48+AE48+AL48+AS48+AZ48+BG48</f>
        <v>716.99459999999999</v>
      </c>
      <c r="D48" s="29">
        <f t="shared" si="75"/>
        <v>0</v>
      </c>
      <c r="E48" s="29">
        <f t="shared" si="75"/>
        <v>0</v>
      </c>
      <c r="F48" s="29">
        <f t="shared" si="75"/>
        <v>0</v>
      </c>
      <c r="G48" s="29">
        <f t="shared" si="75"/>
        <v>716.99459999999999</v>
      </c>
      <c r="H48" s="29">
        <f t="shared" si="75"/>
        <v>482.99459999999999</v>
      </c>
      <c r="I48" s="29">
        <f t="shared" si="75"/>
        <v>234</v>
      </c>
      <c r="J48" s="29">
        <f t="shared" si="58"/>
        <v>0</v>
      </c>
      <c r="K48" s="29"/>
      <c r="L48" s="29"/>
      <c r="M48" s="29"/>
      <c r="N48" s="29"/>
      <c r="O48" s="29"/>
      <c r="P48" s="29"/>
      <c r="Q48" s="29">
        <f t="shared" si="59"/>
        <v>217</v>
      </c>
      <c r="R48" s="29"/>
      <c r="S48" s="29"/>
      <c r="T48" s="29"/>
      <c r="U48" s="29">
        <f>V48</f>
        <v>217</v>
      </c>
      <c r="V48" s="29">
        <v>217</v>
      </c>
      <c r="W48" s="29"/>
      <c r="X48" s="29">
        <f t="shared" si="60"/>
        <v>265.99459999999999</v>
      </c>
      <c r="Y48" s="29"/>
      <c r="Z48" s="29"/>
      <c r="AA48" s="29"/>
      <c r="AB48" s="29">
        <f>AC48</f>
        <v>265.99459999999999</v>
      </c>
      <c r="AC48" s="29">
        <v>265.99459999999999</v>
      </c>
      <c r="AD48" s="29"/>
      <c r="AE48" s="29">
        <f t="shared" si="61"/>
        <v>33</v>
      </c>
      <c r="AF48" s="29"/>
      <c r="AG48" s="29"/>
      <c r="AH48" s="29"/>
      <c r="AI48" s="29">
        <v>33</v>
      </c>
      <c r="AJ48" s="29"/>
      <c r="AK48" s="29">
        <f>AI48</f>
        <v>33</v>
      </c>
      <c r="AL48" s="29">
        <f t="shared" si="62"/>
        <v>134</v>
      </c>
      <c r="AM48" s="29"/>
      <c r="AN48" s="29"/>
      <c r="AO48" s="29"/>
      <c r="AP48" s="29">
        <v>134</v>
      </c>
      <c r="AQ48" s="29"/>
      <c r="AR48" s="29">
        <f>AP48</f>
        <v>134</v>
      </c>
      <c r="AS48" s="29">
        <f t="shared" si="63"/>
        <v>67</v>
      </c>
      <c r="AT48" s="29"/>
      <c r="AU48" s="29"/>
      <c r="AV48" s="29"/>
      <c r="AW48" s="29">
        <v>67</v>
      </c>
      <c r="AX48" s="29"/>
      <c r="AY48" s="29">
        <f>AW48</f>
        <v>67</v>
      </c>
      <c r="AZ48" s="29">
        <f t="shared" si="64"/>
        <v>0</v>
      </c>
      <c r="BA48" s="29"/>
      <c r="BB48" s="29"/>
      <c r="BC48" s="29"/>
      <c r="BD48" s="29"/>
      <c r="BE48" s="29"/>
      <c r="BF48" s="29"/>
      <c r="BG48" s="29">
        <f t="shared" si="65"/>
        <v>0</v>
      </c>
      <c r="BH48" s="29"/>
      <c r="BI48" s="29"/>
      <c r="BJ48" s="29"/>
      <c r="BK48" s="29"/>
      <c r="BL48" s="29"/>
      <c r="BM48" s="29"/>
    </row>
    <row r="49" spans="1:65" s="32" customFormat="1" ht="24" customHeight="1">
      <c r="A49" s="34" t="s">
        <v>287</v>
      </c>
      <c r="B49" s="33" t="s">
        <v>289</v>
      </c>
      <c r="C49" s="29">
        <f t="shared" ref="C49:I49" si="76">C50</f>
        <v>536.76199999999994</v>
      </c>
      <c r="D49" s="29">
        <f t="shared" si="76"/>
        <v>0</v>
      </c>
      <c r="E49" s="29">
        <f t="shared" si="76"/>
        <v>0</v>
      </c>
      <c r="F49" s="29">
        <f t="shared" si="76"/>
        <v>0</v>
      </c>
      <c r="G49" s="29">
        <f t="shared" si="76"/>
        <v>536.76199999999994</v>
      </c>
      <c r="H49" s="29">
        <f t="shared" si="76"/>
        <v>409.84199999999998</v>
      </c>
      <c r="I49" s="29">
        <f t="shared" si="76"/>
        <v>126.91999999999999</v>
      </c>
      <c r="J49" s="29">
        <f t="shared" si="58"/>
        <v>0</v>
      </c>
      <c r="K49" s="29"/>
      <c r="L49" s="29"/>
      <c r="M49" s="29"/>
      <c r="N49" s="29"/>
      <c r="O49" s="29"/>
      <c r="P49" s="29"/>
      <c r="Q49" s="29">
        <f t="shared" si="59"/>
        <v>277</v>
      </c>
      <c r="R49" s="29"/>
      <c r="S49" s="29"/>
      <c r="T49" s="29"/>
      <c r="U49" s="29">
        <f>U50</f>
        <v>277</v>
      </c>
      <c r="V49" s="29">
        <f>V50</f>
        <v>277</v>
      </c>
      <c r="W49" s="29">
        <f>W50</f>
        <v>0</v>
      </c>
      <c r="X49" s="29">
        <f t="shared" si="60"/>
        <v>0</v>
      </c>
      <c r="Y49" s="29"/>
      <c r="Z49" s="29"/>
      <c r="AA49" s="29"/>
      <c r="AB49" s="29">
        <f>AB50</f>
        <v>0</v>
      </c>
      <c r="AC49" s="29">
        <f>AC50</f>
        <v>0</v>
      </c>
      <c r="AD49" s="29">
        <f>AD50</f>
        <v>0</v>
      </c>
      <c r="AE49" s="29">
        <f t="shared" si="61"/>
        <v>42</v>
      </c>
      <c r="AF49" s="29"/>
      <c r="AG49" s="29"/>
      <c r="AH49" s="29"/>
      <c r="AI49" s="29">
        <f>AI50</f>
        <v>42</v>
      </c>
      <c r="AJ49" s="29">
        <f>AJ50</f>
        <v>0</v>
      </c>
      <c r="AK49" s="29">
        <f>AK50</f>
        <v>42</v>
      </c>
      <c r="AL49" s="29">
        <f t="shared" si="62"/>
        <v>132.84200000000001</v>
      </c>
      <c r="AM49" s="29"/>
      <c r="AN49" s="29"/>
      <c r="AO49" s="29"/>
      <c r="AP49" s="29">
        <f>AP50</f>
        <v>132.84200000000001</v>
      </c>
      <c r="AQ49" s="29">
        <f>AQ50</f>
        <v>132.84200000000001</v>
      </c>
      <c r="AR49" s="29">
        <f>AR50</f>
        <v>0</v>
      </c>
      <c r="AS49" s="29">
        <f t="shared" si="63"/>
        <v>84.919999999999987</v>
      </c>
      <c r="AT49" s="29"/>
      <c r="AU49" s="29"/>
      <c r="AV49" s="29"/>
      <c r="AW49" s="29">
        <f>AW50</f>
        <v>84.919999999999987</v>
      </c>
      <c r="AX49" s="29">
        <f>AX50</f>
        <v>0</v>
      </c>
      <c r="AY49" s="29">
        <f>AY50</f>
        <v>84.919999999999987</v>
      </c>
      <c r="AZ49" s="29">
        <f t="shared" si="64"/>
        <v>0</v>
      </c>
      <c r="BA49" s="29"/>
      <c r="BB49" s="29"/>
      <c r="BC49" s="29"/>
      <c r="BD49" s="29"/>
      <c r="BE49" s="29"/>
      <c r="BF49" s="29"/>
      <c r="BG49" s="29">
        <f t="shared" si="65"/>
        <v>0</v>
      </c>
      <c r="BH49" s="29"/>
      <c r="BI49" s="29"/>
      <c r="BJ49" s="29"/>
      <c r="BK49" s="29"/>
      <c r="BL49" s="29"/>
      <c r="BM49" s="29"/>
    </row>
    <row r="50" spans="1:65" s="32" customFormat="1" ht="24" customHeight="1">
      <c r="A50" s="34"/>
      <c r="B50" s="33" t="s">
        <v>258</v>
      </c>
      <c r="C50" s="29">
        <f t="shared" ref="C50:I50" si="77">J50+Q50+X50+AE50+AL50+AS50+AZ50+BG50</f>
        <v>536.76199999999994</v>
      </c>
      <c r="D50" s="29">
        <f t="shared" si="77"/>
        <v>0</v>
      </c>
      <c r="E50" s="29">
        <f t="shared" si="77"/>
        <v>0</v>
      </c>
      <c r="F50" s="29">
        <f t="shared" si="77"/>
        <v>0</v>
      </c>
      <c r="G50" s="29">
        <f t="shared" si="77"/>
        <v>536.76199999999994</v>
      </c>
      <c r="H50" s="29">
        <f t="shared" si="77"/>
        <v>409.84199999999998</v>
      </c>
      <c r="I50" s="29">
        <f t="shared" si="77"/>
        <v>126.91999999999999</v>
      </c>
      <c r="J50" s="29">
        <f t="shared" si="58"/>
        <v>0</v>
      </c>
      <c r="K50" s="29"/>
      <c r="L50" s="29"/>
      <c r="M50" s="29"/>
      <c r="N50" s="29"/>
      <c r="O50" s="29"/>
      <c r="P50" s="29"/>
      <c r="Q50" s="29">
        <f t="shared" si="59"/>
        <v>277</v>
      </c>
      <c r="R50" s="29"/>
      <c r="S50" s="29"/>
      <c r="T50" s="29"/>
      <c r="U50" s="29">
        <v>277</v>
      </c>
      <c r="V50" s="29">
        <f>U50</f>
        <v>277</v>
      </c>
      <c r="W50" s="29"/>
      <c r="X50" s="29">
        <f t="shared" si="60"/>
        <v>0</v>
      </c>
      <c r="Y50" s="29"/>
      <c r="Z50" s="29"/>
      <c r="AA50" s="29"/>
      <c r="AB50" s="29"/>
      <c r="AC50" s="29">
        <f>AB50</f>
        <v>0</v>
      </c>
      <c r="AD50" s="29"/>
      <c r="AE50" s="29">
        <f t="shared" si="61"/>
        <v>42</v>
      </c>
      <c r="AF50" s="29"/>
      <c r="AG50" s="29"/>
      <c r="AH50" s="29"/>
      <c r="AI50" s="29">
        <v>42</v>
      </c>
      <c r="AJ50" s="29"/>
      <c r="AK50" s="29">
        <f>AI50</f>
        <v>42</v>
      </c>
      <c r="AL50" s="29">
        <f t="shared" si="62"/>
        <v>132.84200000000001</v>
      </c>
      <c r="AM50" s="29"/>
      <c r="AN50" s="29"/>
      <c r="AO50" s="29"/>
      <c r="AP50" s="29">
        <v>132.84200000000001</v>
      </c>
      <c r="AQ50" s="29">
        <f>AP50</f>
        <v>132.84200000000001</v>
      </c>
      <c r="AR50" s="29"/>
      <c r="AS50" s="29">
        <f t="shared" si="63"/>
        <v>84.919999999999987</v>
      </c>
      <c r="AT50" s="29"/>
      <c r="AU50" s="29"/>
      <c r="AV50" s="29"/>
      <c r="AW50" s="29">
        <v>84.919999999999987</v>
      </c>
      <c r="AX50" s="29"/>
      <c r="AY50" s="29">
        <f>AW50</f>
        <v>84.919999999999987</v>
      </c>
      <c r="AZ50" s="29">
        <f t="shared" si="64"/>
        <v>0</v>
      </c>
      <c r="BA50" s="29"/>
      <c r="BB50" s="29"/>
      <c r="BC50" s="29"/>
      <c r="BD50" s="29"/>
      <c r="BE50" s="29"/>
      <c r="BF50" s="29"/>
      <c r="BG50" s="29">
        <f t="shared" si="65"/>
        <v>0</v>
      </c>
      <c r="BH50" s="29"/>
      <c r="BI50" s="29"/>
      <c r="BJ50" s="29"/>
      <c r="BK50" s="29"/>
      <c r="BL50" s="29"/>
      <c r="BM50" s="29"/>
    </row>
    <row r="51" spans="1:65" s="26" customFormat="1" ht="30" customHeight="1">
      <c r="A51" s="37">
        <v>4</v>
      </c>
      <c r="B51" s="36" t="s">
        <v>288</v>
      </c>
      <c r="C51" s="35">
        <f>D51+G51</f>
        <v>72</v>
      </c>
      <c r="D51" s="35"/>
      <c r="E51" s="35"/>
      <c r="F51" s="35"/>
      <c r="G51" s="35">
        <f t="shared" ref="G51:I52" si="78">G52</f>
        <v>72</v>
      </c>
      <c r="H51" s="35">
        <f t="shared" si="78"/>
        <v>62</v>
      </c>
      <c r="I51" s="35">
        <f t="shared" si="78"/>
        <v>10</v>
      </c>
      <c r="J51" s="35">
        <f t="shared" si="58"/>
        <v>13</v>
      </c>
      <c r="K51" s="35"/>
      <c r="L51" s="35"/>
      <c r="M51" s="35"/>
      <c r="N51" s="35">
        <f>N52</f>
        <v>13</v>
      </c>
      <c r="O51" s="35">
        <f>O52</f>
        <v>13</v>
      </c>
      <c r="P51" s="35"/>
      <c r="Q51" s="35">
        <f t="shared" si="59"/>
        <v>15</v>
      </c>
      <c r="R51" s="35"/>
      <c r="S51" s="35"/>
      <c r="T51" s="35"/>
      <c r="U51" s="35">
        <f>U52</f>
        <v>15</v>
      </c>
      <c r="V51" s="35">
        <f>V52</f>
        <v>15</v>
      </c>
      <c r="W51" s="35"/>
      <c r="X51" s="35">
        <f t="shared" si="60"/>
        <v>0</v>
      </c>
      <c r="Y51" s="35"/>
      <c r="Z51" s="35"/>
      <c r="AA51" s="35"/>
      <c r="AB51" s="35">
        <f>AB52</f>
        <v>0</v>
      </c>
      <c r="AC51" s="35">
        <f>AC52</f>
        <v>0</v>
      </c>
      <c r="AD51" s="35"/>
      <c r="AE51" s="35">
        <f t="shared" si="61"/>
        <v>8</v>
      </c>
      <c r="AF51" s="35"/>
      <c r="AG51" s="35"/>
      <c r="AH51" s="35"/>
      <c r="AI51" s="35">
        <f>AI52</f>
        <v>8</v>
      </c>
      <c r="AJ51" s="35">
        <f>AJ52</f>
        <v>8</v>
      </c>
      <c r="AK51" s="35"/>
      <c r="AL51" s="35">
        <f t="shared" si="62"/>
        <v>16</v>
      </c>
      <c r="AM51" s="35"/>
      <c r="AN51" s="35"/>
      <c r="AO51" s="35"/>
      <c r="AP51" s="35">
        <f>AP52</f>
        <v>16</v>
      </c>
      <c r="AQ51" s="35">
        <f>AQ52</f>
        <v>16</v>
      </c>
      <c r="AR51" s="35"/>
      <c r="AS51" s="35">
        <f t="shared" si="63"/>
        <v>10</v>
      </c>
      <c r="AT51" s="35"/>
      <c r="AU51" s="35"/>
      <c r="AV51" s="35"/>
      <c r="AW51" s="35">
        <f t="shared" ref="AW51:AY52" si="79">AW52</f>
        <v>10</v>
      </c>
      <c r="AX51" s="35">
        <f t="shared" si="79"/>
        <v>0</v>
      </c>
      <c r="AY51" s="35">
        <f t="shared" si="79"/>
        <v>10</v>
      </c>
      <c r="AZ51" s="35">
        <f t="shared" si="64"/>
        <v>0</v>
      </c>
      <c r="BA51" s="35"/>
      <c r="BB51" s="35"/>
      <c r="BC51" s="35"/>
      <c r="BD51" s="35"/>
      <c r="BE51" s="35"/>
      <c r="BF51" s="35"/>
      <c r="BG51" s="35">
        <f t="shared" si="65"/>
        <v>10</v>
      </c>
      <c r="BH51" s="35"/>
      <c r="BI51" s="35"/>
      <c r="BJ51" s="35"/>
      <c r="BK51" s="35">
        <f>BK52</f>
        <v>10</v>
      </c>
      <c r="BL51" s="35">
        <f>BL52</f>
        <v>10</v>
      </c>
      <c r="BM51" s="35"/>
    </row>
    <row r="52" spans="1:65" s="32" customFormat="1" ht="24" customHeight="1">
      <c r="A52" s="34" t="s">
        <v>287</v>
      </c>
      <c r="B52" s="33" t="s">
        <v>286</v>
      </c>
      <c r="C52" s="29">
        <f>D52+G52</f>
        <v>72</v>
      </c>
      <c r="D52" s="29"/>
      <c r="E52" s="29"/>
      <c r="F52" s="29"/>
      <c r="G52" s="29">
        <f t="shared" si="78"/>
        <v>72</v>
      </c>
      <c r="H52" s="29">
        <f t="shared" si="78"/>
        <v>62</v>
      </c>
      <c r="I52" s="29">
        <f t="shared" si="78"/>
        <v>10</v>
      </c>
      <c r="J52" s="29">
        <f t="shared" si="58"/>
        <v>13</v>
      </c>
      <c r="K52" s="29"/>
      <c r="L52" s="29"/>
      <c r="M52" s="29"/>
      <c r="N52" s="29">
        <f>N53</f>
        <v>13</v>
      </c>
      <c r="O52" s="29">
        <f>O53</f>
        <v>13</v>
      </c>
      <c r="P52" s="29"/>
      <c r="Q52" s="29">
        <f t="shared" si="59"/>
        <v>15</v>
      </c>
      <c r="R52" s="29"/>
      <c r="S52" s="29"/>
      <c r="T52" s="29"/>
      <c r="U52" s="29">
        <f>U53</f>
        <v>15</v>
      </c>
      <c r="V52" s="29">
        <f>V53</f>
        <v>15</v>
      </c>
      <c r="W52" s="29"/>
      <c r="X52" s="29">
        <f t="shared" si="60"/>
        <v>0</v>
      </c>
      <c r="Y52" s="29"/>
      <c r="Z52" s="29"/>
      <c r="AA52" s="29"/>
      <c r="AB52" s="29">
        <f>AB53</f>
        <v>0</v>
      </c>
      <c r="AC52" s="29">
        <f>AC53</f>
        <v>0</v>
      </c>
      <c r="AD52" s="29"/>
      <c r="AE52" s="29">
        <f t="shared" si="61"/>
        <v>8</v>
      </c>
      <c r="AF52" s="29"/>
      <c r="AG52" s="29"/>
      <c r="AH52" s="29"/>
      <c r="AI52" s="29">
        <f>AI53</f>
        <v>8</v>
      </c>
      <c r="AJ52" s="29">
        <f>AJ53</f>
        <v>8</v>
      </c>
      <c r="AK52" s="29"/>
      <c r="AL52" s="29">
        <f t="shared" si="62"/>
        <v>16</v>
      </c>
      <c r="AM52" s="29"/>
      <c r="AN52" s="29"/>
      <c r="AO52" s="29"/>
      <c r="AP52" s="29">
        <f>AP53</f>
        <v>16</v>
      </c>
      <c r="AQ52" s="29">
        <f>AQ53</f>
        <v>16</v>
      </c>
      <c r="AR52" s="29"/>
      <c r="AS52" s="29">
        <f t="shared" si="63"/>
        <v>10</v>
      </c>
      <c r="AT52" s="29"/>
      <c r="AU52" s="29"/>
      <c r="AV52" s="29"/>
      <c r="AW52" s="29">
        <f t="shared" si="79"/>
        <v>10</v>
      </c>
      <c r="AX52" s="29">
        <f t="shared" si="79"/>
        <v>0</v>
      </c>
      <c r="AY52" s="29">
        <f t="shared" si="79"/>
        <v>10</v>
      </c>
      <c r="AZ52" s="29">
        <f t="shared" si="64"/>
        <v>0</v>
      </c>
      <c r="BA52" s="29"/>
      <c r="BB52" s="29"/>
      <c r="BC52" s="29"/>
      <c r="BD52" s="29"/>
      <c r="BE52" s="29"/>
      <c r="BF52" s="29"/>
      <c r="BG52" s="29">
        <f t="shared" si="65"/>
        <v>10</v>
      </c>
      <c r="BH52" s="29"/>
      <c r="BI52" s="29"/>
      <c r="BJ52" s="29"/>
      <c r="BK52" s="29">
        <f>BK53</f>
        <v>10</v>
      </c>
      <c r="BL52" s="29">
        <f>BL53</f>
        <v>10</v>
      </c>
      <c r="BM52" s="29"/>
    </row>
    <row r="53" spans="1:65" s="32" customFormat="1" ht="24" customHeight="1">
      <c r="A53" s="34"/>
      <c r="B53" s="33" t="s">
        <v>258</v>
      </c>
      <c r="C53" s="29">
        <f t="shared" ref="C53:I53" si="80">J53+Q53+X53+AE53+AL53+AS53+AZ53+BG53</f>
        <v>72</v>
      </c>
      <c r="D53" s="29">
        <f t="shared" si="80"/>
        <v>0</v>
      </c>
      <c r="E53" s="29">
        <f t="shared" si="80"/>
        <v>0</v>
      </c>
      <c r="F53" s="29">
        <f t="shared" si="80"/>
        <v>0</v>
      </c>
      <c r="G53" s="29">
        <f t="shared" si="80"/>
        <v>72</v>
      </c>
      <c r="H53" s="29">
        <f t="shared" si="80"/>
        <v>62</v>
      </c>
      <c r="I53" s="29">
        <f t="shared" si="80"/>
        <v>10</v>
      </c>
      <c r="J53" s="29">
        <f t="shared" si="58"/>
        <v>13</v>
      </c>
      <c r="K53" s="29"/>
      <c r="L53" s="29"/>
      <c r="M53" s="29"/>
      <c r="N53" s="29">
        <v>13</v>
      </c>
      <c r="O53" s="29">
        <f>N53</f>
        <v>13</v>
      </c>
      <c r="P53" s="29"/>
      <c r="Q53" s="29">
        <f t="shared" si="59"/>
        <v>15</v>
      </c>
      <c r="R53" s="29"/>
      <c r="S53" s="29"/>
      <c r="T53" s="29"/>
      <c r="U53" s="29">
        <v>15</v>
      </c>
      <c r="V53" s="29">
        <f>U53</f>
        <v>15</v>
      </c>
      <c r="W53" s="29"/>
      <c r="X53" s="29">
        <f t="shared" si="60"/>
        <v>0</v>
      </c>
      <c r="Y53" s="29"/>
      <c r="Z53" s="29"/>
      <c r="AA53" s="29"/>
      <c r="AB53" s="29"/>
      <c r="AC53" s="29">
        <f>AB53</f>
        <v>0</v>
      </c>
      <c r="AD53" s="29"/>
      <c r="AE53" s="29">
        <f t="shared" si="61"/>
        <v>8</v>
      </c>
      <c r="AF53" s="29"/>
      <c r="AG53" s="29"/>
      <c r="AH53" s="29"/>
      <c r="AI53" s="29">
        <v>8</v>
      </c>
      <c r="AJ53" s="29">
        <f>AI53</f>
        <v>8</v>
      </c>
      <c r="AK53" s="29"/>
      <c r="AL53" s="29">
        <f t="shared" si="62"/>
        <v>16</v>
      </c>
      <c r="AM53" s="29"/>
      <c r="AN53" s="29"/>
      <c r="AO53" s="29"/>
      <c r="AP53" s="29">
        <v>16</v>
      </c>
      <c r="AQ53" s="29">
        <f>AP53</f>
        <v>16</v>
      </c>
      <c r="AR53" s="29"/>
      <c r="AS53" s="29">
        <f t="shared" si="63"/>
        <v>10</v>
      </c>
      <c r="AT53" s="29"/>
      <c r="AU53" s="29"/>
      <c r="AV53" s="29"/>
      <c r="AW53" s="29">
        <v>10</v>
      </c>
      <c r="AX53" s="29"/>
      <c r="AY53" s="29">
        <f>AW53</f>
        <v>10</v>
      </c>
      <c r="AZ53" s="29">
        <f t="shared" si="64"/>
        <v>0</v>
      </c>
      <c r="BA53" s="29"/>
      <c r="BB53" s="29"/>
      <c r="BC53" s="29"/>
      <c r="BD53" s="29"/>
      <c r="BE53" s="29"/>
      <c r="BF53" s="29"/>
      <c r="BG53" s="29">
        <f t="shared" si="65"/>
        <v>10</v>
      </c>
      <c r="BH53" s="29"/>
      <c r="BI53" s="29"/>
      <c r="BJ53" s="29"/>
      <c r="BK53" s="29">
        <v>10</v>
      </c>
      <c r="BL53" s="29">
        <v>10</v>
      </c>
      <c r="BM53" s="29"/>
    </row>
    <row r="54" spans="1:65" s="26" customFormat="1" ht="44.25" customHeight="1">
      <c r="A54" s="37">
        <v>5</v>
      </c>
      <c r="B54" s="36" t="s">
        <v>285</v>
      </c>
      <c r="C54" s="35">
        <f>D54+G54</f>
        <v>197.54399999999998</v>
      </c>
      <c r="D54" s="35"/>
      <c r="E54" s="35"/>
      <c r="F54" s="35"/>
      <c r="G54" s="35">
        <f>G55</f>
        <v>197.54399999999998</v>
      </c>
      <c r="H54" s="35">
        <f>H55</f>
        <v>173.09399999999999</v>
      </c>
      <c r="I54" s="35">
        <f>I55</f>
        <v>24.45</v>
      </c>
      <c r="J54" s="35">
        <f t="shared" si="58"/>
        <v>31</v>
      </c>
      <c r="K54" s="35"/>
      <c r="L54" s="35"/>
      <c r="M54" s="35"/>
      <c r="N54" s="35">
        <f>N55</f>
        <v>31</v>
      </c>
      <c r="O54" s="35">
        <f>O55</f>
        <v>31</v>
      </c>
      <c r="P54" s="35"/>
      <c r="Q54" s="35">
        <f t="shared" si="59"/>
        <v>13.47</v>
      </c>
      <c r="R54" s="35"/>
      <c r="S54" s="35"/>
      <c r="T54" s="35"/>
      <c r="U54" s="35">
        <f>U55</f>
        <v>13.47</v>
      </c>
      <c r="V54" s="35">
        <f>V55</f>
        <v>13.47</v>
      </c>
      <c r="W54" s="35"/>
      <c r="X54" s="35">
        <f t="shared" si="60"/>
        <v>29</v>
      </c>
      <c r="Y54" s="35"/>
      <c r="Z54" s="35"/>
      <c r="AA54" s="35"/>
      <c r="AB54" s="35">
        <f>AB55</f>
        <v>29</v>
      </c>
      <c r="AC54" s="35">
        <f>AC55</f>
        <v>29</v>
      </c>
      <c r="AD54" s="35"/>
      <c r="AE54" s="35">
        <f t="shared" si="61"/>
        <v>20</v>
      </c>
      <c r="AF54" s="35"/>
      <c r="AG54" s="35"/>
      <c r="AH54" s="35"/>
      <c r="AI54" s="35">
        <f>AI55</f>
        <v>20</v>
      </c>
      <c r="AJ54" s="35">
        <f>AJ55</f>
        <v>20</v>
      </c>
      <c r="AK54" s="35"/>
      <c r="AL54" s="35">
        <f t="shared" si="62"/>
        <v>31.457000000000001</v>
      </c>
      <c r="AM54" s="35"/>
      <c r="AN54" s="35"/>
      <c r="AO54" s="35"/>
      <c r="AP54" s="35">
        <f>AP55</f>
        <v>31.457000000000001</v>
      </c>
      <c r="AQ54" s="35">
        <f>AQ55</f>
        <v>31.457000000000001</v>
      </c>
      <c r="AR54" s="35"/>
      <c r="AS54" s="35">
        <f t="shared" si="63"/>
        <v>24.45</v>
      </c>
      <c r="AT54" s="35"/>
      <c r="AU54" s="35"/>
      <c r="AV54" s="35"/>
      <c r="AW54" s="35">
        <f>AW55</f>
        <v>24.45</v>
      </c>
      <c r="AX54" s="35">
        <f>AX55</f>
        <v>0</v>
      </c>
      <c r="AY54" s="35">
        <f>AY55</f>
        <v>24.45</v>
      </c>
      <c r="AZ54" s="35">
        <f t="shared" si="64"/>
        <v>28.626999999999999</v>
      </c>
      <c r="BA54" s="35"/>
      <c r="BB54" s="35"/>
      <c r="BC54" s="35"/>
      <c r="BD54" s="35">
        <f>BD55</f>
        <v>28.626999999999999</v>
      </c>
      <c r="BE54" s="35">
        <f>BE55</f>
        <v>28.626999999999999</v>
      </c>
      <c r="BF54" s="35"/>
      <c r="BG54" s="35">
        <f t="shared" si="65"/>
        <v>19.54</v>
      </c>
      <c r="BH54" s="35"/>
      <c r="BI54" s="35"/>
      <c r="BJ54" s="35"/>
      <c r="BK54" s="35">
        <f>BK55</f>
        <v>19.54</v>
      </c>
      <c r="BL54" s="35">
        <f>BL55</f>
        <v>19.54</v>
      </c>
      <c r="BM54" s="35"/>
    </row>
    <row r="55" spans="1:65" s="32" customFormat="1" ht="24" customHeight="1">
      <c r="A55" s="34"/>
      <c r="B55" s="33" t="s">
        <v>258</v>
      </c>
      <c r="C55" s="29">
        <f t="shared" ref="C55:I57" si="81">J55+Q55+X55+AE55+AL55+AS55+AZ55+BG55</f>
        <v>197.54399999999998</v>
      </c>
      <c r="D55" s="29">
        <f t="shared" si="81"/>
        <v>0</v>
      </c>
      <c r="E55" s="29">
        <f t="shared" si="81"/>
        <v>0</v>
      </c>
      <c r="F55" s="29">
        <f t="shared" si="81"/>
        <v>0</v>
      </c>
      <c r="G55" s="29">
        <f t="shared" si="81"/>
        <v>197.54399999999998</v>
      </c>
      <c r="H55" s="29">
        <f t="shared" si="81"/>
        <v>173.09399999999999</v>
      </c>
      <c r="I55" s="29">
        <f t="shared" si="81"/>
        <v>24.45</v>
      </c>
      <c r="J55" s="29">
        <f t="shared" si="58"/>
        <v>31</v>
      </c>
      <c r="K55" s="29"/>
      <c r="L55" s="29"/>
      <c r="M55" s="29"/>
      <c r="N55" s="29">
        <v>31</v>
      </c>
      <c r="O55" s="29">
        <f>N55</f>
        <v>31</v>
      </c>
      <c r="P55" s="29"/>
      <c r="Q55" s="29">
        <f t="shared" si="59"/>
        <v>13.47</v>
      </c>
      <c r="R55" s="29"/>
      <c r="S55" s="29"/>
      <c r="T55" s="29"/>
      <c r="U55" s="29">
        <v>13.47</v>
      </c>
      <c r="V55" s="29">
        <f>U55</f>
        <v>13.47</v>
      </c>
      <c r="W55" s="35"/>
      <c r="X55" s="29">
        <f t="shared" si="60"/>
        <v>29</v>
      </c>
      <c r="Y55" s="29"/>
      <c r="Z55" s="29"/>
      <c r="AA55" s="29"/>
      <c r="AB55" s="29">
        <v>29</v>
      </c>
      <c r="AC55" s="29">
        <f>AB55</f>
        <v>29</v>
      </c>
      <c r="AD55" s="35"/>
      <c r="AE55" s="29">
        <f t="shared" si="61"/>
        <v>20</v>
      </c>
      <c r="AF55" s="29"/>
      <c r="AG55" s="29"/>
      <c r="AH55" s="29"/>
      <c r="AI55" s="29">
        <v>20</v>
      </c>
      <c r="AJ55" s="29">
        <f>AI55</f>
        <v>20</v>
      </c>
      <c r="AK55" s="35"/>
      <c r="AL55" s="29">
        <f t="shared" si="62"/>
        <v>31.457000000000001</v>
      </c>
      <c r="AM55" s="29"/>
      <c r="AN55" s="29"/>
      <c r="AO55" s="29"/>
      <c r="AP55" s="29">
        <v>31.457000000000001</v>
      </c>
      <c r="AQ55" s="29">
        <f>AP55</f>
        <v>31.457000000000001</v>
      </c>
      <c r="AR55" s="35"/>
      <c r="AS55" s="29">
        <f t="shared" si="63"/>
        <v>24.45</v>
      </c>
      <c r="AT55" s="29"/>
      <c r="AU55" s="29"/>
      <c r="AV55" s="29"/>
      <c r="AW55" s="29">
        <v>24.45</v>
      </c>
      <c r="AX55" s="35"/>
      <c r="AY55" s="35">
        <f>AW55</f>
        <v>24.45</v>
      </c>
      <c r="AZ55" s="29">
        <f t="shared" si="64"/>
        <v>28.626999999999999</v>
      </c>
      <c r="BA55" s="29"/>
      <c r="BB55" s="29"/>
      <c r="BC55" s="29"/>
      <c r="BD55" s="29">
        <v>28.626999999999999</v>
      </c>
      <c r="BE55" s="29">
        <f>BD55</f>
        <v>28.626999999999999</v>
      </c>
      <c r="BF55" s="35"/>
      <c r="BG55" s="29">
        <f t="shared" si="65"/>
        <v>19.54</v>
      </c>
      <c r="BH55" s="29"/>
      <c r="BI55" s="29"/>
      <c r="BJ55" s="29"/>
      <c r="BK55" s="29">
        <v>19.54</v>
      </c>
      <c r="BL55" s="29">
        <f>BK55</f>
        <v>19.54</v>
      </c>
      <c r="BM55" s="29"/>
    </row>
    <row r="56" spans="1:65" s="26" customFormat="1" ht="24" customHeight="1">
      <c r="A56" s="37">
        <v>6</v>
      </c>
      <c r="B56" s="36" t="s">
        <v>284</v>
      </c>
      <c r="C56" s="35">
        <f t="shared" si="81"/>
        <v>15.096800000000002</v>
      </c>
      <c r="D56" s="35">
        <f t="shared" si="81"/>
        <v>0</v>
      </c>
      <c r="E56" s="35">
        <f t="shared" si="81"/>
        <v>0</v>
      </c>
      <c r="F56" s="35">
        <f t="shared" si="81"/>
        <v>0</v>
      </c>
      <c r="G56" s="35">
        <f t="shared" si="81"/>
        <v>15.096800000000002</v>
      </c>
      <c r="H56" s="35">
        <f t="shared" si="81"/>
        <v>15.096800000000002</v>
      </c>
      <c r="I56" s="35">
        <f t="shared" si="81"/>
        <v>0</v>
      </c>
      <c r="J56" s="35"/>
      <c r="K56" s="35"/>
      <c r="L56" s="35"/>
      <c r="M56" s="35"/>
      <c r="N56" s="35"/>
      <c r="O56" s="35"/>
      <c r="P56" s="35"/>
      <c r="Q56" s="35">
        <f t="shared" si="59"/>
        <v>15.096800000000002</v>
      </c>
      <c r="R56" s="35"/>
      <c r="S56" s="35"/>
      <c r="T56" s="35"/>
      <c r="U56" s="35">
        <v>15.096800000000002</v>
      </c>
      <c r="V56" s="35">
        <f>U56</f>
        <v>15.096800000000002</v>
      </c>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row>
    <row r="57" spans="1:65" s="26" customFormat="1" ht="24" customHeight="1">
      <c r="A57" s="37">
        <v>7</v>
      </c>
      <c r="B57" s="36" t="s">
        <v>283</v>
      </c>
      <c r="C57" s="35">
        <f t="shared" si="81"/>
        <v>23.93</v>
      </c>
      <c r="D57" s="35">
        <f t="shared" si="81"/>
        <v>0</v>
      </c>
      <c r="E57" s="35">
        <f t="shared" si="81"/>
        <v>0</v>
      </c>
      <c r="F57" s="35">
        <f t="shared" si="81"/>
        <v>0</v>
      </c>
      <c r="G57" s="35">
        <f t="shared" si="81"/>
        <v>23.93</v>
      </c>
      <c r="H57" s="35">
        <f t="shared" si="81"/>
        <v>23.93</v>
      </c>
      <c r="I57" s="35">
        <f t="shared" si="81"/>
        <v>0</v>
      </c>
      <c r="J57" s="35"/>
      <c r="K57" s="35"/>
      <c r="L57" s="35"/>
      <c r="M57" s="35"/>
      <c r="N57" s="35"/>
      <c r="O57" s="35"/>
      <c r="P57" s="35"/>
      <c r="Q57" s="35">
        <f t="shared" si="59"/>
        <v>23.93</v>
      </c>
      <c r="R57" s="35"/>
      <c r="S57" s="35"/>
      <c r="T57" s="35"/>
      <c r="U57" s="35">
        <v>23.93</v>
      </c>
      <c r="V57" s="35">
        <f>U57</f>
        <v>23.93</v>
      </c>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row>
    <row r="58" spans="1:65" s="801" customFormat="1" ht="30" customHeight="1">
      <c r="A58" s="798" t="s">
        <v>7</v>
      </c>
      <c r="B58" s="799" t="s">
        <v>282</v>
      </c>
      <c r="C58" s="800">
        <f>D58+G58</f>
        <v>134296.04300199999</v>
      </c>
      <c r="D58" s="800">
        <f t="shared" ref="D58:I58" si="82">D59+D62+D64+D67+D71+D73+D75+D78+D81+D83</f>
        <v>104436.51957599999</v>
      </c>
      <c r="E58" s="800">
        <f t="shared" si="82"/>
        <v>40510.567622999995</v>
      </c>
      <c r="F58" s="800">
        <f t="shared" si="82"/>
        <v>63925.951952999996</v>
      </c>
      <c r="G58" s="800">
        <f t="shared" si="82"/>
        <v>29859.523426</v>
      </c>
      <c r="H58" s="800">
        <f t="shared" si="82"/>
        <v>1062.0540000000001</v>
      </c>
      <c r="I58" s="800">
        <f t="shared" si="82"/>
        <v>28797.469426000003</v>
      </c>
      <c r="J58" s="800">
        <f t="shared" ref="J58:J67" si="83">K58+N58</f>
        <v>15696.76441</v>
      </c>
      <c r="K58" s="800">
        <f t="shared" ref="K58:P58" si="84">K59+K62+K64+K67+K71+K73+K75+K78+K81</f>
        <v>10741.719494999999</v>
      </c>
      <c r="L58" s="800">
        <f t="shared" si="84"/>
        <v>0</v>
      </c>
      <c r="M58" s="800">
        <f t="shared" si="84"/>
        <v>10741.719494999999</v>
      </c>
      <c r="N58" s="800">
        <f t="shared" si="84"/>
        <v>4955.0449150000004</v>
      </c>
      <c r="O58" s="800">
        <f t="shared" si="84"/>
        <v>162.02499999999998</v>
      </c>
      <c r="P58" s="800">
        <f t="shared" si="84"/>
        <v>4793.0199149999989</v>
      </c>
      <c r="Q58" s="800">
        <f t="shared" ref="Q58:W58" si="85">Q59+Q62+Q64+Q67+Q71+Q75+Q78+Q81+Q83+Q73</f>
        <v>18552.601379</v>
      </c>
      <c r="R58" s="800">
        <f t="shared" si="85"/>
        <v>13750.34</v>
      </c>
      <c r="S58" s="800">
        <f t="shared" si="85"/>
        <v>0</v>
      </c>
      <c r="T58" s="800">
        <f t="shared" si="85"/>
        <v>13750.34</v>
      </c>
      <c r="U58" s="800">
        <f t="shared" si="85"/>
        <v>4802.2613790000005</v>
      </c>
      <c r="V58" s="800">
        <f t="shared" si="85"/>
        <v>180</v>
      </c>
      <c r="W58" s="800">
        <f t="shared" si="85"/>
        <v>4622.2613790000005</v>
      </c>
      <c r="X58" s="800">
        <f t="shared" ref="X58:AR58" si="86">X59+X62+X64+X67+X71+X75+X78+X81+X83</f>
        <v>17114.8</v>
      </c>
      <c r="Y58" s="800">
        <f t="shared" si="86"/>
        <v>11912.787</v>
      </c>
      <c r="Z58" s="800">
        <f t="shared" si="86"/>
        <v>11912.787</v>
      </c>
      <c r="AA58" s="800">
        <f t="shared" si="86"/>
        <v>0</v>
      </c>
      <c r="AB58" s="800">
        <f t="shared" si="86"/>
        <v>5202.012999999999</v>
      </c>
      <c r="AC58" s="800">
        <f t="shared" si="86"/>
        <v>314.95799999999997</v>
      </c>
      <c r="AD58" s="800">
        <f t="shared" si="86"/>
        <v>4887.0550000000003</v>
      </c>
      <c r="AE58" s="800">
        <f t="shared" si="86"/>
        <v>3064.4306470000001</v>
      </c>
      <c r="AF58" s="800">
        <f t="shared" si="86"/>
        <v>1485.8036470000002</v>
      </c>
      <c r="AG58" s="800">
        <f t="shared" si="86"/>
        <v>0</v>
      </c>
      <c r="AH58" s="800">
        <f t="shared" si="86"/>
        <v>1485.8036470000002</v>
      </c>
      <c r="AI58" s="800">
        <f t="shared" si="86"/>
        <v>1578.627</v>
      </c>
      <c r="AJ58" s="800">
        <f t="shared" si="86"/>
        <v>33</v>
      </c>
      <c r="AK58" s="800">
        <f t="shared" si="86"/>
        <v>1545.627</v>
      </c>
      <c r="AL58" s="800">
        <f t="shared" si="86"/>
        <v>23154.726170000002</v>
      </c>
      <c r="AM58" s="800">
        <f t="shared" si="86"/>
        <v>17931.762274000001</v>
      </c>
      <c r="AN58" s="800">
        <f t="shared" si="86"/>
        <v>0</v>
      </c>
      <c r="AO58" s="800">
        <f t="shared" si="86"/>
        <v>17931.762274000001</v>
      </c>
      <c r="AP58" s="800">
        <f t="shared" si="86"/>
        <v>5222.9638959999993</v>
      </c>
      <c r="AQ58" s="800">
        <f t="shared" si="86"/>
        <v>80</v>
      </c>
      <c r="AR58" s="800">
        <f t="shared" si="86"/>
        <v>5142.9638959999993</v>
      </c>
      <c r="AS58" s="800">
        <f>AS59+AS62+AS64+AS67+AS71+AS75+AS78+AS81</f>
        <v>12717.403000000002</v>
      </c>
      <c r="AT58" s="800">
        <f>AT59+AT62+AT64+AT67+AT71+AT75+AT78</f>
        <v>9669.3970000000008</v>
      </c>
      <c r="AU58" s="800">
        <f>AU59+AU62+AU64+AU67+AU71+AU75+AU78</f>
        <v>0</v>
      </c>
      <c r="AV58" s="800">
        <f>AV59+AV62+AV64+AV67+AV71+AV75+AV78</f>
        <v>9669.3970000000008</v>
      </c>
      <c r="AW58" s="800">
        <f>AW59+AW62+AW64+AW67+AW71+AW75+AW78+AW81</f>
        <v>3048.0059999999999</v>
      </c>
      <c r="AX58" s="800">
        <f>AX59+AX62+AX64+AX67+AX71+AX75+AX78+AX81</f>
        <v>41.070999999999998</v>
      </c>
      <c r="AY58" s="800">
        <f>AY59+AY62+AY64+AY67+AY71+AY75+AY78+AY81</f>
        <v>3006.9349999999999</v>
      </c>
      <c r="AZ58" s="800">
        <f t="shared" ref="AZ58:BF58" si="87">AZ59+AZ62+AZ64+AZ67+AZ71+AZ75+AZ78</f>
        <v>32025.572396000003</v>
      </c>
      <c r="BA58" s="800">
        <f t="shared" si="87"/>
        <v>28183.765160000003</v>
      </c>
      <c r="BB58" s="800">
        <f t="shared" si="87"/>
        <v>17836.835622999999</v>
      </c>
      <c r="BC58" s="800">
        <f t="shared" si="87"/>
        <v>10346.929537000004</v>
      </c>
      <c r="BD58" s="800">
        <f t="shared" si="87"/>
        <v>3841.8072360000001</v>
      </c>
      <c r="BE58" s="800">
        <f t="shared" si="87"/>
        <v>57</v>
      </c>
      <c r="BF58" s="800">
        <f t="shared" si="87"/>
        <v>3784.8072360000001</v>
      </c>
      <c r="BG58" s="800">
        <f t="shared" ref="BG58:BG67" si="88">BH58+BK58</f>
        <v>11969.744999999999</v>
      </c>
      <c r="BH58" s="800">
        <f t="shared" ref="BH58:BM58" si="89">BH59+BH62+BH64+BH67+BH71+BH73+BH75+BH78</f>
        <v>10760.945</v>
      </c>
      <c r="BI58" s="800">
        <f t="shared" si="89"/>
        <v>10760.945</v>
      </c>
      <c r="BJ58" s="800">
        <f t="shared" si="89"/>
        <v>0</v>
      </c>
      <c r="BK58" s="800">
        <f t="shared" si="89"/>
        <v>1208.8</v>
      </c>
      <c r="BL58" s="800">
        <f t="shared" si="89"/>
        <v>194</v>
      </c>
      <c r="BM58" s="800">
        <f t="shared" si="89"/>
        <v>1014.8</v>
      </c>
    </row>
    <row r="59" spans="1:65" s="26" customFormat="1" ht="21.75" customHeight="1">
      <c r="A59" s="37">
        <v>1</v>
      </c>
      <c r="B59" s="51" t="s">
        <v>281</v>
      </c>
      <c r="C59" s="35">
        <f>D59+G59</f>
        <v>86218.622875999994</v>
      </c>
      <c r="D59" s="35">
        <f>D60+D61</f>
        <v>86218.622875999994</v>
      </c>
      <c r="E59" s="35">
        <f>E60+E61</f>
        <v>22673.732</v>
      </c>
      <c r="F59" s="35">
        <f>F60+F61</f>
        <v>63544.890875999998</v>
      </c>
      <c r="G59" s="35"/>
      <c r="H59" s="35"/>
      <c r="I59" s="35"/>
      <c r="J59" s="35">
        <f t="shared" si="83"/>
        <v>10741.719494999999</v>
      </c>
      <c r="K59" s="35">
        <f>K60+K61</f>
        <v>10741.719494999999</v>
      </c>
      <c r="L59" s="35">
        <f>L60+L61</f>
        <v>0</v>
      </c>
      <c r="M59" s="35">
        <f>M60+M61</f>
        <v>10741.719494999999</v>
      </c>
      <c r="N59" s="35"/>
      <c r="O59" s="35"/>
      <c r="P59" s="35"/>
      <c r="Q59" s="35">
        <f t="shared" ref="Q59:Q84" si="90">R59+U59</f>
        <v>13750.34</v>
      </c>
      <c r="R59" s="35">
        <f>R60+R61</f>
        <v>13750.34</v>
      </c>
      <c r="S59" s="35">
        <f>S60+S61</f>
        <v>0</v>
      </c>
      <c r="T59" s="35">
        <f>T60+T61</f>
        <v>13750.34</v>
      </c>
      <c r="U59" s="35"/>
      <c r="V59" s="29"/>
      <c r="W59" s="29"/>
      <c r="X59" s="35">
        <f t="shared" ref="X59:X72" si="91">Y59+AB59</f>
        <v>11912.787</v>
      </c>
      <c r="Y59" s="35">
        <f>Y60+Y61</f>
        <v>11912.787</v>
      </c>
      <c r="Z59" s="35">
        <f>Z60+Z61</f>
        <v>11912.787</v>
      </c>
      <c r="AA59" s="35">
        <f>AA60+AA61</f>
        <v>0</v>
      </c>
      <c r="AB59" s="35"/>
      <c r="AC59" s="29"/>
      <c r="AD59" s="29"/>
      <c r="AE59" s="35">
        <f t="shared" ref="AE59:AE72" si="92">AF59+AI59</f>
        <v>1485.8036470000002</v>
      </c>
      <c r="AF59" s="35">
        <f>AF60+AF61</f>
        <v>1485.8036470000002</v>
      </c>
      <c r="AG59" s="35"/>
      <c r="AH59" s="35">
        <f>AH60+AH61</f>
        <v>1485.8036470000002</v>
      </c>
      <c r="AI59" s="35"/>
      <c r="AJ59" s="29"/>
      <c r="AK59" s="29"/>
      <c r="AL59" s="35">
        <f t="shared" ref="AL59:AL72" si="93">AM59+AP59</f>
        <v>17931.762274000001</v>
      </c>
      <c r="AM59" s="35">
        <f>AM60+AM61</f>
        <v>17931.762274000001</v>
      </c>
      <c r="AN59" s="35"/>
      <c r="AO59" s="35">
        <f>AO60+AO61</f>
        <v>17931.762274000001</v>
      </c>
      <c r="AP59" s="35"/>
      <c r="AQ59" s="29"/>
      <c r="AR59" s="29"/>
      <c r="AS59" s="35">
        <f t="shared" ref="AS59:AS67" si="94">AT59+AW59</f>
        <v>9669.3970000000008</v>
      </c>
      <c r="AT59" s="35">
        <f>AT60+AT61</f>
        <v>9669.3970000000008</v>
      </c>
      <c r="AU59" s="35"/>
      <c r="AV59" s="35">
        <f>AV60+AV61</f>
        <v>9669.3970000000008</v>
      </c>
      <c r="AW59" s="35"/>
      <c r="AX59" s="29"/>
      <c r="AY59" s="29"/>
      <c r="AZ59" s="35">
        <f t="shared" ref="AZ59:AZ67" si="95">BA59+BD59</f>
        <v>9965.8684600000015</v>
      </c>
      <c r="BA59" s="35">
        <f>BA60+BA61</f>
        <v>9965.8684600000015</v>
      </c>
      <c r="BB59" s="35"/>
      <c r="BC59" s="35">
        <f>BC60+BC61</f>
        <v>9965.8684600000015</v>
      </c>
      <c r="BD59" s="35"/>
      <c r="BE59" s="29"/>
      <c r="BF59" s="29"/>
      <c r="BG59" s="35">
        <f t="shared" si="88"/>
        <v>10760.945</v>
      </c>
      <c r="BH59" s="35">
        <f>BH60+BH61</f>
        <v>10760.945</v>
      </c>
      <c r="BI59" s="35">
        <f>BI60+BI61</f>
        <v>10760.945</v>
      </c>
      <c r="BJ59" s="35"/>
      <c r="BK59" s="35"/>
      <c r="BL59" s="35"/>
      <c r="BM59" s="35"/>
    </row>
    <row r="60" spans="1:65" s="32" customFormat="1" ht="15" customHeight="1">
      <c r="A60" s="34" t="s">
        <v>4</v>
      </c>
      <c r="B60" s="52" t="s">
        <v>253</v>
      </c>
      <c r="C60" s="29">
        <f t="shared" ref="C60:I61" si="96">J60+Q60+X60+AE60+AL60+AS60+AZ60+BG60</f>
        <v>7872.6272500000005</v>
      </c>
      <c r="D60" s="29">
        <f t="shared" si="96"/>
        <v>7872.6272500000005</v>
      </c>
      <c r="E60" s="29">
        <f t="shared" si="96"/>
        <v>333.93</v>
      </c>
      <c r="F60" s="29">
        <f t="shared" si="96"/>
        <v>7538.6972500000002</v>
      </c>
      <c r="G60" s="29">
        <f t="shared" si="96"/>
        <v>0</v>
      </c>
      <c r="H60" s="29">
        <f t="shared" si="96"/>
        <v>0</v>
      </c>
      <c r="I60" s="29">
        <f t="shared" si="96"/>
        <v>0</v>
      </c>
      <c r="J60" s="29">
        <f t="shared" si="83"/>
        <v>2612.8554949999998</v>
      </c>
      <c r="K60" s="29">
        <v>2612.8554949999998</v>
      </c>
      <c r="L60" s="29"/>
      <c r="M60" s="29">
        <f>K60</f>
        <v>2612.8554949999998</v>
      </c>
      <c r="N60" s="29"/>
      <c r="O60" s="29"/>
      <c r="P60" s="29"/>
      <c r="Q60" s="29">
        <f t="shared" si="90"/>
        <v>1136.68</v>
      </c>
      <c r="R60" s="29">
        <v>1136.68</v>
      </c>
      <c r="S60" s="29"/>
      <c r="T60" s="29">
        <f>R60</f>
        <v>1136.68</v>
      </c>
      <c r="U60" s="29"/>
      <c r="V60" s="29"/>
      <c r="W60" s="29"/>
      <c r="X60" s="29">
        <f t="shared" si="91"/>
        <v>0</v>
      </c>
      <c r="Y60" s="29"/>
      <c r="Z60" s="29"/>
      <c r="AA60" s="29">
        <f>Y60</f>
        <v>0</v>
      </c>
      <c r="AB60" s="29"/>
      <c r="AC60" s="29"/>
      <c r="AD60" s="29"/>
      <c r="AE60" s="29">
        <f t="shared" si="92"/>
        <v>135.95787100000001</v>
      </c>
      <c r="AF60" s="29">
        <v>135.95787100000001</v>
      </c>
      <c r="AG60" s="29"/>
      <c r="AH60" s="29">
        <f>AF60</f>
        <v>135.95787100000001</v>
      </c>
      <c r="AI60" s="29"/>
      <c r="AJ60" s="29"/>
      <c r="AK60" s="29"/>
      <c r="AL60" s="29">
        <f t="shared" si="93"/>
        <v>739.10007399999995</v>
      </c>
      <c r="AM60" s="29">
        <v>739.10007399999995</v>
      </c>
      <c r="AN60" s="29"/>
      <c r="AO60" s="29">
        <f>AM60</f>
        <v>739.10007399999995</v>
      </c>
      <c r="AP60" s="29"/>
      <c r="AQ60" s="29"/>
      <c r="AR60" s="29"/>
      <c r="AS60" s="29">
        <f t="shared" si="94"/>
        <v>1859.4369999999999</v>
      </c>
      <c r="AT60" s="29">
        <v>1859.4369999999999</v>
      </c>
      <c r="AU60" s="29"/>
      <c r="AV60" s="29">
        <f>AT60</f>
        <v>1859.4369999999999</v>
      </c>
      <c r="AW60" s="29"/>
      <c r="AX60" s="29"/>
      <c r="AY60" s="29"/>
      <c r="AZ60" s="29">
        <f t="shared" si="95"/>
        <v>1054.6668099999999</v>
      </c>
      <c r="BA60" s="29">
        <v>1054.6668099999999</v>
      </c>
      <c r="BB60" s="29"/>
      <c r="BC60" s="29">
        <f>BA60</f>
        <v>1054.6668099999999</v>
      </c>
      <c r="BD60" s="29"/>
      <c r="BE60" s="29"/>
      <c r="BF60" s="29"/>
      <c r="BG60" s="29">
        <f t="shared" si="88"/>
        <v>333.93</v>
      </c>
      <c r="BH60" s="29">
        <v>333.93</v>
      </c>
      <c r="BI60" s="29">
        <f>BH60</f>
        <v>333.93</v>
      </c>
      <c r="BJ60" s="29"/>
      <c r="BK60" s="29"/>
      <c r="BL60" s="29"/>
      <c r="BM60" s="29"/>
    </row>
    <row r="61" spans="1:65" s="32" customFormat="1" ht="15" customHeight="1">
      <c r="A61" s="34" t="s">
        <v>4</v>
      </c>
      <c r="B61" s="52" t="s">
        <v>258</v>
      </c>
      <c r="C61" s="29">
        <f t="shared" si="96"/>
        <v>78345.995625999989</v>
      </c>
      <c r="D61" s="29">
        <f t="shared" si="96"/>
        <v>78345.995625999989</v>
      </c>
      <c r="E61" s="29">
        <f t="shared" si="96"/>
        <v>22339.802</v>
      </c>
      <c r="F61" s="29">
        <f t="shared" si="96"/>
        <v>56006.193626</v>
      </c>
      <c r="G61" s="29">
        <f t="shared" si="96"/>
        <v>0</v>
      </c>
      <c r="H61" s="29">
        <f t="shared" si="96"/>
        <v>0</v>
      </c>
      <c r="I61" s="29">
        <f t="shared" si="96"/>
        <v>0</v>
      </c>
      <c r="J61" s="29">
        <f t="shared" si="83"/>
        <v>8128.8639999999996</v>
      </c>
      <c r="K61" s="29">
        <v>8128.8639999999996</v>
      </c>
      <c r="L61" s="29"/>
      <c r="M61" s="29">
        <f>K61</f>
        <v>8128.8639999999996</v>
      </c>
      <c r="N61" s="29"/>
      <c r="O61" s="29"/>
      <c r="P61" s="29"/>
      <c r="Q61" s="29">
        <f t="shared" si="90"/>
        <v>12613.66</v>
      </c>
      <c r="R61" s="29">
        <v>12613.66</v>
      </c>
      <c r="S61" s="29"/>
      <c r="T61" s="29">
        <f>R61</f>
        <v>12613.66</v>
      </c>
      <c r="U61" s="29"/>
      <c r="V61" s="29"/>
      <c r="W61" s="29"/>
      <c r="X61" s="29">
        <f t="shared" si="91"/>
        <v>11912.787</v>
      </c>
      <c r="Y61" s="29">
        <v>11912.787</v>
      </c>
      <c r="Z61" s="29">
        <f>Y61</f>
        <v>11912.787</v>
      </c>
      <c r="AA61" s="29"/>
      <c r="AB61" s="29"/>
      <c r="AC61" s="29"/>
      <c r="AD61" s="29"/>
      <c r="AE61" s="29">
        <f t="shared" si="92"/>
        <v>1349.8457760000001</v>
      </c>
      <c r="AF61" s="29">
        <v>1349.8457760000001</v>
      </c>
      <c r="AG61" s="29"/>
      <c r="AH61" s="29">
        <f>AF61</f>
        <v>1349.8457760000001</v>
      </c>
      <c r="AI61" s="29"/>
      <c r="AJ61" s="29"/>
      <c r="AK61" s="29"/>
      <c r="AL61" s="29">
        <f t="shared" si="93"/>
        <v>17192.662199999999</v>
      </c>
      <c r="AM61" s="29">
        <v>17192.662199999999</v>
      </c>
      <c r="AN61" s="29"/>
      <c r="AO61" s="29">
        <f>AM61</f>
        <v>17192.662199999999</v>
      </c>
      <c r="AP61" s="29"/>
      <c r="AQ61" s="29"/>
      <c r="AR61" s="29"/>
      <c r="AS61" s="29">
        <f t="shared" si="94"/>
        <v>7809.96</v>
      </c>
      <c r="AT61" s="29">
        <v>7809.96</v>
      </c>
      <c r="AU61" s="29"/>
      <c r="AV61" s="29">
        <f>AT61</f>
        <v>7809.96</v>
      </c>
      <c r="AW61" s="29"/>
      <c r="AX61" s="29"/>
      <c r="AY61" s="29"/>
      <c r="AZ61" s="29">
        <f t="shared" si="95"/>
        <v>8911.2016500000009</v>
      </c>
      <c r="BA61" s="29">
        <v>8911.2016500000009</v>
      </c>
      <c r="BB61" s="29"/>
      <c r="BC61" s="29">
        <f>BA61</f>
        <v>8911.2016500000009</v>
      </c>
      <c r="BD61" s="29"/>
      <c r="BE61" s="29"/>
      <c r="BF61" s="29"/>
      <c r="BG61" s="29">
        <f t="shared" si="88"/>
        <v>10427.014999999999</v>
      </c>
      <c r="BH61" s="29">
        <v>10427.014999999999</v>
      </c>
      <c r="BI61" s="29">
        <f>BH61</f>
        <v>10427.014999999999</v>
      </c>
      <c r="BJ61" s="29"/>
      <c r="BK61" s="29"/>
      <c r="BL61" s="29"/>
      <c r="BM61" s="29"/>
    </row>
    <row r="62" spans="1:65" s="26" customFormat="1" ht="24.75" customHeight="1">
      <c r="A62" s="37">
        <v>2</v>
      </c>
      <c r="B62" s="51" t="s">
        <v>280</v>
      </c>
      <c r="C62" s="35">
        <f>D62+G62</f>
        <v>704.90899999999999</v>
      </c>
      <c r="D62" s="35"/>
      <c r="E62" s="35"/>
      <c r="F62" s="35"/>
      <c r="G62" s="35">
        <f>G63</f>
        <v>704.90899999999999</v>
      </c>
      <c r="H62" s="35">
        <f>H63</f>
        <v>395.94499999999999</v>
      </c>
      <c r="I62" s="35">
        <f>I63</f>
        <v>308.964</v>
      </c>
      <c r="J62" s="35">
        <f t="shared" si="83"/>
        <v>106.94499999999999</v>
      </c>
      <c r="K62" s="35"/>
      <c r="L62" s="35"/>
      <c r="M62" s="35"/>
      <c r="N62" s="35">
        <f>N63</f>
        <v>106.94499999999999</v>
      </c>
      <c r="O62" s="35">
        <f>O63</f>
        <v>106.94499999999999</v>
      </c>
      <c r="P62" s="35"/>
      <c r="Q62" s="35">
        <f t="shared" si="90"/>
        <v>100</v>
      </c>
      <c r="R62" s="35"/>
      <c r="S62" s="35"/>
      <c r="T62" s="35"/>
      <c r="U62" s="35">
        <f>U63</f>
        <v>100</v>
      </c>
      <c r="V62" s="35">
        <f>V63</f>
        <v>100</v>
      </c>
      <c r="W62" s="35">
        <f>W63</f>
        <v>0</v>
      </c>
      <c r="X62" s="35">
        <f t="shared" si="91"/>
        <v>91</v>
      </c>
      <c r="Y62" s="35"/>
      <c r="Z62" s="35"/>
      <c r="AA62" s="35"/>
      <c r="AB62" s="35">
        <f>AB63</f>
        <v>91</v>
      </c>
      <c r="AC62" s="35">
        <f>AC63</f>
        <v>55</v>
      </c>
      <c r="AD62" s="35">
        <f>AD63</f>
        <v>36</v>
      </c>
      <c r="AE62" s="35">
        <f t="shared" si="92"/>
        <v>23</v>
      </c>
      <c r="AF62" s="35"/>
      <c r="AG62" s="35"/>
      <c r="AH62" s="35"/>
      <c r="AI62" s="35">
        <f>AI63</f>
        <v>23</v>
      </c>
      <c r="AJ62" s="35">
        <f>AJ63</f>
        <v>23</v>
      </c>
      <c r="AK62" s="35">
        <f>AK63</f>
        <v>0</v>
      </c>
      <c r="AL62" s="35">
        <f t="shared" si="93"/>
        <v>73.39</v>
      </c>
      <c r="AM62" s="35"/>
      <c r="AN62" s="35"/>
      <c r="AO62" s="35"/>
      <c r="AP62" s="35">
        <f>AP63</f>
        <v>73.39</v>
      </c>
      <c r="AQ62" s="35"/>
      <c r="AR62" s="35">
        <f>AR63</f>
        <v>73.39</v>
      </c>
      <c r="AS62" s="35">
        <f t="shared" si="94"/>
        <v>107</v>
      </c>
      <c r="AT62" s="35"/>
      <c r="AU62" s="35"/>
      <c r="AV62" s="35"/>
      <c r="AW62" s="35">
        <f>AW63</f>
        <v>107</v>
      </c>
      <c r="AX62" s="35">
        <f>AX63</f>
        <v>7</v>
      </c>
      <c r="AY62" s="35">
        <f>AY63</f>
        <v>100</v>
      </c>
      <c r="AZ62" s="35">
        <f t="shared" si="95"/>
        <v>99.573999999999998</v>
      </c>
      <c r="BA62" s="35"/>
      <c r="BB62" s="35"/>
      <c r="BC62" s="35"/>
      <c r="BD62" s="35">
        <f>BD63</f>
        <v>99.573999999999998</v>
      </c>
      <c r="BE62" s="35"/>
      <c r="BF62" s="35">
        <f>BF63</f>
        <v>99.573999999999998</v>
      </c>
      <c r="BG62" s="35">
        <f t="shared" si="88"/>
        <v>104</v>
      </c>
      <c r="BH62" s="35"/>
      <c r="BI62" s="35"/>
      <c r="BJ62" s="35"/>
      <c r="BK62" s="35">
        <f>BK63</f>
        <v>104</v>
      </c>
      <c r="BL62" s="35">
        <f>BL63</f>
        <v>104</v>
      </c>
      <c r="BM62" s="35"/>
    </row>
    <row r="63" spans="1:65" s="32" customFormat="1" ht="15" customHeight="1">
      <c r="A63" s="34"/>
      <c r="B63" s="52" t="s">
        <v>258</v>
      </c>
      <c r="C63" s="29">
        <f t="shared" ref="C63:I63" si="97">J63+Q63+X63+AE63+AL63+AS63+AZ63+BG63</f>
        <v>704.90899999999999</v>
      </c>
      <c r="D63" s="29">
        <f t="shared" si="97"/>
        <v>0</v>
      </c>
      <c r="E63" s="29">
        <f t="shared" si="97"/>
        <v>0</v>
      </c>
      <c r="F63" s="29">
        <f t="shared" si="97"/>
        <v>0</v>
      </c>
      <c r="G63" s="29">
        <f t="shared" si="97"/>
        <v>704.90899999999999</v>
      </c>
      <c r="H63" s="29">
        <f t="shared" si="97"/>
        <v>395.94499999999999</v>
      </c>
      <c r="I63" s="29">
        <f t="shared" si="97"/>
        <v>308.964</v>
      </c>
      <c r="J63" s="29">
        <f t="shared" si="83"/>
        <v>106.94499999999999</v>
      </c>
      <c r="K63" s="29"/>
      <c r="L63" s="29"/>
      <c r="M63" s="29"/>
      <c r="N63" s="29">
        <v>106.94499999999999</v>
      </c>
      <c r="O63" s="29">
        <f>N63</f>
        <v>106.94499999999999</v>
      </c>
      <c r="P63" s="29"/>
      <c r="Q63" s="29">
        <f t="shared" si="90"/>
        <v>100</v>
      </c>
      <c r="R63" s="29"/>
      <c r="S63" s="29"/>
      <c r="T63" s="29"/>
      <c r="U63" s="29">
        <f>V63+W63</f>
        <v>100</v>
      </c>
      <c r="V63" s="29">
        <v>100</v>
      </c>
      <c r="W63" s="29"/>
      <c r="X63" s="29">
        <f t="shared" si="91"/>
        <v>91</v>
      </c>
      <c r="Y63" s="29"/>
      <c r="Z63" s="29"/>
      <c r="AA63" s="29"/>
      <c r="AB63" s="29">
        <f>AC63+AD63</f>
        <v>91</v>
      </c>
      <c r="AC63" s="29">
        <v>55</v>
      </c>
      <c r="AD63" s="29">
        <v>36</v>
      </c>
      <c r="AE63" s="29">
        <f t="shared" si="92"/>
        <v>23</v>
      </c>
      <c r="AF63" s="29"/>
      <c r="AG63" s="29"/>
      <c r="AH63" s="29"/>
      <c r="AI63" s="29">
        <v>23</v>
      </c>
      <c r="AJ63" s="29">
        <f>AI63</f>
        <v>23</v>
      </c>
      <c r="AK63" s="29"/>
      <c r="AL63" s="29">
        <f t="shared" si="93"/>
        <v>73.39</v>
      </c>
      <c r="AM63" s="29"/>
      <c r="AN63" s="29"/>
      <c r="AO63" s="29"/>
      <c r="AP63" s="29">
        <v>73.39</v>
      </c>
      <c r="AQ63" s="29"/>
      <c r="AR63" s="29">
        <f>AP63</f>
        <v>73.39</v>
      </c>
      <c r="AS63" s="29">
        <f t="shared" si="94"/>
        <v>107</v>
      </c>
      <c r="AT63" s="29"/>
      <c r="AU63" s="29"/>
      <c r="AV63" s="29"/>
      <c r="AW63" s="29">
        <f>AX63+AY63</f>
        <v>107</v>
      </c>
      <c r="AX63" s="29">
        <v>7</v>
      </c>
      <c r="AY63" s="29">
        <v>100</v>
      </c>
      <c r="AZ63" s="29">
        <f t="shared" si="95"/>
        <v>99.573999999999998</v>
      </c>
      <c r="BA63" s="29"/>
      <c r="BB63" s="29"/>
      <c r="BC63" s="29"/>
      <c r="BD63" s="29">
        <v>99.573999999999998</v>
      </c>
      <c r="BE63" s="29"/>
      <c r="BF63" s="29">
        <f>BD63</f>
        <v>99.573999999999998</v>
      </c>
      <c r="BG63" s="29">
        <f t="shared" si="88"/>
        <v>104</v>
      </c>
      <c r="BH63" s="29"/>
      <c r="BI63" s="29"/>
      <c r="BJ63" s="29"/>
      <c r="BK63" s="29">
        <v>104</v>
      </c>
      <c r="BL63" s="29">
        <v>104</v>
      </c>
      <c r="BM63" s="29"/>
    </row>
    <row r="64" spans="1:65" s="26" customFormat="1" ht="15" customHeight="1">
      <c r="A64" s="37">
        <v>3</v>
      </c>
      <c r="B64" s="51" t="s">
        <v>279</v>
      </c>
      <c r="C64" s="35">
        <f>D64+G64</f>
        <v>13689.235925999999</v>
      </c>
      <c r="D64" s="35"/>
      <c r="E64" s="35"/>
      <c r="F64" s="35"/>
      <c r="G64" s="35">
        <f>G65+G66</f>
        <v>13689.235925999999</v>
      </c>
      <c r="H64" s="35">
        <f>H65+H66</f>
        <v>199.958</v>
      </c>
      <c r="I64" s="35">
        <f>I65+I66</f>
        <v>13489.277925999999</v>
      </c>
      <c r="J64" s="35">
        <f t="shared" si="83"/>
        <v>2588.1433999999999</v>
      </c>
      <c r="K64" s="35"/>
      <c r="L64" s="35"/>
      <c r="M64" s="35"/>
      <c r="N64" s="35">
        <f>N65+N66</f>
        <v>2588.1433999999999</v>
      </c>
      <c r="O64" s="35">
        <f>O65+O66</f>
        <v>0</v>
      </c>
      <c r="P64" s="35">
        <f>P65+P66</f>
        <v>2588.1433999999999</v>
      </c>
      <c r="Q64" s="35">
        <f t="shared" si="90"/>
        <v>1598.24</v>
      </c>
      <c r="R64" s="35"/>
      <c r="S64" s="35"/>
      <c r="T64" s="35"/>
      <c r="U64" s="35">
        <f>U65+U66</f>
        <v>1598.24</v>
      </c>
      <c r="V64" s="35">
        <f>V65+V66</f>
        <v>0</v>
      </c>
      <c r="W64" s="35">
        <f>W65+W66</f>
        <v>1598.24</v>
      </c>
      <c r="X64" s="35">
        <f t="shared" si="91"/>
        <v>2098.973</v>
      </c>
      <c r="Y64" s="35"/>
      <c r="Z64" s="35"/>
      <c r="AA64" s="35"/>
      <c r="AB64" s="35">
        <f>AB65+AB66</f>
        <v>2098.973</v>
      </c>
      <c r="AC64" s="35">
        <f>AC65+AC66</f>
        <v>199.958</v>
      </c>
      <c r="AD64" s="35">
        <f>AD65+AD66</f>
        <v>1899.0150000000001</v>
      </c>
      <c r="AE64" s="35">
        <f t="shared" si="92"/>
        <v>1265.6099999999999</v>
      </c>
      <c r="AF64" s="35"/>
      <c r="AG64" s="35"/>
      <c r="AH64" s="35"/>
      <c r="AI64" s="35">
        <f>AI65+AI66</f>
        <v>1265.6099999999999</v>
      </c>
      <c r="AJ64" s="35"/>
      <c r="AK64" s="35">
        <f>AK65+AK66</f>
        <v>1265.6099999999999</v>
      </c>
      <c r="AL64" s="35">
        <f t="shared" si="93"/>
        <v>2295.8755259999998</v>
      </c>
      <c r="AM64" s="35"/>
      <c r="AN64" s="35"/>
      <c r="AO64" s="35"/>
      <c r="AP64" s="35">
        <f>AP65+AP66</f>
        <v>2295.8755259999998</v>
      </c>
      <c r="AQ64" s="35"/>
      <c r="AR64" s="35">
        <f>AR65+AR66</f>
        <v>2295.8755259999998</v>
      </c>
      <c r="AS64" s="35">
        <f t="shared" si="94"/>
        <v>881.2</v>
      </c>
      <c r="AT64" s="35"/>
      <c r="AU64" s="35"/>
      <c r="AV64" s="35"/>
      <c r="AW64" s="35">
        <f>AW65+AW66</f>
        <v>881.2</v>
      </c>
      <c r="AX64" s="35"/>
      <c r="AY64" s="35">
        <f>AY65+AY66</f>
        <v>881.2</v>
      </c>
      <c r="AZ64" s="35">
        <f t="shared" si="95"/>
        <v>2361.194</v>
      </c>
      <c r="BA64" s="35"/>
      <c r="BB64" s="35"/>
      <c r="BC64" s="35"/>
      <c r="BD64" s="35">
        <f>BD65+BD66</f>
        <v>2361.194</v>
      </c>
      <c r="BE64" s="35"/>
      <c r="BF64" s="35">
        <f>BF65+BF66</f>
        <v>2361.194</v>
      </c>
      <c r="BG64" s="35">
        <f t="shared" si="88"/>
        <v>600</v>
      </c>
      <c r="BH64" s="35"/>
      <c r="BI64" s="35"/>
      <c r="BJ64" s="35"/>
      <c r="BK64" s="35">
        <f>BK65+BK66</f>
        <v>600</v>
      </c>
      <c r="BL64" s="35">
        <f>BL65+BL66</f>
        <v>0</v>
      </c>
      <c r="BM64" s="35">
        <f>BM65+BM66</f>
        <v>600</v>
      </c>
    </row>
    <row r="65" spans="1:65" s="32" customFormat="1" ht="15" customHeight="1">
      <c r="A65" s="34"/>
      <c r="B65" s="52" t="s">
        <v>253</v>
      </c>
      <c r="C65" s="29">
        <f t="shared" ref="C65:I66" si="98">J65+Q65+X65+AE65+AL65+AS65+AZ65+BG65</f>
        <v>294.036</v>
      </c>
      <c r="D65" s="29">
        <f t="shared" si="98"/>
        <v>0</v>
      </c>
      <c r="E65" s="29">
        <f t="shared" si="98"/>
        <v>0</v>
      </c>
      <c r="F65" s="29">
        <f t="shared" si="98"/>
        <v>0</v>
      </c>
      <c r="G65" s="29">
        <f t="shared" si="98"/>
        <v>294.036</v>
      </c>
      <c r="H65" s="29">
        <f t="shared" si="98"/>
        <v>0</v>
      </c>
      <c r="I65" s="29">
        <f t="shared" si="98"/>
        <v>294.036</v>
      </c>
      <c r="J65" s="29">
        <f t="shared" si="83"/>
        <v>0</v>
      </c>
      <c r="K65" s="29"/>
      <c r="L65" s="29"/>
      <c r="M65" s="29"/>
      <c r="N65" s="29"/>
      <c r="O65" s="29"/>
      <c r="P65" s="29"/>
      <c r="Q65" s="29">
        <f t="shared" si="90"/>
        <v>0</v>
      </c>
      <c r="R65" s="29"/>
      <c r="S65" s="29"/>
      <c r="T65" s="29"/>
      <c r="U65" s="29"/>
      <c r="V65" s="29"/>
      <c r="W65" s="29">
        <f>U65</f>
        <v>0</v>
      </c>
      <c r="X65" s="29">
        <f t="shared" si="91"/>
        <v>0</v>
      </c>
      <c r="Y65" s="29"/>
      <c r="Z65" s="29"/>
      <c r="AA65" s="29"/>
      <c r="AB65" s="29"/>
      <c r="AC65" s="29"/>
      <c r="AD65" s="29">
        <f>AB65</f>
        <v>0</v>
      </c>
      <c r="AE65" s="29">
        <f t="shared" si="92"/>
        <v>0</v>
      </c>
      <c r="AF65" s="29"/>
      <c r="AG65" s="29"/>
      <c r="AH65" s="29"/>
      <c r="AI65" s="29"/>
      <c r="AJ65" s="29"/>
      <c r="AK65" s="29">
        <f>AI65</f>
        <v>0</v>
      </c>
      <c r="AL65" s="29">
        <f t="shared" si="93"/>
        <v>0</v>
      </c>
      <c r="AM65" s="29"/>
      <c r="AN65" s="29"/>
      <c r="AO65" s="29"/>
      <c r="AP65" s="29"/>
      <c r="AQ65" s="29"/>
      <c r="AR65" s="29">
        <f>AP65</f>
        <v>0</v>
      </c>
      <c r="AS65" s="29">
        <f t="shared" si="94"/>
        <v>0</v>
      </c>
      <c r="AT65" s="29"/>
      <c r="AU65" s="29"/>
      <c r="AV65" s="29"/>
      <c r="AW65" s="29"/>
      <c r="AX65" s="29"/>
      <c r="AY65" s="29">
        <f>AW65</f>
        <v>0</v>
      </c>
      <c r="AZ65" s="29">
        <f t="shared" si="95"/>
        <v>294.036</v>
      </c>
      <c r="BA65" s="29"/>
      <c r="BB65" s="29"/>
      <c r="BC65" s="29"/>
      <c r="BD65" s="29">
        <v>294.036</v>
      </c>
      <c r="BE65" s="29"/>
      <c r="BF65" s="29">
        <f>BD65</f>
        <v>294.036</v>
      </c>
      <c r="BG65" s="29">
        <f t="shared" si="88"/>
        <v>0</v>
      </c>
      <c r="BH65" s="29"/>
      <c r="BI65" s="29"/>
      <c r="BJ65" s="29"/>
      <c r="BK65" s="29"/>
      <c r="BL65" s="29"/>
      <c r="BM65" s="29"/>
    </row>
    <row r="66" spans="1:65" s="32" customFormat="1" ht="15" customHeight="1">
      <c r="A66" s="34"/>
      <c r="B66" s="52" t="s">
        <v>258</v>
      </c>
      <c r="C66" s="29">
        <f t="shared" si="98"/>
        <v>13395.199925999999</v>
      </c>
      <c r="D66" s="29">
        <f t="shared" si="98"/>
        <v>0</v>
      </c>
      <c r="E66" s="29">
        <f t="shared" si="98"/>
        <v>0</v>
      </c>
      <c r="F66" s="29">
        <f t="shared" si="98"/>
        <v>0</v>
      </c>
      <c r="G66" s="29">
        <f t="shared" si="98"/>
        <v>13395.199925999999</v>
      </c>
      <c r="H66" s="29">
        <f t="shared" si="98"/>
        <v>199.958</v>
      </c>
      <c r="I66" s="29">
        <f t="shared" si="98"/>
        <v>13195.241925999999</v>
      </c>
      <c r="J66" s="29">
        <f t="shared" si="83"/>
        <v>2588.1433999999999</v>
      </c>
      <c r="K66" s="29"/>
      <c r="L66" s="29"/>
      <c r="M66" s="29"/>
      <c r="N66" s="29">
        <v>2588.1433999999999</v>
      </c>
      <c r="O66" s="29"/>
      <c r="P66" s="29">
        <f>N66</f>
        <v>2588.1433999999999</v>
      </c>
      <c r="Q66" s="29">
        <f t="shared" si="90"/>
        <v>1598.24</v>
      </c>
      <c r="R66" s="29"/>
      <c r="S66" s="29"/>
      <c r="T66" s="29"/>
      <c r="U66" s="29">
        <f>V66+W66</f>
        <v>1598.24</v>
      </c>
      <c r="V66" s="29"/>
      <c r="W66" s="29">
        <v>1598.24</v>
      </c>
      <c r="X66" s="29">
        <f t="shared" si="91"/>
        <v>2098.973</v>
      </c>
      <c r="Y66" s="29"/>
      <c r="Z66" s="29"/>
      <c r="AA66" s="29"/>
      <c r="AB66" s="29">
        <f>AC66+AD66</f>
        <v>2098.973</v>
      </c>
      <c r="AC66" s="29">
        <v>199.958</v>
      </c>
      <c r="AD66" s="29">
        <v>1899.0150000000001</v>
      </c>
      <c r="AE66" s="29">
        <f t="shared" si="92"/>
        <v>1265.6099999999999</v>
      </c>
      <c r="AF66" s="29"/>
      <c r="AG66" s="29"/>
      <c r="AH66" s="29"/>
      <c r="AI66" s="29">
        <v>1265.6099999999999</v>
      </c>
      <c r="AJ66" s="29"/>
      <c r="AK66" s="29">
        <f>AI66</f>
        <v>1265.6099999999999</v>
      </c>
      <c r="AL66" s="29">
        <f t="shared" si="93"/>
        <v>2295.8755259999998</v>
      </c>
      <c r="AM66" s="29"/>
      <c r="AN66" s="29"/>
      <c r="AO66" s="29"/>
      <c r="AP66" s="29">
        <v>2295.8755259999998</v>
      </c>
      <c r="AQ66" s="29"/>
      <c r="AR66" s="29">
        <f>AP66</f>
        <v>2295.8755259999998</v>
      </c>
      <c r="AS66" s="29">
        <f t="shared" si="94"/>
        <v>881.2</v>
      </c>
      <c r="AT66" s="29"/>
      <c r="AU66" s="29"/>
      <c r="AV66" s="29"/>
      <c r="AW66" s="29">
        <v>881.2</v>
      </c>
      <c r="AX66" s="29"/>
      <c r="AY66" s="29">
        <f>AW66</f>
        <v>881.2</v>
      </c>
      <c r="AZ66" s="29">
        <f t="shared" si="95"/>
        <v>2067.1579999999999</v>
      </c>
      <c r="BA66" s="29"/>
      <c r="BB66" s="29"/>
      <c r="BC66" s="29"/>
      <c r="BD66" s="29">
        <v>2067.1579999999999</v>
      </c>
      <c r="BE66" s="29"/>
      <c r="BF66" s="29">
        <f>BD66</f>
        <v>2067.1579999999999</v>
      </c>
      <c r="BG66" s="29">
        <f t="shared" si="88"/>
        <v>600</v>
      </c>
      <c r="BH66" s="29"/>
      <c r="BI66" s="29"/>
      <c r="BJ66" s="29"/>
      <c r="BK66" s="29">
        <v>600</v>
      </c>
      <c r="BL66" s="29"/>
      <c r="BM66" s="29">
        <v>600</v>
      </c>
    </row>
    <row r="67" spans="1:65" s="26" customFormat="1" ht="15" customHeight="1">
      <c r="A67" s="37">
        <v>4</v>
      </c>
      <c r="B67" s="50" t="s">
        <v>278</v>
      </c>
      <c r="C67" s="35">
        <f>D67+G67</f>
        <v>954.74499999999989</v>
      </c>
      <c r="D67" s="35"/>
      <c r="E67" s="35"/>
      <c r="F67" s="35"/>
      <c r="G67" s="35">
        <f>G70+G68+G69</f>
        <v>954.74499999999989</v>
      </c>
      <c r="H67" s="35">
        <f>H70</f>
        <v>416.15099999999995</v>
      </c>
      <c r="I67" s="35">
        <f>I70+I68+I69</f>
        <v>538.59399999999994</v>
      </c>
      <c r="J67" s="35">
        <f t="shared" si="83"/>
        <v>128.80000000000001</v>
      </c>
      <c r="K67" s="35"/>
      <c r="L67" s="35"/>
      <c r="M67" s="35"/>
      <c r="N67" s="35">
        <f>N70</f>
        <v>128.80000000000001</v>
      </c>
      <c r="O67" s="35">
        <f>O70</f>
        <v>55.08</v>
      </c>
      <c r="P67" s="35">
        <f>P70</f>
        <v>73.72</v>
      </c>
      <c r="Q67" s="35">
        <f t="shared" si="90"/>
        <v>173.67000000000002</v>
      </c>
      <c r="R67" s="35"/>
      <c r="S67" s="35"/>
      <c r="T67" s="35"/>
      <c r="U67" s="35">
        <f>V67+W67</f>
        <v>173.67000000000002</v>
      </c>
      <c r="V67" s="35">
        <f>V70+V68+V69</f>
        <v>80</v>
      </c>
      <c r="W67" s="35">
        <f>W70+W68+W69</f>
        <v>93.67</v>
      </c>
      <c r="X67" s="35">
        <f t="shared" si="91"/>
        <v>131.13999999999999</v>
      </c>
      <c r="Y67" s="35"/>
      <c r="Z67" s="35"/>
      <c r="AA67" s="35"/>
      <c r="AB67" s="35">
        <f>AC67+AD67</f>
        <v>131.13999999999999</v>
      </c>
      <c r="AC67" s="35">
        <f>AC70+AC68+AC69</f>
        <v>60</v>
      </c>
      <c r="AD67" s="35">
        <f>AD70+AD68+AD69</f>
        <v>71.14</v>
      </c>
      <c r="AE67" s="35">
        <f t="shared" si="92"/>
        <v>20</v>
      </c>
      <c r="AF67" s="35"/>
      <c r="AG67" s="35"/>
      <c r="AH67" s="35"/>
      <c r="AI67" s="35">
        <f>AJ67+AK67</f>
        <v>20</v>
      </c>
      <c r="AJ67" s="35">
        <f>AJ70+AJ68+AJ69</f>
        <v>10</v>
      </c>
      <c r="AK67" s="35">
        <f>AK70+AK68+AK69</f>
        <v>10</v>
      </c>
      <c r="AL67" s="35">
        <f t="shared" si="93"/>
        <v>163.76499999999999</v>
      </c>
      <c r="AM67" s="35"/>
      <c r="AN67" s="35"/>
      <c r="AO67" s="35"/>
      <c r="AP67" s="35">
        <f>AQ67+AR67</f>
        <v>163.76499999999999</v>
      </c>
      <c r="AQ67" s="35">
        <f>AQ70+AQ68+AQ69</f>
        <v>80</v>
      </c>
      <c r="AR67" s="35">
        <f>AR70+AR68+AR69</f>
        <v>83.765000000000001</v>
      </c>
      <c r="AS67" s="35">
        <f t="shared" si="94"/>
        <v>79.069999999999993</v>
      </c>
      <c r="AT67" s="35"/>
      <c r="AU67" s="35"/>
      <c r="AV67" s="35"/>
      <c r="AW67" s="35">
        <f>AW70</f>
        <v>79.069999999999993</v>
      </c>
      <c r="AX67" s="35">
        <f>AX70</f>
        <v>34.070999999999998</v>
      </c>
      <c r="AY67" s="35">
        <f>AY70</f>
        <v>44.998999999999995</v>
      </c>
      <c r="AZ67" s="35">
        <f t="shared" si="95"/>
        <v>177</v>
      </c>
      <c r="BA67" s="35"/>
      <c r="BB67" s="35"/>
      <c r="BC67" s="35"/>
      <c r="BD67" s="35">
        <f>BD70</f>
        <v>177</v>
      </c>
      <c r="BE67" s="35">
        <f>BE70</f>
        <v>57</v>
      </c>
      <c r="BF67" s="35">
        <f>BF70</f>
        <v>120</v>
      </c>
      <c r="BG67" s="35">
        <f t="shared" si="88"/>
        <v>81.3</v>
      </c>
      <c r="BH67" s="35"/>
      <c r="BI67" s="35"/>
      <c r="BJ67" s="35"/>
      <c r="BK67" s="35">
        <f>BK70</f>
        <v>81.3</v>
      </c>
      <c r="BL67" s="35">
        <f>BL70</f>
        <v>40</v>
      </c>
      <c r="BM67" s="35">
        <f>BM70</f>
        <v>41.3</v>
      </c>
    </row>
    <row r="68" spans="1:65" s="26" customFormat="1" ht="15" customHeight="1">
      <c r="A68" s="37"/>
      <c r="B68" s="52" t="s">
        <v>277</v>
      </c>
      <c r="C68" s="29">
        <f t="shared" ref="C68:I70" si="99">J68+Q68+X68+AE68+AL68+AS68+AZ68+BG68</f>
        <v>2</v>
      </c>
      <c r="D68" s="29">
        <f t="shared" si="99"/>
        <v>0</v>
      </c>
      <c r="E68" s="29">
        <f t="shared" si="99"/>
        <v>0</v>
      </c>
      <c r="F68" s="29">
        <f t="shared" si="99"/>
        <v>0</v>
      </c>
      <c r="G68" s="29">
        <f t="shared" si="99"/>
        <v>2</v>
      </c>
      <c r="H68" s="29">
        <f t="shared" si="99"/>
        <v>0</v>
      </c>
      <c r="I68" s="29">
        <f t="shared" si="99"/>
        <v>2</v>
      </c>
      <c r="J68" s="35"/>
      <c r="K68" s="35"/>
      <c r="L68" s="35"/>
      <c r="M68" s="35"/>
      <c r="N68" s="35"/>
      <c r="O68" s="35"/>
      <c r="P68" s="35"/>
      <c r="Q68" s="29">
        <f t="shared" si="90"/>
        <v>0</v>
      </c>
      <c r="R68" s="35"/>
      <c r="S68" s="35"/>
      <c r="T68" s="35"/>
      <c r="U68" s="29">
        <f>V68+W68</f>
        <v>0</v>
      </c>
      <c r="V68" s="35"/>
      <c r="W68" s="29"/>
      <c r="X68" s="29">
        <f t="shared" si="91"/>
        <v>0</v>
      </c>
      <c r="Y68" s="35"/>
      <c r="Z68" s="35"/>
      <c r="AA68" s="35"/>
      <c r="AB68" s="29">
        <f>AC68+AD68</f>
        <v>0</v>
      </c>
      <c r="AC68" s="35"/>
      <c r="AD68" s="29"/>
      <c r="AE68" s="29">
        <f t="shared" si="92"/>
        <v>0</v>
      </c>
      <c r="AF68" s="35"/>
      <c r="AG68" s="35"/>
      <c r="AH68" s="35"/>
      <c r="AI68" s="29">
        <f>AJ68+AK68</f>
        <v>0</v>
      </c>
      <c r="AJ68" s="35"/>
      <c r="AK68" s="29"/>
      <c r="AL68" s="29">
        <f t="shared" si="93"/>
        <v>2</v>
      </c>
      <c r="AM68" s="35"/>
      <c r="AN68" s="35"/>
      <c r="AO68" s="35"/>
      <c r="AP68" s="29">
        <f>AQ68+AR68</f>
        <v>2</v>
      </c>
      <c r="AQ68" s="35"/>
      <c r="AR68" s="29">
        <v>2</v>
      </c>
      <c r="AS68" s="35"/>
      <c r="AT68" s="35"/>
      <c r="AU68" s="35"/>
      <c r="AV68" s="35"/>
      <c r="AW68" s="35"/>
      <c r="AX68" s="35"/>
      <c r="AY68" s="35"/>
      <c r="AZ68" s="35"/>
      <c r="BA68" s="35"/>
      <c r="BB68" s="35"/>
      <c r="BC68" s="35"/>
      <c r="BD68" s="35"/>
      <c r="BE68" s="35"/>
      <c r="BF68" s="35"/>
      <c r="BG68" s="35"/>
      <c r="BH68" s="35"/>
      <c r="BI68" s="35"/>
      <c r="BJ68" s="35"/>
      <c r="BK68" s="35"/>
      <c r="BL68" s="35"/>
      <c r="BM68" s="35"/>
    </row>
    <row r="69" spans="1:65" s="26" customFormat="1" ht="15" customHeight="1">
      <c r="A69" s="37"/>
      <c r="B69" s="52" t="s">
        <v>253</v>
      </c>
      <c r="C69" s="29">
        <f t="shared" si="99"/>
        <v>6.02</v>
      </c>
      <c r="D69" s="29">
        <f t="shared" si="99"/>
        <v>0</v>
      </c>
      <c r="E69" s="29">
        <f t="shared" si="99"/>
        <v>0</v>
      </c>
      <c r="F69" s="29">
        <f t="shared" si="99"/>
        <v>0</v>
      </c>
      <c r="G69" s="29">
        <f t="shared" si="99"/>
        <v>6.02</v>
      </c>
      <c r="H69" s="29">
        <f t="shared" si="99"/>
        <v>0</v>
      </c>
      <c r="I69" s="29">
        <f t="shared" si="99"/>
        <v>6.02</v>
      </c>
      <c r="J69" s="35"/>
      <c r="K69" s="35"/>
      <c r="L69" s="35"/>
      <c r="M69" s="35"/>
      <c r="N69" s="35"/>
      <c r="O69" s="35"/>
      <c r="P69" s="35"/>
      <c r="Q69" s="29">
        <f t="shared" si="90"/>
        <v>0</v>
      </c>
      <c r="R69" s="35"/>
      <c r="S69" s="35"/>
      <c r="T69" s="35"/>
      <c r="U69" s="29">
        <f>V69+W69</f>
        <v>0</v>
      </c>
      <c r="V69" s="35"/>
      <c r="W69" s="29"/>
      <c r="X69" s="29">
        <f t="shared" si="91"/>
        <v>0</v>
      </c>
      <c r="Y69" s="35"/>
      <c r="Z69" s="35"/>
      <c r="AA69" s="35"/>
      <c r="AB69" s="29">
        <f>AC69+AD69</f>
        <v>0</v>
      </c>
      <c r="AC69" s="35"/>
      <c r="AD69" s="29"/>
      <c r="AE69" s="29">
        <f t="shared" si="92"/>
        <v>0</v>
      </c>
      <c r="AF69" s="35"/>
      <c r="AG69" s="35"/>
      <c r="AH69" s="35"/>
      <c r="AI69" s="29">
        <f>AJ69+AK69</f>
        <v>0</v>
      </c>
      <c r="AJ69" s="35"/>
      <c r="AK69" s="29"/>
      <c r="AL69" s="29">
        <f t="shared" si="93"/>
        <v>6.02</v>
      </c>
      <c r="AM69" s="35"/>
      <c r="AN69" s="35"/>
      <c r="AO69" s="35"/>
      <c r="AP69" s="29">
        <f>AQ69+AR69</f>
        <v>6.02</v>
      </c>
      <c r="AQ69" s="35"/>
      <c r="AR69" s="29">
        <v>6.02</v>
      </c>
      <c r="AS69" s="35"/>
      <c r="AT69" s="35"/>
      <c r="AU69" s="35"/>
      <c r="AV69" s="35"/>
      <c r="AW69" s="35"/>
      <c r="AX69" s="35"/>
      <c r="AY69" s="35"/>
      <c r="AZ69" s="35"/>
      <c r="BA69" s="35"/>
      <c r="BB69" s="35"/>
      <c r="BC69" s="35"/>
      <c r="BD69" s="35"/>
      <c r="BE69" s="35"/>
      <c r="BF69" s="35"/>
      <c r="BG69" s="35"/>
      <c r="BH69" s="35"/>
      <c r="BI69" s="35"/>
      <c r="BJ69" s="35"/>
      <c r="BK69" s="35"/>
      <c r="BL69" s="35"/>
      <c r="BM69" s="35"/>
    </row>
    <row r="70" spans="1:65" s="32" customFormat="1" ht="15" customHeight="1">
      <c r="A70" s="34"/>
      <c r="B70" s="52" t="s">
        <v>258</v>
      </c>
      <c r="C70" s="29">
        <f t="shared" si="99"/>
        <v>946.72499999999991</v>
      </c>
      <c r="D70" s="29">
        <f t="shared" si="99"/>
        <v>0</v>
      </c>
      <c r="E70" s="29">
        <f t="shared" si="99"/>
        <v>0</v>
      </c>
      <c r="F70" s="29">
        <f t="shared" si="99"/>
        <v>0</v>
      </c>
      <c r="G70" s="29">
        <f t="shared" si="99"/>
        <v>946.72499999999991</v>
      </c>
      <c r="H70" s="29">
        <f t="shared" si="99"/>
        <v>416.15099999999995</v>
      </c>
      <c r="I70" s="29">
        <f t="shared" si="99"/>
        <v>530.57399999999996</v>
      </c>
      <c r="J70" s="29">
        <f t="shared" ref="J70:J77" si="100">K70+N70</f>
        <v>128.80000000000001</v>
      </c>
      <c r="K70" s="29"/>
      <c r="L70" s="29"/>
      <c r="M70" s="29"/>
      <c r="N70" s="29">
        <f>O70+P70</f>
        <v>128.80000000000001</v>
      </c>
      <c r="O70" s="29">
        <v>55.08</v>
      </c>
      <c r="P70" s="29">
        <v>73.72</v>
      </c>
      <c r="Q70" s="29">
        <f t="shared" si="90"/>
        <v>173.67000000000002</v>
      </c>
      <c r="R70" s="29"/>
      <c r="S70" s="29"/>
      <c r="T70" s="29"/>
      <c r="U70" s="29">
        <f>V70+W70</f>
        <v>173.67000000000002</v>
      </c>
      <c r="V70" s="29">
        <v>80</v>
      </c>
      <c r="W70" s="29">
        <v>93.67</v>
      </c>
      <c r="X70" s="29">
        <f t="shared" si="91"/>
        <v>131.13999999999999</v>
      </c>
      <c r="Y70" s="29"/>
      <c r="Z70" s="29"/>
      <c r="AA70" s="29"/>
      <c r="AB70" s="29">
        <f>AC70+AD70</f>
        <v>131.13999999999999</v>
      </c>
      <c r="AC70" s="29">
        <v>60</v>
      </c>
      <c r="AD70" s="29">
        <v>71.14</v>
      </c>
      <c r="AE70" s="29">
        <f t="shared" si="92"/>
        <v>20</v>
      </c>
      <c r="AF70" s="29"/>
      <c r="AG70" s="29"/>
      <c r="AH70" s="29"/>
      <c r="AI70" s="29">
        <f>AJ70+AK70</f>
        <v>20</v>
      </c>
      <c r="AJ70" s="29">
        <v>10</v>
      </c>
      <c r="AK70" s="29">
        <v>10</v>
      </c>
      <c r="AL70" s="29">
        <f t="shared" si="93"/>
        <v>155.745</v>
      </c>
      <c r="AM70" s="29"/>
      <c r="AN70" s="29"/>
      <c r="AO70" s="29"/>
      <c r="AP70" s="29">
        <f>AQ70+AR70</f>
        <v>155.745</v>
      </c>
      <c r="AQ70" s="29">
        <v>80</v>
      </c>
      <c r="AR70" s="29">
        <v>75.745000000000005</v>
      </c>
      <c r="AS70" s="29">
        <f>AT70+AW70</f>
        <v>79.069999999999993</v>
      </c>
      <c r="AT70" s="29"/>
      <c r="AU70" s="29"/>
      <c r="AV70" s="29"/>
      <c r="AW70" s="29">
        <f>AX70+AY70</f>
        <v>79.069999999999993</v>
      </c>
      <c r="AX70" s="29">
        <v>34.070999999999998</v>
      </c>
      <c r="AY70" s="29">
        <v>44.998999999999995</v>
      </c>
      <c r="AZ70" s="29">
        <f>BA70+BD70</f>
        <v>177</v>
      </c>
      <c r="BA70" s="29"/>
      <c r="BB70" s="29"/>
      <c r="BC70" s="29"/>
      <c r="BD70" s="29">
        <v>177</v>
      </c>
      <c r="BE70" s="29">
        <v>57</v>
      </c>
      <c r="BF70" s="29">
        <f>BD70-BE70</f>
        <v>120</v>
      </c>
      <c r="BG70" s="29">
        <f t="shared" ref="BG70:BG83" si="101">BH70+BK70</f>
        <v>81.3</v>
      </c>
      <c r="BH70" s="29"/>
      <c r="BI70" s="29"/>
      <c r="BJ70" s="29"/>
      <c r="BK70" s="29">
        <v>81.3</v>
      </c>
      <c r="BL70" s="29">
        <v>40</v>
      </c>
      <c r="BM70" s="29">
        <v>41.3</v>
      </c>
    </row>
    <row r="71" spans="1:65" s="26" customFormat="1" ht="15" customHeight="1">
      <c r="A71" s="37">
        <v>5</v>
      </c>
      <c r="B71" s="51" t="s">
        <v>276</v>
      </c>
      <c r="C71" s="35">
        <f>D71+G71</f>
        <v>1629.3655000000001</v>
      </c>
      <c r="D71" s="35"/>
      <c r="E71" s="35"/>
      <c r="F71" s="35"/>
      <c r="G71" s="35">
        <f>G72</f>
        <v>1629.3655000000001</v>
      </c>
      <c r="H71" s="35">
        <f>H72</f>
        <v>50</v>
      </c>
      <c r="I71" s="35">
        <f>I72</f>
        <v>1579.3655000000001</v>
      </c>
      <c r="J71" s="35">
        <f t="shared" si="100"/>
        <v>352.5</v>
      </c>
      <c r="K71" s="35"/>
      <c r="L71" s="35"/>
      <c r="M71" s="35"/>
      <c r="N71" s="35">
        <f>N72</f>
        <v>352.5</v>
      </c>
      <c r="O71" s="35">
        <f>O72</f>
        <v>0</v>
      </c>
      <c r="P71" s="35">
        <f>P72</f>
        <v>352.5</v>
      </c>
      <c r="Q71" s="35">
        <f t="shared" si="90"/>
        <v>133.75</v>
      </c>
      <c r="R71" s="35"/>
      <c r="S71" s="35"/>
      <c r="T71" s="35"/>
      <c r="U71" s="35">
        <f>U72</f>
        <v>133.75</v>
      </c>
      <c r="V71" s="35"/>
      <c r="W71" s="35">
        <f>W72</f>
        <v>133.75</v>
      </c>
      <c r="X71" s="35">
        <f t="shared" si="91"/>
        <v>415.85</v>
      </c>
      <c r="Y71" s="35"/>
      <c r="Z71" s="35"/>
      <c r="AA71" s="35"/>
      <c r="AB71" s="35">
        <f>AB72</f>
        <v>415.85</v>
      </c>
      <c r="AC71" s="35"/>
      <c r="AD71" s="35">
        <f>AD72</f>
        <v>415.85</v>
      </c>
      <c r="AE71" s="35">
        <f t="shared" si="92"/>
        <v>270.017</v>
      </c>
      <c r="AF71" s="35"/>
      <c r="AG71" s="35"/>
      <c r="AH71" s="35"/>
      <c r="AI71" s="35">
        <f>AI72</f>
        <v>270.017</v>
      </c>
      <c r="AJ71" s="35"/>
      <c r="AK71" s="35">
        <f>AK72</f>
        <v>270.017</v>
      </c>
      <c r="AL71" s="35">
        <f t="shared" si="93"/>
        <v>213.036</v>
      </c>
      <c r="AM71" s="35"/>
      <c r="AN71" s="35"/>
      <c r="AO71" s="35"/>
      <c r="AP71" s="35">
        <f>AP72</f>
        <v>213.036</v>
      </c>
      <c r="AQ71" s="35"/>
      <c r="AR71" s="35">
        <f>AR72</f>
        <v>213.036</v>
      </c>
      <c r="AS71" s="35">
        <f>AT71+AW71</f>
        <v>50</v>
      </c>
      <c r="AT71" s="35"/>
      <c r="AU71" s="35"/>
      <c r="AV71" s="35"/>
      <c r="AW71" s="35">
        <f>AW72</f>
        <v>50</v>
      </c>
      <c r="AX71" s="35"/>
      <c r="AY71" s="35">
        <f>AY72</f>
        <v>50</v>
      </c>
      <c r="AZ71" s="35">
        <f>BA71+BD71</f>
        <v>144.21250000000001</v>
      </c>
      <c r="BA71" s="35"/>
      <c r="BB71" s="35"/>
      <c r="BC71" s="35"/>
      <c r="BD71" s="35">
        <f>BD72</f>
        <v>144.21250000000001</v>
      </c>
      <c r="BE71" s="35"/>
      <c r="BF71" s="35">
        <f>BF72</f>
        <v>144.21250000000001</v>
      </c>
      <c r="BG71" s="35">
        <f t="shared" si="101"/>
        <v>50</v>
      </c>
      <c r="BH71" s="35"/>
      <c r="BI71" s="35"/>
      <c r="BJ71" s="35"/>
      <c r="BK71" s="35">
        <f>BK72</f>
        <v>50</v>
      </c>
      <c r="BL71" s="35">
        <f>BL72</f>
        <v>50</v>
      </c>
      <c r="BM71" s="35"/>
    </row>
    <row r="72" spans="1:65" s="32" customFormat="1" ht="15" customHeight="1">
      <c r="A72" s="34"/>
      <c r="B72" s="52" t="s">
        <v>258</v>
      </c>
      <c r="C72" s="29">
        <f t="shared" ref="C72:I72" si="102">J72+Q72+X72+AE72+AL72+AS72+AZ72+BG72</f>
        <v>1629.3655000000001</v>
      </c>
      <c r="D72" s="29">
        <f t="shared" si="102"/>
        <v>0</v>
      </c>
      <c r="E72" s="29">
        <f t="shared" si="102"/>
        <v>0</v>
      </c>
      <c r="F72" s="29">
        <f t="shared" si="102"/>
        <v>0</v>
      </c>
      <c r="G72" s="29">
        <f t="shared" si="102"/>
        <v>1629.3655000000001</v>
      </c>
      <c r="H72" s="29">
        <f t="shared" si="102"/>
        <v>50</v>
      </c>
      <c r="I72" s="29">
        <f t="shared" si="102"/>
        <v>1579.3655000000001</v>
      </c>
      <c r="J72" s="29">
        <f t="shared" si="100"/>
        <v>352.5</v>
      </c>
      <c r="K72" s="29"/>
      <c r="L72" s="29"/>
      <c r="M72" s="29"/>
      <c r="N72" s="29">
        <v>352.5</v>
      </c>
      <c r="O72" s="29"/>
      <c r="P72" s="29">
        <f>N72</f>
        <v>352.5</v>
      </c>
      <c r="Q72" s="29">
        <f t="shared" si="90"/>
        <v>133.75</v>
      </c>
      <c r="R72" s="29"/>
      <c r="S72" s="29"/>
      <c r="T72" s="29"/>
      <c r="U72" s="29">
        <v>133.75</v>
      </c>
      <c r="V72" s="29"/>
      <c r="W72" s="29">
        <f>U72</f>
        <v>133.75</v>
      </c>
      <c r="X72" s="29">
        <f t="shared" si="91"/>
        <v>415.85</v>
      </c>
      <c r="Y72" s="29"/>
      <c r="Z72" s="29"/>
      <c r="AA72" s="29"/>
      <c r="AB72" s="29">
        <v>415.85</v>
      </c>
      <c r="AC72" s="29"/>
      <c r="AD72" s="29">
        <f>AB72</f>
        <v>415.85</v>
      </c>
      <c r="AE72" s="29">
        <f t="shared" si="92"/>
        <v>270.017</v>
      </c>
      <c r="AF72" s="29"/>
      <c r="AG72" s="29"/>
      <c r="AH72" s="29"/>
      <c r="AI72" s="29">
        <v>270.017</v>
      </c>
      <c r="AJ72" s="29"/>
      <c r="AK72" s="29">
        <f>AI72</f>
        <v>270.017</v>
      </c>
      <c r="AL72" s="29">
        <f t="shared" si="93"/>
        <v>213.036</v>
      </c>
      <c r="AM72" s="29"/>
      <c r="AN72" s="29"/>
      <c r="AO72" s="29"/>
      <c r="AP72" s="29">
        <v>213.036</v>
      </c>
      <c r="AQ72" s="29"/>
      <c r="AR72" s="29">
        <f>AP72</f>
        <v>213.036</v>
      </c>
      <c r="AS72" s="29">
        <f>AT72+AW72</f>
        <v>50</v>
      </c>
      <c r="AT72" s="29"/>
      <c r="AU72" s="29"/>
      <c r="AV72" s="29"/>
      <c r="AW72" s="29">
        <v>50</v>
      </c>
      <c r="AX72" s="29"/>
      <c r="AY72" s="29">
        <f>AW72</f>
        <v>50</v>
      </c>
      <c r="AZ72" s="29">
        <f>BA72+BD72</f>
        <v>144.21250000000001</v>
      </c>
      <c r="BA72" s="29"/>
      <c r="BB72" s="29"/>
      <c r="BC72" s="29"/>
      <c r="BD72" s="29">
        <v>144.21250000000001</v>
      </c>
      <c r="BE72" s="29"/>
      <c r="BF72" s="29">
        <f>BD72</f>
        <v>144.21250000000001</v>
      </c>
      <c r="BG72" s="29">
        <f t="shared" si="101"/>
        <v>50</v>
      </c>
      <c r="BH72" s="29"/>
      <c r="BI72" s="29"/>
      <c r="BJ72" s="29"/>
      <c r="BK72" s="29">
        <v>50</v>
      </c>
      <c r="BL72" s="29">
        <v>50</v>
      </c>
      <c r="BM72" s="29"/>
    </row>
    <row r="73" spans="1:65" s="26" customFormat="1" ht="27.75" customHeight="1">
      <c r="A73" s="37">
        <v>6</v>
      </c>
      <c r="B73" s="51" t="s">
        <v>275</v>
      </c>
      <c r="C73" s="35">
        <f>D73+G73</f>
        <v>585.99213099999997</v>
      </c>
      <c r="D73" s="35"/>
      <c r="E73" s="35"/>
      <c r="F73" s="35"/>
      <c r="G73" s="35">
        <f>G74</f>
        <v>585.99213099999997</v>
      </c>
      <c r="H73" s="35"/>
      <c r="I73" s="35">
        <f>I74</f>
        <v>585.99213099999997</v>
      </c>
      <c r="J73" s="35">
        <f t="shared" si="100"/>
        <v>200</v>
      </c>
      <c r="K73" s="35"/>
      <c r="L73" s="35"/>
      <c r="M73" s="35"/>
      <c r="N73" s="35">
        <f>N74</f>
        <v>200</v>
      </c>
      <c r="O73" s="35"/>
      <c r="P73" s="35">
        <f>P74</f>
        <v>200</v>
      </c>
      <c r="Q73" s="35">
        <f t="shared" si="90"/>
        <v>185.99313100000001</v>
      </c>
      <c r="R73" s="35"/>
      <c r="S73" s="35"/>
      <c r="T73" s="35"/>
      <c r="U73" s="35">
        <f>U74</f>
        <v>185.99313100000001</v>
      </c>
      <c r="V73" s="35"/>
      <c r="W73" s="35">
        <f>W74</f>
        <v>185.99313100000001</v>
      </c>
      <c r="X73" s="35"/>
      <c r="Y73" s="35"/>
      <c r="Z73" s="35"/>
      <c r="AA73" s="35"/>
      <c r="AB73" s="35"/>
      <c r="AC73" s="35"/>
      <c r="AD73" s="35"/>
      <c r="AE73" s="35"/>
      <c r="AF73" s="35"/>
      <c r="AG73" s="35"/>
      <c r="AH73" s="35"/>
      <c r="AI73" s="35"/>
      <c r="AJ73" s="35"/>
      <c r="AK73" s="35"/>
      <c r="AL73" s="35"/>
      <c r="AM73" s="35"/>
      <c r="AN73" s="35"/>
      <c r="AO73" s="35"/>
      <c r="AP73" s="35"/>
      <c r="AQ73" s="35"/>
      <c r="AR73" s="35"/>
      <c r="AS73" s="35"/>
      <c r="AT73" s="35"/>
      <c r="AU73" s="35"/>
      <c r="AV73" s="35"/>
      <c r="AW73" s="35"/>
      <c r="AX73" s="35"/>
      <c r="AY73" s="35"/>
      <c r="AZ73" s="35"/>
      <c r="BA73" s="35"/>
      <c r="BB73" s="35"/>
      <c r="BC73" s="35"/>
      <c r="BD73" s="35"/>
      <c r="BE73" s="35"/>
      <c r="BF73" s="35"/>
      <c r="BG73" s="35">
        <f t="shared" si="101"/>
        <v>199.999</v>
      </c>
      <c r="BH73" s="35"/>
      <c r="BI73" s="35"/>
      <c r="BJ73" s="35"/>
      <c r="BK73" s="35">
        <f>BK74</f>
        <v>199.999</v>
      </c>
      <c r="BL73" s="35"/>
      <c r="BM73" s="35">
        <f>BM74</f>
        <v>199.999</v>
      </c>
    </row>
    <row r="74" spans="1:65" s="32" customFormat="1" ht="15" customHeight="1">
      <c r="A74" s="34"/>
      <c r="B74" s="52" t="s">
        <v>258</v>
      </c>
      <c r="C74" s="29">
        <f t="shared" ref="C74:I74" si="103">J74+Q74+X74+AE74+AL74+AS74+AZ74+BG74</f>
        <v>585.99213099999997</v>
      </c>
      <c r="D74" s="29">
        <f t="shared" si="103"/>
        <v>0</v>
      </c>
      <c r="E74" s="29">
        <f t="shared" si="103"/>
        <v>0</v>
      </c>
      <c r="F74" s="29">
        <f t="shared" si="103"/>
        <v>0</v>
      </c>
      <c r="G74" s="29">
        <f t="shared" si="103"/>
        <v>585.99213099999997</v>
      </c>
      <c r="H74" s="29">
        <f t="shared" si="103"/>
        <v>0</v>
      </c>
      <c r="I74" s="29">
        <f t="shared" si="103"/>
        <v>585.99213099999997</v>
      </c>
      <c r="J74" s="29">
        <f t="shared" si="100"/>
        <v>200</v>
      </c>
      <c r="K74" s="29"/>
      <c r="L74" s="29"/>
      <c r="M74" s="29"/>
      <c r="N74" s="29">
        <v>200</v>
      </c>
      <c r="O74" s="29"/>
      <c r="P74" s="29">
        <f>N74</f>
        <v>200</v>
      </c>
      <c r="Q74" s="29">
        <f t="shared" si="90"/>
        <v>185.99313100000001</v>
      </c>
      <c r="R74" s="29"/>
      <c r="S74" s="29"/>
      <c r="T74" s="29"/>
      <c r="U74" s="29">
        <v>185.99313100000001</v>
      </c>
      <c r="V74" s="29"/>
      <c r="W74" s="29">
        <f>U74</f>
        <v>185.99313100000001</v>
      </c>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c r="BG74" s="29">
        <f t="shared" si="101"/>
        <v>199.999</v>
      </c>
      <c r="BH74" s="29"/>
      <c r="BI74" s="29"/>
      <c r="BJ74" s="29"/>
      <c r="BK74" s="29">
        <v>199.999</v>
      </c>
      <c r="BL74" s="29"/>
      <c r="BM74" s="29">
        <f>BK74</f>
        <v>199.999</v>
      </c>
    </row>
    <row r="75" spans="1:65" s="26" customFormat="1" ht="25.5" customHeight="1">
      <c r="A75" s="37">
        <v>7</v>
      </c>
      <c r="B75" s="50" t="s">
        <v>274</v>
      </c>
      <c r="C75" s="35">
        <f>D75+G75</f>
        <v>19001.490665000001</v>
      </c>
      <c r="D75" s="35">
        <f t="shared" ref="D75:I75" si="104">D76+D77</f>
        <v>18217.896700000001</v>
      </c>
      <c r="E75" s="35">
        <f t="shared" si="104"/>
        <v>17836.835622999999</v>
      </c>
      <c r="F75" s="35">
        <f t="shared" si="104"/>
        <v>381.06107700000211</v>
      </c>
      <c r="G75" s="35">
        <f t="shared" si="104"/>
        <v>783.59396500000003</v>
      </c>
      <c r="H75" s="35">
        <f t="shared" si="104"/>
        <v>0</v>
      </c>
      <c r="I75" s="35">
        <f t="shared" si="104"/>
        <v>783.59396500000003</v>
      </c>
      <c r="J75" s="35">
        <f t="shared" si="100"/>
        <v>36.773515000000003</v>
      </c>
      <c r="K75" s="35"/>
      <c r="L75" s="35"/>
      <c r="M75" s="35"/>
      <c r="N75" s="35">
        <f>N76</f>
        <v>36.773515000000003</v>
      </c>
      <c r="O75" s="35">
        <f>O76</f>
        <v>0</v>
      </c>
      <c r="P75" s="35">
        <f>P76</f>
        <v>36.773515000000003</v>
      </c>
      <c r="Q75" s="35">
        <f t="shared" si="90"/>
        <v>0</v>
      </c>
      <c r="R75" s="35">
        <f>R76+R77</f>
        <v>0</v>
      </c>
      <c r="S75" s="35">
        <f>S76+S77</f>
        <v>0</v>
      </c>
      <c r="T75" s="35">
        <f>T76+T77</f>
        <v>0</v>
      </c>
      <c r="U75" s="35">
        <f>U76+U77</f>
        <v>0</v>
      </c>
      <c r="V75" s="35"/>
      <c r="W75" s="35">
        <f>W76+W77</f>
        <v>0</v>
      </c>
      <c r="X75" s="35">
        <f t="shared" ref="X75:X84" si="105">Y75+AB75</f>
        <v>63.884</v>
      </c>
      <c r="Y75" s="35">
        <f>Y76+Y77</f>
        <v>0</v>
      </c>
      <c r="Z75" s="35">
        <f>Z76+Z77</f>
        <v>0</v>
      </c>
      <c r="AA75" s="35">
        <f>AA76+AA77</f>
        <v>0</v>
      </c>
      <c r="AB75" s="35">
        <f>AB76+AB77</f>
        <v>63.884</v>
      </c>
      <c r="AC75" s="35"/>
      <c r="AD75" s="35">
        <f>AD76+AD77</f>
        <v>63.884</v>
      </c>
      <c r="AE75" s="35">
        <f t="shared" ref="AE75:AE84" si="106">AF75+AI75</f>
        <v>0</v>
      </c>
      <c r="AF75" s="35">
        <f>AF76+AF77</f>
        <v>0</v>
      </c>
      <c r="AG75" s="35">
        <f>AG76+AG77</f>
        <v>0</v>
      </c>
      <c r="AH75" s="35">
        <f>AH76+AH77</f>
        <v>0</v>
      </c>
      <c r="AI75" s="35">
        <f>AI76+AI77</f>
        <v>0</v>
      </c>
      <c r="AJ75" s="35"/>
      <c r="AK75" s="35">
        <f>AK76+AK77</f>
        <v>0</v>
      </c>
      <c r="AL75" s="35">
        <f t="shared" ref="AL75:AL84" si="107">AM75+AP75</f>
        <v>0</v>
      </c>
      <c r="AM75" s="35">
        <f>AM76+AM77</f>
        <v>0</v>
      </c>
      <c r="AN75" s="35">
        <f>AN76+AN77</f>
        <v>0</v>
      </c>
      <c r="AO75" s="35">
        <f>AO76+AO77</f>
        <v>0</v>
      </c>
      <c r="AP75" s="35">
        <f>AP76+AP77</f>
        <v>0</v>
      </c>
      <c r="AQ75" s="35"/>
      <c r="AR75" s="35">
        <f>AR76+AR77</f>
        <v>0</v>
      </c>
      <c r="AS75" s="35">
        <f t="shared" ref="AS75:AS82" si="108">AT75+AW75</f>
        <v>0</v>
      </c>
      <c r="AT75" s="35">
        <f>AT76+AT77</f>
        <v>0</v>
      </c>
      <c r="AU75" s="35">
        <f>AU76+AU77</f>
        <v>0</v>
      </c>
      <c r="AV75" s="35">
        <f>AV76+AV77</f>
        <v>0</v>
      </c>
      <c r="AW75" s="35">
        <f>AW76+AW77</f>
        <v>0</v>
      </c>
      <c r="AX75" s="35"/>
      <c r="AY75" s="35">
        <f>AY76+AY77</f>
        <v>0</v>
      </c>
      <c r="AZ75" s="35">
        <f t="shared" ref="AZ75:AZ82" si="109">BA75+BD75</f>
        <v>18900.833150000002</v>
      </c>
      <c r="BA75" s="35">
        <f>BA76+BA77</f>
        <v>18217.896700000001</v>
      </c>
      <c r="BB75" s="35">
        <f>BB76+BB77</f>
        <v>17836.835622999999</v>
      </c>
      <c r="BC75" s="35">
        <f>BC76+BC77</f>
        <v>381.06107700000211</v>
      </c>
      <c r="BD75" s="35">
        <f>BD76+BD77</f>
        <v>682.93645000000004</v>
      </c>
      <c r="BE75" s="35"/>
      <c r="BF75" s="35">
        <f>BF76+BF77</f>
        <v>682.93645000000004</v>
      </c>
      <c r="BG75" s="35">
        <f t="shared" si="101"/>
        <v>0</v>
      </c>
      <c r="BH75" s="35"/>
      <c r="BI75" s="35"/>
      <c r="BJ75" s="35"/>
      <c r="BK75" s="35"/>
      <c r="BL75" s="35"/>
      <c r="BM75" s="35"/>
    </row>
    <row r="76" spans="1:65" s="26" customFormat="1" ht="19.5" customHeight="1">
      <c r="A76" s="37"/>
      <c r="B76" s="53" t="s">
        <v>253</v>
      </c>
      <c r="C76" s="29">
        <f t="shared" ref="C76:I77" si="110">J76+Q76+X76+AE76+AL76+AS76+AZ76+BG76</f>
        <v>69.231465</v>
      </c>
      <c r="D76" s="29">
        <f t="shared" si="110"/>
        <v>0</v>
      </c>
      <c r="E76" s="29">
        <f t="shared" si="110"/>
        <v>0</v>
      </c>
      <c r="F76" s="29">
        <f t="shared" si="110"/>
        <v>0</v>
      </c>
      <c r="G76" s="29">
        <f t="shared" si="110"/>
        <v>69.231465</v>
      </c>
      <c r="H76" s="29">
        <f t="shared" si="110"/>
        <v>0</v>
      </c>
      <c r="I76" s="29">
        <f t="shared" si="110"/>
        <v>69.231465</v>
      </c>
      <c r="J76" s="29">
        <f t="shared" si="100"/>
        <v>36.773515000000003</v>
      </c>
      <c r="K76" s="35"/>
      <c r="L76" s="35"/>
      <c r="M76" s="35"/>
      <c r="N76" s="29">
        <v>36.773515000000003</v>
      </c>
      <c r="O76" s="35"/>
      <c r="P76" s="29">
        <f>N76</f>
        <v>36.773515000000003</v>
      </c>
      <c r="Q76" s="29">
        <f t="shared" si="90"/>
        <v>0</v>
      </c>
      <c r="R76" s="29"/>
      <c r="S76" s="35"/>
      <c r="T76" s="35"/>
      <c r="U76" s="29"/>
      <c r="V76" s="29"/>
      <c r="W76" s="29">
        <f>U76</f>
        <v>0</v>
      </c>
      <c r="X76" s="29">
        <f t="shared" si="105"/>
        <v>0</v>
      </c>
      <c r="Y76" s="29"/>
      <c r="Z76" s="35"/>
      <c r="AA76" s="35"/>
      <c r="AB76" s="29"/>
      <c r="AC76" s="29"/>
      <c r="AD76" s="29">
        <f>AB76</f>
        <v>0</v>
      </c>
      <c r="AE76" s="29">
        <f t="shared" si="106"/>
        <v>0</v>
      </c>
      <c r="AF76" s="29"/>
      <c r="AG76" s="35"/>
      <c r="AH76" s="35"/>
      <c r="AI76" s="29"/>
      <c r="AJ76" s="29"/>
      <c r="AK76" s="29">
        <f>AI76</f>
        <v>0</v>
      </c>
      <c r="AL76" s="29">
        <f t="shared" si="107"/>
        <v>0</v>
      </c>
      <c r="AM76" s="29"/>
      <c r="AN76" s="35"/>
      <c r="AO76" s="35"/>
      <c r="AP76" s="29"/>
      <c r="AQ76" s="29"/>
      <c r="AR76" s="29">
        <f>AP76</f>
        <v>0</v>
      </c>
      <c r="AS76" s="29">
        <f t="shared" si="108"/>
        <v>0</v>
      </c>
      <c r="AT76" s="29"/>
      <c r="AU76" s="35"/>
      <c r="AV76" s="35"/>
      <c r="AW76" s="29"/>
      <c r="AX76" s="29"/>
      <c r="AY76" s="29">
        <f>AW76</f>
        <v>0</v>
      </c>
      <c r="AZ76" s="29">
        <f t="shared" si="109"/>
        <v>32.457949999999997</v>
      </c>
      <c r="BA76" s="29"/>
      <c r="BB76" s="35"/>
      <c r="BC76" s="35"/>
      <c r="BD76" s="29">
        <v>32.457949999999997</v>
      </c>
      <c r="BE76" s="29"/>
      <c r="BF76" s="29">
        <f>BD76</f>
        <v>32.457949999999997</v>
      </c>
      <c r="BG76" s="35">
        <f t="shared" si="101"/>
        <v>0</v>
      </c>
      <c r="BH76" s="35"/>
      <c r="BI76" s="35"/>
      <c r="BJ76" s="35"/>
      <c r="BK76" s="35"/>
      <c r="BL76" s="35"/>
      <c r="BM76" s="35"/>
    </row>
    <row r="77" spans="1:65" s="26" customFormat="1" ht="20.25" customHeight="1">
      <c r="A77" s="37"/>
      <c r="B77" s="52" t="s">
        <v>258</v>
      </c>
      <c r="C77" s="29">
        <f t="shared" si="110"/>
        <v>18932.2592</v>
      </c>
      <c r="D77" s="29">
        <f t="shared" si="110"/>
        <v>18217.896700000001</v>
      </c>
      <c r="E77" s="29">
        <f t="shared" si="110"/>
        <v>17836.835622999999</v>
      </c>
      <c r="F77" s="29">
        <f t="shared" si="110"/>
        <v>381.06107700000211</v>
      </c>
      <c r="G77" s="29">
        <f t="shared" si="110"/>
        <v>714.36250000000007</v>
      </c>
      <c r="H77" s="29">
        <f t="shared" si="110"/>
        <v>0</v>
      </c>
      <c r="I77" s="29">
        <f t="shared" si="110"/>
        <v>714.36250000000007</v>
      </c>
      <c r="J77" s="29">
        <f t="shared" si="100"/>
        <v>0</v>
      </c>
      <c r="K77" s="29"/>
      <c r="L77" s="35"/>
      <c r="M77" s="29"/>
      <c r="N77" s="29"/>
      <c r="O77" s="35"/>
      <c r="P77" s="29"/>
      <c r="Q77" s="29">
        <f t="shared" si="90"/>
        <v>0</v>
      </c>
      <c r="R77" s="29"/>
      <c r="S77" s="29"/>
      <c r="T77" s="29"/>
      <c r="U77" s="29"/>
      <c r="V77" s="29"/>
      <c r="W77" s="29">
        <f>U77</f>
        <v>0</v>
      </c>
      <c r="X77" s="29">
        <f t="shared" si="105"/>
        <v>63.884</v>
      </c>
      <c r="Y77" s="29"/>
      <c r="Z77" s="29"/>
      <c r="AA77" s="29"/>
      <c r="AB77" s="29">
        <v>63.884</v>
      </c>
      <c r="AC77" s="29"/>
      <c r="AD77" s="29">
        <f>AB77</f>
        <v>63.884</v>
      </c>
      <c r="AE77" s="29">
        <f t="shared" si="106"/>
        <v>0</v>
      </c>
      <c r="AF77" s="29"/>
      <c r="AG77" s="29"/>
      <c r="AH77" s="29"/>
      <c r="AI77" s="29"/>
      <c r="AJ77" s="29"/>
      <c r="AK77" s="29">
        <f>AI77</f>
        <v>0</v>
      </c>
      <c r="AL77" s="29">
        <f t="shared" si="107"/>
        <v>0</v>
      </c>
      <c r="AM77" s="29"/>
      <c r="AN77" s="29"/>
      <c r="AO77" s="29"/>
      <c r="AP77" s="29"/>
      <c r="AQ77" s="29"/>
      <c r="AR77" s="29">
        <f>AP77</f>
        <v>0</v>
      </c>
      <c r="AS77" s="29">
        <f t="shared" si="108"/>
        <v>0</v>
      </c>
      <c r="AT77" s="29"/>
      <c r="AU77" s="29"/>
      <c r="AV77" s="29">
        <f>AT77-AU77</f>
        <v>0</v>
      </c>
      <c r="AW77" s="29"/>
      <c r="AX77" s="29"/>
      <c r="AY77" s="29">
        <f>AW77</f>
        <v>0</v>
      </c>
      <c r="AZ77" s="29">
        <f t="shared" si="109"/>
        <v>18868.375200000002</v>
      </c>
      <c r="BA77" s="1063">
        <v>18217.896700000001</v>
      </c>
      <c r="BB77" s="29">
        <v>17836.835622999999</v>
      </c>
      <c r="BC77" s="29">
        <f>BA77-BB77</f>
        <v>381.06107700000211</v>
      </c>
      <c r="BD77" s="29">
        <v>650.47850000000005</v>
      </c>
      <c r="BE77" s="29"/>
      <c r="BF77" s="29">
        <f>BD77</f>
        <v>650.47850000000005</v>
      </c>
      <c r="BG77" s="29">
        <f t="shared" si="101"/>
        <v>0</v>
      </c>
      <c r="BH77" s="29"/>
      <c r="BI77" s="35"/>
      <c r="BJ77" s="29"/>
      <c r="BK77" s="29"/>
      <c r="BL77" s="35"/>
      <c r="BM77" s="29"/>
    </row>
    <row r="78" spans="1:65" s="26" customFormat="1" ht="28.5" customHeight="1">
      <c r="A78" s="37">
        <v>8</v>
      </c>
      <c r="B78" s="51" t="s">
        <v>273</v>
      </c>
      <c r="C78" s="35">
        <f>C79+C80</f>
        <v>7045.3274220000003</v>
      </c>
      <c r="D78" s="35"/>
      <c r="E78" s="35"/>
      <c r="F78" s="35"/>
      <c r="G78" s="35">
        <f>G79+G80</f>
        <v>7045.3274220000003</v>
      </c>
      <c r="H78" s="35">
        <f>H79</f>
        <v>0</v>
      </c>
      <c r="I78" s="35">
        <f>I79+I80</f>
        <v>7045.3274220000003</v>
      </c>
      <c r="J78" s="35">
        <f>J79</f>
        <v>1207</v>
      </c>
      <c r="K78" s="35"/>
      <c r="L78" s="35"/>
      <c r="M78" s="35"/>
      <c r="N78" s="35">
        <f>N79</f>
        <v>1207</v>
      </c>
      <c r="O78" s="35">
        <f>O79</f>
        <v>0</v>
      </c>
      <c r="P78" s="35">
        <f>P79</f>
        <v>1207</v>
      </c>
      <c r="Q78" s="35">
        <f t="shared" si="90"/>
        <v>1577.4839360000001</v>
      </c>
      <c r="R78" s="35"/>
      <c r="S78" s="35"/>
      <c r="T78" s="35"/>
      <c r="U78" s="35">
        <f>U79+U80</f>
        <v>1577.4839360000001</v>
      </c>
      <c r="V78" s="35"/>
      <c r="W78" s="35">
        <f>W79+W80</f>
        <v>1577.4839360000001</v>
      </c>
      <c r="X78" s="35">
        <f t="shared" si="105"/>
        <v>1106.6279999999999</v>
      </c>
      <c r="Y78" s="35"/>
      <c r="Z78" s="35"/>
      <c r="AA78" s="35"/>
      <c r="AB78" s="35">
        <f>AB79+AB80</f>
        <v>1106.6279999999999</v>
      </c>
      <c r="AC78" s="35"/>
      <c r="AD78" s="35">
        <f>AD79+AD80</f>
        <v>1106.6279999999999</v>
      </c>
      <c r="AE78" s="35">
        <f t="shared" si="106"/>
        <v>0</v>
      </c>
      <c r="AF78" s="35"/>
      <c r="AG78" s="35"/>
      <c r="AH78" s="35"/>
      <c r="AI78" s="35">
        <f>AI79+AI80</f>
        <v>0</v>
      </c>
      <c r="AJ78" s="35"/>
      <c r="AK78" s="35">
        <f>AK79+AK80</f>
        <v>0</v>
      </c>
      <c r="AL78" s="35">
        <f t="shared" si="107"/>
        <v>1807.8152</v>
      </c>
      <c r="AM78" s="35"/>
      <c r="AN78" s="35"/>
      <c r="AO78" s="35"/>
      <c r="AP78" s="35">
        <f>AP79+AP80</f>
        <v>1807.8152</v>
      </c>
      <c r="AQ78" s="35"/>
      <c r="AR78" s="35">
        <f>AR79+AR80</f>
        <v>1807.8152</v>
      </c>
      <c r="AS78" s="35">
        <f t="shared" si="108"/>
        <v>796.00900000000001</v>
      </c>
      <c r="AT78" s="35"/>
      <c r="AU78" s="35"/>
      <c r="AV78" s="35"/>
      <c r="AW78" s="35">
        <f>AW79+AW80</f>
        <v>796.00900000000001</v>
      </c>
      <c r="AX78" s="35"/>
      <c r="AY78" s="35">
        <f>AY79+AY80</f>
        <v>796.00900000000001</v>
      </c>
      <c r="AZ78" s="35">
        <f t="shared" si="109"/>
        <v>376.890286</v>
      </c>
      <c r="BA78" s="35"/>
      <c r="BB78" s="35"/>
      <c r="BC78" s="35"/>
      <c r="BD78" s="35">
        <f>BD79+BD80</f>
        <v>376.890286</v>
      </c>
      <c r="BE78" s="35"/>
      <c r="BF78" s="35">
        <f>BF79+BF80</f>
        <v>376.890286</v>
      </c>
      <c r="BG78" s="35">
        <f t="shared" si="101"/>
        <v>173.501</v>
      </c>
      <c r="BH78" s="35"/>
      <c r="BI78" s="35"/>
      <c r="BJ78" s="35"/>
      <c r="BK78" s="35">
        <f>BK80</f>
        <v>173.501</v>
      </c>
      <c r="BL78" s="35"/>
      <c r="BM78" s="35">
        <f>BM80</f>
        <v>173.501</v>
      </c>
    </row>
    <row r="79" spans="1:65" s="32" customFormat="1" ht="24.75" customHeight="1">
      <c r="A79" s="34"/>
      <c r="B79" s="52" t="s">
        <v>253</v>
      </c>
      <c r="C79" s="29">
        <f t="shared" ref="C79:I80" si="111">J79+Q79+X79+AE79+AL79+AS79+AZ79+BG79</f>
        <v>4599.9723219999996</v>
      </c>
      <c r="D79" s="29">
        <f t="shared" si="111"/>
        <v>0</v>
      </c>
      <c r="E79" s="29">
        <f t="shared" si="111"/>
        <v>0</v>
      </c>
      <c r="F79" s="29">
        <f t="shared" si="111"/>
        <v>0</v>
      </c>
      <c r="G79" s="29">
        <f t="shared" si="111"/>
        <v>4599.9723219999996</v>
      </c>
      <c r="H79" s="29">
        <f t="shared" si="111"/>
        <v>0</v>
      </c>
      <c r="I79" s="29">
        <f t="shared" si="111"/>
        <v>4599.9723219999996</v>
      </c>
      <c r="J79" s="29">
        <f>K79+N79</f>
        <v>1207</v>
      </c>
      <c r="K79" s="29"/>
      <c r="L79" s="29"/>
      <c r="M79" s="29"/>
      <c r="N79" s="29">
        <v>1207</v>
      </c>
      <c r="O79" s="29"/>
      <c r="P79" s="29">
        <f>N79</f>
        <v>1207</v>
      </c>
      <c r="Q79" s="29">
        <f t="shared" si="90"/>
        <v>1577.4839360000001</v>
      </c>
      <c r="R79" s="29"/>
      <c r="S79" s="29"/>
      <c r="T79" s="29"/>
      <c r="U79" s="29">
        <v>1577.4839360000001</v>
      </c>
      <c r="V79" s="29"/>
      <c r="W79" s="29">
        <f>U79</f>
        <v>1577.4839360000001</v>
      </c>
      <c r="X79" s="29">
        <f t="shared" si="105"/>
        <v>0</v>
      </c>
      <c r="Y79" s="29"/>
      <c r="Z79" s="29"/>
      <c r="AA79" s="29"/>
      <c r="AB79" s="29"/>
      <c r="AC79" s="29"/>
      <c r="AD79" s="29">
        <f>AB79</f>
        <v>0</v>
      </c>
      <c r="AE79" s="29">
        <f t="shared" si="106"/>
        <v>0</v>
      </c>
      <c r="AF79" s="29"/>
      <c r="AG79" s="29"/>
      <c r="AH79" s="29"/>
      <c r="AI79" s="29"/>
      <c r="AJ79" s="29"/>
      <c r="AK79" s="29">
        <f>AI79</f>
        <v>0</v>
      </c>
      <c r="AL79" s="29">
        <f t="shared" si="107"/>
        <v>1807.8152</v>
      </c>
      <c r="AM79" s="29"/>
      <c r="AN79" s="29"/>
      <c r="AO79" s="29"/>
      <c r="AP79" s="29">
        <v>1807.8152</v>
      </c>
      <c r="AQ79" s="29"/>
      <c r="AR79" s="29">
        <f>AP79</f>
        <v>1807.8152</v>
      </c>
      <c r="AS79" s="29">
        <f t="shared" si="108"/>
        <v>0</v>
      </c>
      <c r="AT79" s="29"/>
      <c r="AU79" s="29"/>
      <c r="AV79" s="29"/>
      <c r="AW79" s="29"/>
      <c r="AX79" s="29"/>
      <c r="AY79" s="29">
        <f>AW79</f>
        <v>0</v>
      </c>
      <c r="AZ79" s="29">
        <f t="shared" si="109"/>
        <v>7.6731860000000003</v>
      </c>
      <c r="BA79" s="29"/>
      <c r="BB79" s="29"/>
      <c r="BC79" s="29"/>
      <c r="BD79" s="29">
        <v>7.6731860000000003</v>
      </c>
      <c r="BE79" s="29"/>
      <c r="BF79" s="29">
        <f>BD79</f>
        <v>7.6731860000000003</v>
      </c>
      <c r="BG79" s="29">
        <f t="shared" si="101"/>
        <v>0</v>
      </c>
      <c r="BH79" s="29"/>
      <c r="BI79" s="29"/>
      <c r="BJ79" s="29"/>
      <c r="BK79" s="29"/>
      <c r="BL79" s="29"/>
      <c r="BM79" s="29"/>
    </row>
    <row r="80" spans="1:65" s="32" customFormat="1" ht="24.75" customHeight="1">
      <c r="A80" s="34"/>
      <c r="B80" s="52" t="s">
        <v>258</v>
      </c>
      <c r="C80" s="29">
        <f t="shared" si="111"/>
        <v>2445.3551000000002</v>
      </c>
      <c r="D80" s="29">
        <f t="shared" si="111"/>
        <v>0</v>
      </c>
      <c r="E80" s="29">
        <f t="shared" si="111"/>
        <v>0</v>
      </c>
      <c r="F80" s="29">
        <f t="shared" si="111"/>
        <v>0</v>
      </c>
      <c r="G80" s="29">
        <f t="shared" si="111"/>
        <v>2445.3551000000002</v>
      </c>
      <c r="H80" s="29">
        <f t="shared" si="111"/>
        <v>0</v>
      </c>
      <c r="I80" s="29">
        <f t="shared" si="111"/>
        <v>2445.3551000000002</v>
      </c>
      <c r="J80" s="29">
        <f>K80+N80</f>
        <v>0</v>
      </c>
      <c r="K80" s="29"/>
      <c r="L80" s="29"/>
      <c r="M80" s="29"/>
      <c r="N80" s="29"/>
      <c r="O80" s="29"/>
      <c r="P80" s="29">
        <f>N80</f>
        <v>0</v>
      </c>
      <c r="Q80" s="29">
        <f t="shared" si="90"/>
        <v>0</v>
      </c>
      <c r="R80" s="29"/>
      <c r="S80" s="29"/>
      <c r="T80" s="29"/>
      <c r="U80" s="29"/>
      <c r="V80" s="29"/>
      <c r="W80" s="29">
        <f>U80</f>
        <v>0</v>
      </c>
      <c r="X80" s="29">
        <f t="shared" si="105"/>
        <v>1106.6279999999999</v>
      </c>
      <c r="Y80" s="29"/>
      <c r="Z80" s="29"/>
      <c r="AA80" s="29"/>
      <c r="AB80" s="29">
        <v>1106.6279999999999</v>
      </c>
      <c r="AC80" s="29"/>
      <c r="AD80" s="29">
        <f>AB80</f>
        <v>1106.6279999999999</v>
      </c>
      <c r="AE80" s="29">
        <f t="shared" si="106"/>
        <v>0</v>
      </c>
      <c r="AF80" s="29"/>
      <c r="AG80" s="29"/>
      <c r="AH80" s="29"/>
      <c r="AI80" s="29"/>
      <c r="AJ80" s="29"/>
      <c r="AK80" s="29">
        <f>AI80</f>
        <v>0</v>
      </c>
      <c r="AL80" s="29">
        <f t="shared" si="107"/>
        <v>0</v>
      </c>
      <c r="AM80" s="29"/>
      <c r="AN80" s="29"/>
      <c r="AO80" s="29"/>
      <c r="AP80" s="29"/>
      <c r="AQ80" s="29"/>
      <c r="AR80" s="29">
        <f>AP80</f>
        <v>0</v>
      </c>
      <c r="AS80" s="29">
        <f t="shared" si="108"/>
        <v>796.00900000000001</v>
      </c>
      <c r="AT80" s="29"/>
      <c r="AU80" s="29"/>
      <c r="AV80" s="29"/>
      <c r="AW80" s="29">
        <v>796.00900000000001</v>
      </c>
      <c r="AX80" s="29"/>
      <c r="AY80" s="29">
        <f>AW80</f>
        <v>796.00900000000001</v>
      </c>
      <c r="AZ80" s="29">
        <f t="shared" si="109"/>
        <v>369.21710000000002</v>
      </c>
      <c r="BA80" s="29"/>
      <c r="BB80" s="29"/>
      <c r="BC80" s="29"/>
      <c r="BD80" s="29">
        <v>369.21710000000002</v>
      </c>
      <c r="BE80" s="29"/>
      <c r="BF80" s="29">
        <f>BD80</f>
        <v>369.21710000000002</v>
      </c>
      <c r="BG80" s="29">
        <f t="shared" si="101"/>
        <v>173.501</v>
      </c>
      <c r="BH80" s="29"/>
      <c r="BI80" s="29"/>
      <c r="BJ80" s="29"/>
      <c r="BK80" s="29">
        <v>173.501</v>
      </c>
      <c r="BL80" s="29"/>
      <c r="BM80" s="29">
        <f>BK80</f>
        <v>173.501</v>
      </c>
    </row>
    <row r="81" spans="1:65" s="26" customFormat="1" ht="24.75" customHeight="1">
      <c r="A81" s="37">
        <v>9</v>
      </c>
      <c r="B81" s="51" t="s">
        <v>272</v>
      </c>
      <c r="C81" s="35">
        <f>D81+G81</f>
        <v>3797.2723120000001</v>
      </c>
      <c r="D81" s="35"/>
      <c r="E81" s="35"/>
      <c r="F81" s="35"/>
      <c r="G81" s="35">
        <f>G82</f>
        <v>3797.2723120000001</v>
      </c>
      <c r="H81" s="35">
        <f>H82</f>
        <v>0</v>
      </c>
      <c r="I81" s="35">
        <f>I82</f>
        <v>3797.2723120000001</v>
      </c>
      <c r="J81" s="35">
        <f>K81+N81</f>
        <v>334.88299999999998</v>
      </c>
      <c r="K81" s="35"/>
      <c r="L81" s="35"/>
      <c r="M81" s="35"/>
      <c r="N81" s="35">
        <f>N82</f>
        <v>334.88299999999998</v>
      </c>
      <c r="O81" s="35">
        <f>O82</f>
        <v>0</v>
      </c>
      <c r="P81" s="35">
        <f>P82</f>
        <v>334.88299999999998</v>
      </c>
      <c r="Q81" s="35">
        <f t="shared" si="90"/>
        <v>1033.1243119999999</v>
      </c>
      <c r="R81" s="35"/>
      <c r="S81" s="35"/>
      <c r="T81" s="35"/>
      <c r="U81" s="35">
        <f>U82</f>
        <v>1033.1243119999999</v>
      </c>
      <c r="V81" s="35">
        <v>0</v>
      </c>
      <c r="W81" s="35">
        <f>W82</f>
        <v>1033.1243119999999</v>
      </c>
      <c r="X81" s="35">
        <f t="shared" si="105"/>
        <v>1294.538</v>
      </c>
      <c r="Y81" s="35"/>
      <c r="Z81" s="35"/>
      <c r="AA81" s="35"/>
      <c r="AB81" s="35">
        <f>AB82</f>
        <v>1294.538</v>
      </c>
      <c r="AC81" s="35">
        <f>AC82</f>
        <v>0</v>
      </c>
      <c r="AD81" s="35">
        <f>AD82</f>
        <v>1294.538</v>
      </c>
      <c r="AE81" s="35">
        <f t="shared" si="106"/>
        <v>0</v>
      </c>
      <c r="AF81" s="35"/>
      <c r="AG81" s="35"/>
      <c r="AH81" s="35"/>
      <c r="AI81" s="35"/>
      <c r="AJ81" s="35"/>
      <c r="AK81" s="35"/>
      <c r="AL81" s="35">
        <f t="shared" si="107"/>
        <v>0</v>
      </c>
      <c r="AM81" s="35"/>
      <c r="AN81" s="35"/>
      <c r="AO81" s="35"/>
      <c r="AP81" s="35"/>
      <c r="AQ81" s="35"/>
      <c r="AR81" s="35"/>
      <c r="AS81" s="35">
        <f t="shared" si="108"/>
        <v>1134.7269999999999</v>
      </c>
      <c r="AT81" s="35"/>
      <c r="AU81" s="35"/>
      <c r="AV81" s="35"/>
      <c r="AW81" s="35">
        <f>AW82</f>
        <v>1134.7269999999999</v>
      </c>
      <c r="AX81" s="35">
        <f>AX82</f>
        <v>0</v>
      </c>
      <c r="AY81" s="35">
        <f>AY82</f>
        <v>1134.7269999999999</v>
      </c>
      <c r="AZ81" s="35">
        <f t="shared" si="109"/>
        <v>0</v>
      </c>
      <c r="BA81" s="35"/>
      <c r="BB81" s="35"/>
      <c r="BC81" s="35"/>
      <c r="BD81" s="35"/>
      <c r="BE81" s="35"/>
      <c r="BF81" s="35"/>
      <c r="BG81" s="35">
        <f t="shared" si="101"/>
        <v>0</v>
      </c>
      <c r="BH81" s="35"/>
      <c r="BI81" s="35"/>
      <c r="BJ81" s="35"/>
      <c r="BK81" s="35"/>
      <c r="BL81" s="35"/>
      <c r="BM81" s="35"/>
    </row>
    <row r="82" spans="1:65" s="32" customFormat="1" ht="23.25" customHeight="1">
      <c r="A82" s="34"/>
      <c r="B82" s="33" t="s">
        <v>271</v>
      </c>
      <c r="C82" s="29">
        <f t="shared" ref="C82:I82" si="112">J82+Q82+X82+AE82+AL82+AS82+AZ82+BG82</f>
        <v>3797.2723120000001</v>
      </c>
      <c r="D82" s="29">
        <f t="shared" si="112"/>
        <v>0</v>
      </c>
      <c r="E82" s="29">
        <f t="shared" si="112"/>
        <v>0</v>
      </c>
      <c r="F82" s="29">
        <f t="shared" si="112"/>
        <v>0</v>
      </c>
      <c r="G82" s="29">
        <f t="shared" si="112"/>
        <v>3797.2723120000001</v>
      </c>
      <c r="H82" s="29">
        <f t="shared" si="112"/>
        <v>0</v>
      </c>
      <c r="I82" s="29">
        <f t="shared" si="112"/>
        <v>3797.2723120000001</v>
      </c>
      <c r="J82" s="49">
        <f>K82+N82</f>
        <v>334.88299999999998</v>
      </c>
      <c r="K82" s="49"/>
      <c r="L82" s="49"/>
      <c r="M82" s="49"/>
      <c r="N82" s="49">
        <v>334.88299999999998</v>
      </c>
      <c r="O82" s="49"/>
      <c r="P82" s="49">
        <f>N82</f>
        <v>334.88299999999998</v>
      </c>
      <c r="Q82" s="29">
        <f t="shared" si="90"/>
        <v>1033.1243119999999</v>
      </c>
      <c r="R82" s="29"/>
      <c r="S82" s="49"/>
      <c r="T82" s="49"/>
      <c r="U82" s="29">
        <v>1033.1243119999999</v>
      </c>
      <c r="V82" s="29"/>
      <c r="W82" s="29">
        <f>U82</f>
        <v>1033.1243119999999</v>
      </c>
      <c r="X82" s="29">
        <f t="shared" si="105"/>
        <v>1294.538</v>
      </c>
      <c r="Y82" s="29"/>
      <c r="Z82" s="49"/>
      <c r="AA82" s="49"/>
      <c r="AB82" s="29">
        <v>1294.538</v>
      </c>
      <c r="AC82" s="29"/>
      <c r="AD82" s="29">
        <f>AB82</f>
        <v>1294.538</v>
      </c>
      <c r="AE82" s="29">
        <f t="shared" si="106"/>
        <v>0</v>
      </c>
      <c r="AF82" s="29"/>
      <c r="AG82" s="49"/>
      <c r="AH82" s="49"/>
      <c r="AI82" s="29"/>
      <c r="AJ82" s="29"/>
      <c r="AK82" s="29"/>
      <c r="AL82" s="29">
        <f t="shared" si="107"/>
        <v>0</v>
      </c>
      <c r="AM82" s="29"/>
      <c r="AN82" s="49"/>
      <c r="AO82" s="49"/>
      <c r="AP82" s="29"/>
      <c r="AQ82" s="29"/>
      <c r="AR82" s="29"/>
      <c r="AS82" s="29">
        <f t="shared" si="108"/>
        <v>1134.7269999999999</v>
      </c>
      <c r="AT82" s="29"/>
      <c r="AU82" s="49"/>
      <c r="AV82" s="49"/>
      <c r="AW82" s="29">
        <f>AY82</f>
        <v>1134.7269999999999</v>
      </c>
      <c r="AX82" s="29"/>
      <c r="AY82" s="29">
        <f>895.16+239.567</f>
        <v>1134.7269999999999</v>
      </c>
      <c r="AZ82" s="29">
        <f t="shared" si="109"/>
        <v>0</v>
      </c>
      <c r="BA82" s="29"/>
      <c r="BB82" s="49"/>
      <c r="BC82" s="49"/>
      <c r="BD82" s="29"/>
      <c r="BE82" s="29"/>
      <c r="BF82" s="29"/>
      <c r="BG82" s="49">
        <f t="shared" si="101"/>
        <v>0</v>
      </c>
      <c r="BH82" s="49"/>
      <c r="BI82" s="49"/>
      <c r="BJ82" s="49"/>
      <c r="BK82" s="49"/>
      <c r="BL82" s="49"/>
      <c r="BM82" s="49"/>
    </row>
    <row r="83" spans="1:65" s="26" customFormat="1" ht="24" customHeight="1">
      <c r="A83" s="37">
        <v>10</v>
      </c>
      <c r="B83" s="50" t="s">
        <v>270</v>
      </c>
      <c r="C83" s="35">
        <f>D83+G83</f>
        <v>669.08217000000002</v>
      </c>
      <c r="D83" s="35"/>
      <c r="E83" s="35"/>
      <c r="F83" s="35"/>
      <c r="G83" s="35">
        <f>G84</f>
        <v>669.08217000000002</v>
      </c>
      <c r="H83" s="35">
        <f>H84</f>
        <v>0</v>
      </c>
      <c r="I83" s="35">
        <f>I84</f>
        <v>669.08217000000002</v>
      </c>
      <c r="J83" s="35">
        <f>K83+N83</f>
        <v>0</v>
      </c>
      <c r="K83" s="35"/>
      <c r="L83" s="35"/>
      <c r="M83" s="35"/>
      <c r="N83" s="35"/>
      <c r="O83" s="35"/>
      <c r="P83" s="35"/>
      <c r="Q83" s="35">
        <f t="shared" si="90"/>
        <v>0</v>
      </c>
      <c r="R83" s="35"/>
      <c r="S83" s="35"/>
      <c r="T83" s="35"/>
      <c r="U83" s="35">
        <f>U84</f>
        <v>0</v>
      </c>
      <c r="V83" s="35">
        <f>V84</f>
        <v>0</v>
      </c>
      <c r="W83" s="35">
        <f>W84</f>
        <v>0</v>
      </c>
      <c r="X83" s="35">
        <f t="shared" si="105"/>
        <v>0</v>
      </c>
      <c r="Y83" s="35"/>
      <c r="Z83" s="35"/>
      <c r="AA83" s="35"/>
      <c r="AB83" s="35">
        <f>AB84</f>
        <v>0</v>
      </c>
      <c r="AC83" s="35">
        <f>AC84</f>
        <v>0</v>
      </c>
      <c r="AD83" s="35">
        <f>AD84</f>
        <v>0</v>
      </c>
      <c r="AE83" s="35">
        <f t="shared" si="106"/>
        <v>0</v>
      </c>
      <c r="AF83" s="35"/>
      <c r="AG83" s="35"/>
      <c r="AH83" s="35"/>
      <c r="AI83" s="35">
        <f>AI84</f>
        <v>0</v>
      </c>
      <c r="AJ83" s="35">
        <f>AJ84</f>
        <v>0</v>
      </c>
      <c r="AK83" s="35">
        <f>AK84</f>
        <v>0</v>
      </c>
      <c r="AL83" s="35">
        <f t="shared" si="107"/>
        <v>669.08217000000002</v>
      </c>
      <c r="AM83" s="35"/>
      <c r="AN83" s="35"/>
      <c r="AO83" s="35"/>
      <c r="AP83" s="35">
        <f>AP84</f>
        <v>669.08217000000002</v>
      </c>
      <c r="AQ83" s="35">
        <f>AQ84</f>
        <v>0</v>
      </c>
      <c r="AR83" s="35">
        <f>AR84</f>
        <v>669.08217000000002</v>
      </c>
      <c r="AS83" s="35"/>
      <c r="AT83" s="35"/>
      <c r="AU83" s="35"/>
      <c r="AV83" s="35"/>
      <c r="AW83" s="35"/>
      <c r="AX83" s="35"/>
      <c r="AY83" s="35"/>
      <c r="AZ83" s="35"/>
      <c r="BA83" s="35"/>
      <c r="BB83" s="35"/>
      <c r="BC83" s="35"/>
      <c r="BD83" s="35"/>
      <c r="BE83" s="35"/>
      <c r="BF83" s="35"/>
      <c r="BG83" s="35">
        <f t="shared" si="101"/>
        <v>0</v>
      </c>
      <c r="BH83" s="35"/>
      <c r="BI83" s="35"/>
      <c r="BJ83" s="35"/>
      <c r="BK83" s="35"/>
      <c r="BL83" s="35"/>
      <c r="BM83" s="35"/>
    </row>
    <row r="84" spans="1:65" s="26" customFormat="1" ht="24" customHeight="1">
      <c r="A84" s="48"/>
      <c r="B84" s="33" t="s">
        <v>258</v>
      </c>
      <c r="C84" s="29">
        <f t="shared" ref="C84:I84" si="113">J84+Q84+X84+AE84+AL84+AS84+AZ84+BG84</f>
        <v>669.08217000000002</v>
      </c>
      <c r="D84" s="29">
        <f t="shared" si="113"/>
        <v>0</v>
      </c>
      <c r="E84" s="29">
        <f t="shared" si="113"/>
        <v>0</v>
      </c>
      <c r="F84" s="29">
        <f t="shared" si="113"/>
        <v>0</v>
      </c>
      <c r="G84" s="29">
        <f t="shared" si="113"/>
        <v>669.08217000000002</v>
      </c>
      <c r="H84" s="29">
        <f t="shared" si="113"/>
        <v>0</v>
      </c>
      <c r="I84" s="29">
        <f t="shared" si="113"/>
        <v>669.08217000000002</v>
      </c>
      <c r="J84" s="27"/>
      <c r="K84" s="27"/>
      <c r="L84" s="27"/>
      <c r="M84" s="27"/>
      <c r="N84" s="27"/>
      <c r="O84" s="27"/>
      <c r="P84" s="27"/>
      <c r="Q84" s="29">
        <f t="shared" si="90"/>
        <v>0</v>
      </c>
      <c r="R84" s="29"/>
      <c r="S84" s="49"/>
      <c r="T84" s="49"/>
      <c r="U84" s="29"/>
      <c r="V84" s="29"/>
      <c r="W84" s="29">
        <f>U84</f>
        <v>0</v>
      </c>
      <c r="X84" s="29">
        <f t="shared" si="105"/>
        <v>0</v>
      </c>
      <c r="Y84" s="29"/>
      <c r="Z84" s="49"/>
      <c r="AA84" s="49"/>
      <c r="AB84" s="29"/>
      <c r="AC84" s="29"/>
      <c r="AD84" s="29">
        <f>AB84</f>
        <v>0</v>
      </c>
      <c r="AE84" s="29">
        <f t="shared" si="106"/>
        <v>0</v>
      </c>
      <c r="AF84" s="29"/>
      <c r="AG84" s="49"/>
      <c r="AH84" s="49"/>
      <c r="AI84" s="29"/>
      <c r="AJ84" s="29"/>
      <c r="AK84" s="29">
        <f>AI84</f>
        <v>0</v>
      </c>
      <c r="AL84" s="29">
        <f t="shared" si="107"/>
        <v>669.08217000000002</v>
      </c>
      <c r="AM84" s="29"/>
      <c r="AN84" s="49"/>
      <c r="AO84" s="49"/>
      <c r="AP84" s="29">
        <v>669.08217000000002</v>
      </c>
      <c r="AQ84" s="29"/>
      <c r="AR84" s="29">
        <f>AP84</f>
        <v>669.08217000000002</v>
      </c>
      <c r="AS84" s="27"/>
      <c r="AT84" s="27"/>
      <c r="AU84" s="27"/>
      <c r="AV84" s="27"/>
      <c r="AW84" s="27"/>
      <c r="AX84" s="35"/>
      <c r="AY84" s="35"/>
      <c r="AZ84" s="27"/>
      <c r="BA84" s="27"/>
      <c r="BB84" s="27"/>
      <c r="BC84" s="27"/>
      <c r="BD84" s="27"/>
      <c r="BE84" s="35"/>
      <c r="BF84" s="35"/>
      <c r="BG84" s="27"/>
      <c r="BH84" s="27"/>
      <c r="BI84" s="27"/>
      <c r="BJ84" s="27"/>
      <c r="BK84" s="27"/>
      <c r="BL84" s="27"/>
      <c r="BM84" s="27"/>
    </row>
    <row r="85" spans="1:65" s="32" customFormat="1" ht="33.75" customHeight="1">
      <c r="A85" s="48" t="s">
        <v>23</v>
      </c>
      <c r="B85" s="47" t="s">
        <v>269</v>
      </c>
      <c r="C85" s="27">
        <f>D85+G85</f>
        <v>11463.586889</v>
      </c>
      <c r="D85" s="815">
        <f t="shared" ref="D85:I85" si="114">D86</f>
        <v>10687.350952000001</v>
      </c>
      <c r="E85" s="27">
        <f t="shared" si="114"/>
        <v>7044.8676520000008</v>
      </c>
      <c r="F85" s="27">
        <f t="shared" si="114"/>
        <v>3642.4832999999999</v>
      </c>
      <c r="G85" s="27">
        <f t="shared" si="114"/>
        <v>776.23593699999992</v>
      </c>
      <c r="H85" s="27">
        <f t="shared" si="114"/>
        <v>0</v>
      </c>
      <c r="I85" s="27">
        <f t="shared" si="114"/>
        <v>776.23593699999992</v>
      </c>
      <c r="J85" s="27">
        <f t="shared" ref="J85:J106" si="115">K85+N85</f>
        <v>323.01</v>
      </c>
      <c r="K85" s="27">
        <f t="shared" ref="K85:AY85" si="116">K86</f>
        <v>156.703</v>
      </c>
      <c r="L85" s="27">
        <f t="shared" si="116"/>
        <v>156.703</v>
      </c>
      <c r="M85" s="27">
        <f t="shared" si="116"/>
        <v>0</v>
      </c>
      <c r="N85" s="27">
        <f t="shared" si="116"/>
        <v>166.30699999999999</v>
      </c>
      <c r="O85" s="27">
        <f t="shared" si="116"/>
        <v>0</v>
      </c>
      <c r="P85" s="27">
        <f t="shared" si="116"/>
        <v>166.30699999999999</v>
      </c>
      <c r="Q85" s="27">
        <f t="shared" si="116"/>
        <v>4562.4114370000007</v>
      </c>
      <c r="R85" s="27">
        <f t="shared" si="116"/>
        <v>4380.5784999999996</v>
      </c>
      <c r="S85" s="27">
        <f t="shared" si="116"/>
        <v>4380.5784999999996</v>
      </c>
      <c r="T85" s="27">
        <f t="shared" si="116"/>
        <v>0</v>
      </c>
      <c r="U85" s="27">
        <f t="shared" si="116"/>
        <v>181.83293699999999</v>
      </c>
      <c r="V85" s="27">
        <f t="shared" si="116"/>
        <v>0</v>
      </c>
      <c r="W85" s="27">
        <f t="shared" si="116"/>
        <v>181.83293699999999</v>
      </c>
      <c r="X85" s="27">
        <f t="shared" si="116"/>
        <v>110</v>
      </c>
      <c r="Y85" s="27">
        <f t="shared" si="116"/>
        <v>110</v>
      </c>
      <c r="Z85" s="27">
        <f t="shared" si="116"/>
        <v>110</v>
      </c>
      <c r="AA85" s="27">
        <f t="shared" si="116"/>
        <v>0</v>
      </c>
      <c r="AB85" s="27">
        <f t="shared" si="116"/>
        <v>0</v>
      </c>
      <c r="AC85" s="27">
        <f t="shared" si="116"/>
        <v>0</v>
      </c>
      <c r="AD85" s="27">
        <f t="shared" si="116"/>
        <v>0</v>
      </c>
      <c r="AE85" s="27">
        <f t="shared" si="116"/>
        <v>0</v>
      </c>
      <c r="AF85" s="27">
        <f t="shared" si="116"/>
        <v>0</v>
      </c>
      <c r="AG85" s="27">
        <f t="shared" si="116"/>
        <v>0</v>
      </c>
      <c r="AH85" s="27">
        <f t="shared" si="116"/>
        <v>0</v>
      </c>
      <c r="AI85" s="27">
        <f t="shared" si="116"/>
        <v>0</v>
      </c>
      <c r="AJ85" s="27">
        <f t="shared" si="116"/>
        <v>0</v>
      </c>
      <c r="AK85" s="27">
        <f t="shared" si="116"/>
        <v>0</v>
      </c>
      <c r="AL85" s="27">
        <f t="shared" si="116"/>
        <v>1892.6292999999998</v>
      </c>
      <c r="AM85" s="27">
        <f t="shared" si="116"/>
        <v>1654.4812999999999</v>
      </c>
      <c r="AN85" s="27">
        <f t="shared" si="116"/>
        <v>0</v>
      </c>
      <c r="AO85" s="27">
        <f t="shared" si="116"/>
        <v>1654.4812999999999</v>
      </c>
      <c r="AP85" s="27">
        <f t="shared" si="116"/>
        <v>238.148</v>
      </c>
      <c r="AQ85" s="27">
        <f t="shared" si="116"/>
        <v>0</v>
      </c>
      <c r="AR85" s="27">
        <f t="shared" si="116"/>
        <v>238.148</v>
      </c>
      <c r="AS85" s="27">
        <f t="shared" si="116"/>
        <v>2177.9499999999998</v>
      </c>
      <c r="AT85" s="27">
        <f t="shared" si="116"/>
        <v>1988.002</v>
      </c>
      <c r="AU85" s="27">
        <f t="shared" si="116"/>
        <v>0</v>
      </c>
      <c r="AV85" s="27">
        <f t="shared" si="116"/>
        <v>1988.002</v>
      </c>
      <c r="AW85" s="27">
        <f t="shared" si="116"/>
        <v>189.94800000000001</v>
      </c>
      <c r="AX85" s="27">
        <f t="shared" si="116"/>
        <v>0</v>
      </c>
      <c r="AY85" s="27">
        <f t="shared" si="116"/>
        <v>189.94800000000001</v>
      </c>
      <c r="AZ85" s="27"/>
      <c r="BA85" s="27"/>
      <c r="BB85" s="27"/>
      <c r="BC85" s="27"/>
      <c r="BD85" s="27"/>
      <c r="BE85" s="35"/>
      <c r="BF85" s="35"/>
      <c r="BG85" s="27">
        <f t="shared" ref="BG85:BG106" si="117">BH85+BK85</f>
        <v>2397.5861519999999</v>
      </c>
      <c r="BH85" s="27">
        <f>BH86</f>
        <v>2397.5861519999999</v>
      </c>
      <c r="BI85" s="27">
        <f>BI86</f>
        <v>2397.5861519999999</v>
      </c>
      <c r="BJ85" s="27"/>
      <c r="BK85" s="27"/>
      <c r="BL85" s="27"/>
      <c r="BM85" s="27"/>
    </row>
    <row r="86" spans="1:65" s="32" customFormat="1" ht="30" customHeight="1">
      <c r="A86" s="34">
        <v>1</v>
      </c>
      <c r="B86" s="33" t="s">
        <v>268</v>
      </c>
      <c r="C86" s="43">
        <f>D86+G86</f>
        <v>11463.586889</v>
      </c>
      <c r="D86" s="43">
        <f t="shared" ref="D86:I86" si="118">D87+D88</f>
        <v>10687.350952000001</v>
      </c>
      <c r="E86" s="43">
        <f t="shared" si="118"/>
        <v>7044.8676520000008</v>
      </c>
      <c r="F86" s="43">
        <f t="shared" si="118"/>
        <v>3642.4832999999999</v>
      </c>
      <c r="G86" s="43">
        <f t="shared" si="118"/>
        <v>776.23593699999992</v>
      </c>
      <c r="H86" s="43">
        <f t="shared" si="118"/>
        <v>0</v>
      </c>
      <c r="I86" s="43">
        <f t="shared" si="118"/>
        <v>776.23593699999992</v>
      </c>
      <c r="J86" s="43">
        <f t="shared" si="115"/>
        <v>323.01</v>
      </c>
      <c r="K86" s="43">
        <f t="shared" ref="K86:AY86" si="119">K87+K88</f>
        <v>156.703</v>
      </c>
      <c r="L86" s="43">
        <f t="shared" si="119"/>
        <v>156.703</v>
      </c>
      <c r="M86" s="43">
        <f t="shared" si="119"/>
        <v>0</v>
      </c>
      <c r="N86" s="43">
        <f t="shared" si="119"/>
        <v>166.30699999999999</v>
      </c>
      <c r="O86" s="43">
        <f t="shared" si="119"/>
        <v>0</v>
      </c>
      <c r="P86" s="43">
        <f t="shared" si="119"/>
        <v>166.30699999999999</v>
      </c>
      <c r="Q86" s="46">
        <f t="shared" si="119"/>
        <v>4562.4114370000007</v>
      </c>
      <c r="R86" s="46">
        <f t="shared" si="119"/>
        <v>4380.5784999999996</v>
      </c>
      <c r="S86" s="46">
        <f t="shared" si="119"/>
        <v>4380.5784999999996</v>
      </c>
      <c r="T86" s="28">
        <f t="shared" si="119"/>
        <v>0</v>
      </c>
      <c r="U86" s="46">
        <f t="shared" si="119"/>
        <v>181.83293699999999</v>
      </c>
      <c r="V86" s="46">
        <f t="shared" si="119"/>
        <v>0</v>
      </c>
      <c r="W86" s="46">
        <f t="shared" si="119"/>
        <v>181.83293699999999</v>
      </c>
      <c r="X86" s="28">
        <f t="shared" si="119"/>
        <v>110</v>
      </c>
      <c r="Y86" s="28">
        <f t="shared" si="119"/>
        <v>110</v>
      </c>
      <c r="Z86" s="28">
        <f t="shared" si="119"/>
        <v>110</v>
      </c>
      <c r="AA86" s="28">
        <f t="shared" si="119"/>
        <v>0</v>
      </c>
      <c r="AB86" s="28">
        <f t="shared" si="119"/>
        <v>0</v>
      </c>
      <c r="AC86" s="28">
        <f t="shared" si="119"/>
        <v>0</v>
      </c>
      <c r="AD86" s="28">
        <f t="shared" si="119"/>
        <v>0</v>
      </c>
      <c r="AE86" s="28">
        <f t="shared" si="119"/>
        <v>0</v>
      </c>
      <c r="AF86" s="28">
        <f t="shared" si="119"/>
        <v>0</v>
      </c>
      <c r="AG86" s="28">
        <f t="shared" si="119"/>
        <v>0</v>
      </c>
      <c r="AH86" s="28">
        <f t="shared" si="119"/>
        <v>0</v>
      </c>
      <c r="AI86" s="28">
        <f t="shared" si="119"/>
        <v>0</v>
      </c>
      <c r="AJ86" s="28">
        <f t="shared" si="119"/>
        <v>0</v>
      </c>
      <c r="AK86" s="28">
        <f t="shared" si="119"/>
        <v>0</v>
      </c>
      <c r="AL86" s="28">
        <f t="shared" si="119"/>
        <v>1892.6292999999998</v>
      </c>
      <c r="AM86" s="28">
        <f t="shared" si="119"/>
        <v>1654.4812999999999</v>
      </c>
      <c r="AN86" s="28">
        <f t="shared" si="119"/>
        <v>0</v>
      </c>
      <c r="AO86" s="28">
        <f t="shared" si="119"/>
        <v>1654.4812999999999</v>
      </c>
      <c r="AP86" s="28">
        <f t="shared" si="119"/>
        <v>238.148</v>
      </c>
      <c r="AQ86" s="28">
        <f t="shared" si="119"/>
        <v>0</v>
      </c>
      <c r="AR86" s="28">
        <f t="shared" si="119"/>
        <v>238.148</v>
      </c>
      <c r="AS86" s="28">
        <f t="shared" si="119"/>
        <v>2177.9499999999998</v>
      </c>
      <c r="AT86" s="28">
        <f t="shared" si="119"/>
        <v>1988.002</v>
      </c>
      <c r="AU86" s="28">
        <f t="shared" si="119"/>
        <v>0</v>
      </c>
      <c r="AV86" s="28">
        <f t="shared" si="119"/>
        <v>1988.002</v>
      </c>
      <c r="AW86" s="28">
        <f t="shared" si="119"/>
        <v>189.94800000000001</v>
      </c>
      <c r="AX86" s="28">
        <f t="shared" si="119"/>
        <v>0</v>
      </c>
      <c r="AY86" s="28">
        <f t="shared" si="119"/>
        <v>189.94800000000001</v>
      </c>
      <c r="AZ86" s="28"/>
      <c r="BA86" s="28"/>
      <c r="BB86" s="42"/>
      <c r="BC86" s="42"/>
      <c r="BD86" s="28"/>
      <c r="BE86" s="29"/>
      <c r="BF86" s="29"/>
      <c r="BG86" s="43">
        <f t="shared" si="117"/>
        <v>2397.5861519999999</v>
      </c>
      <c r="BH86" s="43">
        <f>BH87+BH88</f>
        <v>2397.5861519999999</v>
      </c>
      <c r="BI86" s="43">
        <f>BI87+BI88</f>
        <v>2397.5861519999999</v>
      </c>
      <c r="BJ86" s="42"/>
      <c r="BK86" s="43"/>
      <c r="BL86" s="42"/>
      <c r="BM86" s="42"/>
    </row>
    <row r="87" spans="1:65" s="32" customFormat="1" ht="26.25" customHeight="1">
      <c r="A87" s="34"/>
      <c r="B87" s="33" t="s">
        <v>253</v>
      </c>
      <c r="C87" s="29">
        <f t="shared" ref="C87:I88" si="120">J87+Q87+X87+AE87+AL87+AS87+AZ87+BG87</f>
        <v>7400.5759520000001</v>
      </c>
      <c r="D87" s="29">
        <f t="shared" si="120"/>
        <v>7400.5759520000001</v>
      </c>
      <c r="E87" s="29">
        <f t="shared" si="120"/>
        <v>3758.0926520000003</v>
      </c>
      <c r="F87" s="29">
        <f t="shared" si="120"/>
        <v>3642.4832999999999</v>
      </c>
      <c r="G87" s="29">
        <f t="shared" si="120"/>
        <v>0</v>
      </c>
      <c r="H87" s="29">
        <f t="shared" si="120"/>
        <v>0</v>
      </c>
      <c r="I87" s="29">
        <f t="shared" si="120"/>
        <v>0</v>
      </c>
      <c r="J87" s="29">
        <f t="shared" si="115"/>
        <v>0</v>
      </c>
      <c r="K87" s="29"/>
      <c r="L87" s="42">
        <f>K87</f>
        <v>0</v>
      </c>
      <c r="M87" s="42"/>
      <c r="N87" s="43"/>
      <c r="O87" s="42"/>
      <c r="P87" s="42"/>
      <c r="Q87" s="41">
        <f>R87+U87</f>
        <v>1923.2435</v>
      </c>
      <c r="R87" s="41">
        <f>S87</f>
        <v>1923.2435</v>
      </c>
      <c r="S87" s="45">
        <v>1923.2435</v>
      </c>
      <c r="T87" s="39"/>
      <c r="U87" s="40"/>
      <c r="V87" s="44"/>
      <c r="W87" s="44"/>
      <c r="X87" s="39">
        <f>Y87+AB87</f>
        <v>0</v>
      </c>
      <c r="Y87" s="39"/>
      <c r="Z87" s="38"/>
      <c r="AA87" s="39">
        <f>Y87</f>
        <v>0</v>
      </c>
      <c r="AB87" s="39"/>
      <c r="AC87" s="38"/>
      <c r="AD87" s="38"/>
      <c r="AE87" s="39">
        <f>AF87+AI87</f>
        <v>0</v>
      </c>
      <c r="AF87" s="39"/>
      <c r="AG87" s="38"/>
      <c r="AH87" s="39">
        <f>AF87</f>
        <v>0</v>
      </c>
      <c r="AI87" s="39"/>
      <c r="AJ87" s="38"/>
      <c r="AK87" s="38"/>
      <c r="AL87" s="39">
        <f>AM87+AP87</f>
        <v>1654.4812999999999</v>
      </c>
      <c r="AM87" s="39">
        <v>1654.4812999999999</v>
      </c>
      <c r="AN87" s="38"/>
      <c r="AO87" s="39">
        <f>AM87</f>
        <v>1654.4812999999999</v>
      </c>
      <c r="AP87" s="39"/>
      <c r="AQ87" s="38"/>
      <c r="AR87" s="38"/>
      <c r="AS87" s="39">
        <f>AT87+AW87</f>
        <v>1988.002</v>
      </c>
      <c r="AT87" s="38">
        <v>1988.002</v>
      </c>
      <c r="AU87" s="38"/>
      <c r="AV87" s="38">
        <v>1988.002</v>
      </c>
      <c r="AW87" s="38"/>
      <c r="AX87" s="38"/>
      <c r="AY87" s="38"/>
      <c r="AZ87" s="28"/>
      <c r="BA87" s="28"/>
      <c r="BB87" s="42"/>
      <c r="BC87" s="42"/>
      <c r="BD87" s="28"/>
      <c r="BE87" s="28"/>
      <c r="BF87" s="28"/>
      <c r="BG87" s="29">
        <f t="shared" si="117"/>
        <v>1834.849152</v>
      </c>
      <c r="BH87" s="29">
        <v>1834.849152</v>
      </c>
      <c r="BI87" s="42">
        <f>BH87</f>
        <v>1834.849152</v>
      </c>
      <c r="BJ87" s="42"/>
      <c r="BK87" s="43"/>
      <c r="BL87" s="42"/>
      <c r="BM87" s="42"/>
    </row>
    <row r="88" spans="1:65" s="32" customFormat="1" ht="23.25" customHeight="1">
      <c r="A88" s="34"/>
      <c r="B88" s="33" t="s">
        <v>258</v>
      </c>
      <c r="C88" s="29">
        <f t="shared" si="120"/>
        <v>4063.0109370000005</v>
      </c>
      <c r="D88" s="29">
        <f t="shared" si="120"/>
        <v>3286.7750000000001</v>
      </c>
      <c r="E88" s="29">
        <f t="shared" si="120"/>
        <v>3286.7750000000001</v>
      </c>
      <c r="F88" s="29">
        <f t="shared" si="120"/>
        <v>0</v>
      </c>
      <c r="G88" s="29">
        <f t="shared" si="120"/>
        <v>776.23593699999992</v>
      </c>
      <c r="H88" s="29">
        <f t="shared" si="120"/>
        <v>0</v>
      </c>
      <c r="I88" s="29">
        <f t="shared" si="120"/>
        <v>776.23593699999992</v>
      </c>
      <c r="J88" s="29">
        <f t="shared" si="115"/>
        <v>323.01</v>
      </c>
      <c r="K88" s="29">
        <v>156.703</v>
      </c>
      <c r="L88" s="28">
        <f>K88</f>
        <v>156.703</v>
      </c>
      <c r="M88" s="28"/>
      <c r="N88" s="29">
        <v>166.30699999999999</v>
      </c>
      <c r="O88" s="28"/>
      <c r="P88" s="28">
        <f>N88</f>
        <v>166.30699999999999</v>
      </c>
      <c r="Q88" s="41">
        <f>R88+U88</f>
        <v>2639.1679370000002</v>
      </c>
      <c r="R88" s="41">
        <f>S88</f>
        <v>2457.335</v>
      </c>
      <c r="S88" s="41">
        <f>781.545+1675.79</f>
        <v>2457.335</v>
      </c>
      <c r="T88" s="39"/>
      <c r="U88" s="40">
        <v>181.83293699999999</v>
      </c>
      <c r="V88" s="40"/>
      <c r="W88" s="40">
        <f>U88</f>
        <v>181.83293699999999</v>
      </c>
      <c r="X88" s="39">
        <f>Y88+AB88</f>
        <v>110</v>
      </c>
      <c r="Y88" s="39">
        <v>110</v>
      </c>
      <c r="Z88" s="39">
        <f>Y88</f>
        <v>110</v>
      </c>
      <c r="AA88" s="39"/>
      <c r="AB88" s="39"/>
      <c r="AC88" s="39"/>
      <c r="AD88" s="39">
        <f>AB88</f>
        <v>0</v>
      </c>
      <c r="AE88" s="39">
        <f>AF88+AI88</f>
        <v>0</v>
      </c>
      <c r="AF88" s="39"/>
      <c r="AG88" s="39"/>
      <c r="AH88" s="39"/>
      <c r="AI88" s="39"/>
      <c r="AJ88" s="39"/>
      <c r="AK88" s="39">
        <f>AI88</f>
        <v>0</v>
      </c>
      <c r="AL88" s="39">
        <f>AM88+AP88</f>
        <v>238.148</v>
      </c>
      <c r="AM88" s="39"/>
      <c r="AN88" s="39"/>
      <c r="AO88" s="39"/>
      <c r="AP88" s="39">
        <v>238.148</v>
      </c>
      <c r="AQ88" s="39"/>
      <c r="AR88" s="39">
        <f>AP88</f>
        <v>238.148</v>
      </c>
      <c r="AS88" s="39">
        <f>AT88+AW88</f>
        <v>189.94800000000001</v>
      </c>
      <c r="AT88" s="38"/>
      <c r="AU88" s="38"/>
      <c r="AV88" s="38"/>
      <c r="AW88" s="38">
        <v>189.94800000000001</v>
      </c>
      <c r="AX88" s="38"/>
      <c r="AY88" s="38">
        <v>189.94800000000001</v>
      </c>
      <c r="AZ88" s="29"/>
      <c r="BA88" s="29"/>
      <c r="BB88" s="28"/>
      <c r="BC88" s="28"/>
      <c r="BD88" s="29"/>
      <c r="BE88" s="29"/>
      <c r="BF88" s="29"/>
      <c r="BG88" s="29">
        <f t="shared" si="117"/>
        <v>562.73699999999997</v>
      </c>
      <c r="BH88" s="29">
        <v>562.73699999999997</v>
      </c>
      <c r="BI88" s="28">
        <f>BH88</f>
        <v>562.73699999999997</v>
      </c>
      <c r="BJ88" s="28"/>
      <c r="BK88" s="29"/>
      <c r="BL88" s="28"/>
      <c r="BM88" s="28"/>
    </row>
    <row r="89" spans="1:65" s="32" customFormat="1" ht="18.75" hidden="1" customHeight="1">
      <c r="A89" s="34" t="s">
        <v>267</v>
      </c>
      <c r="B89" s="33" t="s">
        <v>266</v>
      </c>
      <c r="C89" s="29">
        <f t="shared" ref="C89:C99" si="121">D89+G89</f>
        <v>0</v>
      </c>
      <c r="D89" s="29"/>
      <c r="E89" s="28"/>
      <c r="F89" s="28"/>
      <c r="G89" s="29"/>
      <c r="H89" s="28"/>
      <c r="I89" s="28"/>
      <c r="J89" s="29">
        <f t="shared" si="115"/>
        <v>0</v>
      </c>
      <c r="K89" s="29"/>
      <c r="L89" s="28"/>
      <c r="M89" s="28"/>
      <c r="N89" s="29"/>
      <c r="O89" s="28"/>
      <c r="P89" s="28"/>
      <c r="Q89" s="29"/>
      <c r="R89" s="29"/>
      <c r="S89" s="28"/>
      <c r="T89" s="28"/>
      <c r="U89" s="29"/>
      <c r="V89" s="29"/>
      <c r="W89" s="29"/>
      <c r="X89" s="29"/>
      <c r="Y89" s="29"/>
      <c r="Z89" s="28"/>
      <c r="AA89" s="28"/>
      <c r="AB89" s="29"/>
      <c r="AC89" s="29"/>
      <c r="AD89" s="29"/>
      <c r="AE89" s="29"/>
      <c r="AF89" s="29"/>
      <c r="AG89" s="28"/>
      <c r="AH89" s="28"/>
      <c r="AI89" s="29"/>
      <c r="AJ89" s="29"/>
      <c r="AK89" s="29"/>
      <c r="AL89" s="29"/>
      <c r="AM89" s="29"/>
      <c r="AN89" s="28"/>
      <c r="AO89" s="28"/>
      <c r="AP89" s="29"/>
      <c r="AQ89" s="29"/>
      <c r="AR89" s="29"/>
      <c r="AS89" s="29"/>
      <c r="AT89" s="29"/>
      <c r="AU89" s="28"/>
      <c r="AV89" s="28"/>
      <c r="AW89" s="29"/>
      <c r="AX89" s="29"/>
      <c r="AY89" s="29"/>
      <c r="AZ89" s="29"/>
      <c r="BA89" s="29"/>
      <c r="BB89" s="28"/>
      <c r="BC89" s="28"/>
      <c r="BD89" s="29"/>
      <c r="BE89" s="29"/>
      <c r="BF89" s="29"/>
      <c r="BG89" s="29">
        <f t="shared" si="117"/>
        <v>0</v>
      </c>
      <c r="BH89" s="29"/>
      <c r="BI89" s="28"/>
      <c r="BJ89" s="28"/>
      <c r="BK89" s="29"/>
      <c r="BL89" s="28"/>
      <c r="BM89" s="28"/>
    </row>
    <row r="90" spans="1:65" s="26" customFormat="1" ht="33" customHeight="1">
      <c r="A90" s="37" t="s">
        <v>96</v>
      </c>
      <c r="B90" s="36" t="s">
        <v>265</v>
      </c>
      <c r="C90" s="35">
        <f t="shared" si="121"/>
        <v>6284.28</v>
      </c>
      <c r="D90" s="800">
        <f>D98+D102</f>
        <v>6284.28</v>
      </c>
      <c r="E90" s="35">
        <f>E98+E102</f>
        <v>6284.28</v>
      </c>
      <c r="F90" s="35"/>
      <c r="G90" s="35"/>
      <c r="H90" s="35"/>
      <c r="I90" s="35"/>
      <c r="J90" s="35">
        <f t="shared" si="115"/>
        <v>5376.08</v>
      </c>
      <c r="K90" s="35">
        <f>K98</f>
        <v>5376.08</v>
      </c>
      <c r="L90" s="35">
        <f>L98</f>
        <v>5376.08</v>
      </c>
      <c r="M90" s="35"/>
      <c r="N90" s="35"/>
      <c r="O90" s="35"/>
      <c r="P90" s="35"/>
      <c r="Q90" s="35"/>
      <c r="R90" s="35"/>
      <c r="S90" s="35"/>
      <c r="T90" s="35"/>
      <c r="U90" s="35"/>
      <c r="V90" s="35"/>
      <c r="W90" s="35"/>
      <c r="X90" s="35"/>
      <c r="Y90" s="35"/>
      <c r="Z90" s="35"/>
      <c r="AA90" s="35"/>
      <c r="AB90" s="35"/>
      <c r="AC90" s="35"/>
      <c r="AD90" s="35"/>
      <c r="AE90" s="35"/>
      <c r="AF90" s="35"/>
      <c r="AG90" s="35"/>
      <c r="AH90" s="35"/>
      <c r="AI90" s="35"/>
      <c r="AJ90" s="35"/>
      <c r="AK90" s="35"/>
      <c r="AL90" s="35"/>
      <c r="AM90" s="35"/>
      <c r="AN90" s="35"/>
      <c r="AO90" s="35"/>
      <c r="AP90" s="35"/>
      <c r="AQ90" s="35"/>
      <c r="AR90" s="35"/>
      <c r="AS90" s="35"/>
      <c r="AT90" s="35"/>
      <c r="AU90" s="35"/>
      <c r="AV90" s="35"/>
      <c r="AW90" s="35"/>
      <c r="AX90" s="35"/>
      <c r="AY90" s="35"/>
      <c r="AZ90" s="35"/>
      <c r="BA90" s="35"/>
      <c r="BB90" s="35"/>
      <c r="BC90" s="35"/>
      <c r="BD90" s="35"/>
      <c r="BE90" s="35"/>
      <c r="BF90" s="35"/>
      <c r="BG90" s="35">
        <f t="shared" si="117"/>
        <v>908.2</v>
      </c>
      <c r="BH90" s="35">
        <f>BH102</f>
        <v>908.2</v>
      </c>
      <c r="BI90" s="35">
        <f>BI102</f>
        <v>908.2</v>
      </c>
      <c r="BJ90" s="35"/>
      <c r="BK90" s="35"/>
      <c r="BL90" s="35"/>
      <c r="BM90" s="35"/>
    </row>
    <row r="91" spans="1:65" s="26" customFormat="1" ht="30" hidden="1" customHeight="1">
      <c r="A91" s="37">
        <v>1</v>
      </c>
      <c r="B91" s="36" t="s">
        <v>264</v>
      </c>
      <c r="C91" s="35">
        <f t="shared" si="121"/>
        <v>0</v>
      </c>
      <c r="D91" s="35"/>
      <c r="E91" s="27"/>
      <c r="F91" s="27"/>
      <c r="G91" s="35"/>
      <c r="H91" s="27"/>
      <c r="I91" s="27"/>
      <c r="J91" s="35">
        <f t="shared" si="115"/>
        <v>0</v>
      </c>
      <c r="K91" s="35"/>
      <c r="L91" s="27"/>
      <c r="M91" s="27"/>
      <c r="N91" s="35"/>
      <c r="O91" s="27"/>
      <c r="P91" s="27"/>
      <c r="Q91" s="35"/>
      <c r="R91" s="35"/>
      <c r="S91" s="27"/>
      <c r="T91" s="27"/>
      <c r="U91" s="35"/>
      <c r="V91" s="35"/>
      <c r="W91" s="35"/>
      <c r="X91" s="35"/>
      <c r="Y91" s="35"/>
      <c r="Z91" s="27"/>
      <c r="AA91" s="27"/>
      <c r="AB91" s="35"/>
      <c r="AC91" s="35"/>
      <c r="AD91" s="35"/>
      <c r="AE91" s="35"/>
      <c r="AF91" s="35"/>
      <c r="AG91" s="27"/>
      <c r="AH91" s="27"/>
      <c r="AI91" s="35"/>
      <c r="AJ91" s="35"/>
      <c r="AK91" s="35"/>
      <c r="AL91" s="35"/>
      <c r="AM91" s="35"/>
      <c r="AN91" s="27"/>
      <c r="AO91" s="27"/>
      <c r="AP91" s="35"/>
      <c r="AQ91" s="35"/>
      <c r="AR91" s="35"/>
      <c r="AS91" s="35"/>
      <c r="AT91" s="35"/>
      <c r="AU91" s="27"/>
      <c r="AV91" s="27"/>
      <c r="AW91" s="35"/>
      <c r="AX91" s="35"/>
      <c r="AY91" s="35"/>
      <c r="AZ91" s="35"/>
      <c r="BA91" s="35"/>
      <c r="BB91" s="27"/>
      <c r="BC91" s="27"/>
      <c r="BD91" s="35"/>
      <c r="BE91" s="35"/>
      <c r="BF91" s="35"/>
      <c r="BG91" s="35">
        <f t="shared" si="117"/>
        <v>0</v>
      </c>
      <c r="BH91" s="35"/>
      <c r="BI91" s="27"/>
      <c r="BJ91" s="27"/>
      <c r="BK91" s="35"/>
      <c r="BL91" s="27"/>
      <c r="BM91" s="27"/>
    </row>
    <row r="92" spans="1:65" s="32" customFormat="1" ht="30" hidden="1" customHeight="1">
      <c r="A92" s="34"/>
      <c r="B92" s="33" t="s">
        <v>263</v>
      </c>
      <c r="C92" s="29">
        <f t="shared" si="121"/>
        <v>0</v>
      </c>
      <c r="D92" s="29"/>
      <c r="E92" s="28"/>
      <c r="F92" s="28"/>
      <c r="G92" s="29"/>
      <c r="H92" s="28"/>
      <c r="I92" s="28"/>
      <c r="J92" s="29">
        <f t="shared" si="115"/>
        <v>0</v>
      </c>
      <c r="K92" s="29"/>
      <c r="L92" s="28"/>
      <c r="M92" s="28"/>
      <c r="N92" s="29"/>
      <c r="O92" s="28"/>
      <c r="P92" s="28"/>
      <c r="Q92" s="29"/>
      <c r="R92" s="29"/>
      <c r="S92" s="28"/>
      <c r="T92" s="28"/>
      <c r="U92" s="29"/>
      <c r="V92" s="29"/>
      <c r="W92" s="29"/>
      <c r="X92" s="29"/>
      <c r="Y92" s="29"/>
      <c r="Z92" s="28"/>
      <c r="AA92" s="28"/>
      <c r="AB92" s="29"/>
      <c r="AC92" s="29"/>
      <c r="AD92" s="29"/>
      <c r="AE92" s="29"/>
      <c r="AF92" s="29"/>
      <c r="AG92" s="28"/>
      <c r="AH92" s="28"/>
      <c r="AI92" s="29"/>
      <c r="AJ92" s="29"/>
      <c r="AK92" s="29"/>
      <c r="AL92" s="29"/>
      <c r="AM92" s="29"/>
      <c r="AN92" s="28"/>
      <c r="AO92" s="28"/>
      <c r="AP92" s="29"/>
      <c r="AQ92" s="29"/>
      <c r="AR92" s="29"/>
      <c r="AS92" s="29"/>
      <c r="AT92" s="29"/>
      <c r="AU92" s="28"/>
      <c r="AV92" s="28"/>
      <c r="AW92" s="29"/>
      <c r="AX92" s="29"/>
      <c r="AY92" s="29"/>
      <c r="AZ92" s="29"/>
      <c r="BA92" s="29"/>
      <c r="BB92" s="28"/>
      <c r="BC92" s="28"/>
      <c r="BD92" s="29"/>
      <c r="BE92" s="29"/>
      <c r="BF92" s="29"/>
      <c r="BG92" s="29">
        <f t="shared" si="117"/>
        <v>0</v>
      </c>
      <c r="BH92" s="29"/>
      <c r="BI92" s="28"/>
      <c r="BJ92" s="28"/>
      <c r="BK92" s="29"/>
      <c r="BL92" s="28"/>
      <c r="BM92" s="28"/>
    </row>
    <row r="93" spans="1:65" s="26" customFormat="1" ht="30" hidden="1" customHeight="1">
      <c r="A93" s="37">
        <v>2</v>
      </c>
      <c r="B93" s="36" t="s">
        <v>262</v>
      </c>
      <c r="C93" s="35">
        <f t="shared" si="121"/>
        <v>0</v>
      </c>
      <c r="D93" s="35"/>
      <c r="E93" s="27"/>
      <c r="F93" s="27"/>
      <c r="G93" s="35"/>
      <c r="H93" s="27"/>
      <c r="I93" s="27"/>
      <c r="J93" s="35">
        <f t="shared" si="115"/>
        <v>0</v>
      </c>
      <c r="K93" s="35"/>
      <c r="L93" s="27"/>
      <c r="M93" s="27"/>
      <c r="N93" s="35"/>
      <c r="O93" s="27"/>
      <c r="P93" s="27"/>
      <c r="Q93" s="35"/>
      <c r="R93" s="35"/>
      <c r="S93" s="27"/>
      <c r="T93" s="27"/>
      <c r="U93" s="35"/>
      <c r="V93" s="35"/>
      <c r="W93" s="35"/>
      <c r="X93" s="35"/>
      <c r="Y93" s="35"/>
      <c r="Z93" s="27"/>
      <c r="AA93" s="27"/>
      <c r="AB93" s="35"/>
      <c r="AC93" s="35"/>
      <c r="AD93" s="35"/>
      <c r="AE93" s="35"/>
      <c r="AF93" s="35"/>
      <c r="AG93" s="27"/>
      <c r="AH93" s="27"/>
      <c r="AI93" s="35"/>
      <c r="AJ93" s="35"/>
      <c r="AK93" s="35"/>
      <c r="AL93" s="35"/>
      <c r="AM93" s="35"/>
      <c r="AN93" s="27"/>
      <c r="AO93" s="27"/>
      <c r="AP93" s="35"/>
      <c r="AQ93" s="35"/>
      <c r="AR93" s="35"/>
      <c r="AS93" s="35"/>
      <c r="AT93" s="35"/>
      <c r="AU93" s="27"/>
      <c r="AV93" s="27"/>
      <c r="AW93" s="35"/>
      <c r="AX93" s="35"/>
      <c r="AY93" s="35"/>
      <c r="AZ93" s="35"/>
      <c r="BA93" s="35"/>
      <c r="BB93" s="27"/>
      <c r="BC93" s="27"/>
      <c r="BD93" s="35"/>
      <c r="BE93" s="35"/>
      <c r="BF93" s="35"/>
      <c r="BG93" s="35">
        <f t="shared" si="117"/>
        <v>0</v>
      </c>
      <c r="BH93" s="35"/>
      <c r="BI93" s="27"/>
      <c r="BJ93" s="27"/>
      <c r="BK93" s="35"/>
      <c r="BL93" s="27"/>
      <c r="BM93" s="27"/>
    </row>
    <row r="94" spans="1:65" s="26" customFormat="1" ht="30" hidden="1" customHeight="1">
      <c r="A94" s="37">
        <v>3</v>
      </c>
      <c r="B94" s="36" t="s">
        <v>261</v>
      </c>
      <c r="C94" s="35">
        <f t="shared" si="121"/>
        <v>0</v>
      </c>
      <c r="D94" s="35"/>
      <c r="E94" s="27"/>
      <c r="F94" s="27"/>
      <c r="G94" s="35"/>
      <c r="H94" s="27"/>
      <c r="I94" s="27"/>
      <c r="J94" s="35">
        <f t="shared" si="115"/>
        <v>0</v>
      </c>
      <c r="K94" s="35"/>
      <c r="L94" s="27"/>
      <c r="M94" s="27"/>
      <c r="N94" s="35"/>
      <c r="O94" s="27"/>
      <c r="P94" s="27"/>
      <c r="Q94" s="35"/>
      <c r="R94" s="35"/>
      <c r="S94" s="27"/>
      <c r="T94" s="27"/>
      <c r="U94" s="35"/>
      <c r="V94" s="35"/>
      <c r="W94" s="35"/>
      <c r="X94" s="35"/>
      <c r="Y94" s="35"/>
      <c r="Z94" s="27"/>
      <c r="AA94" s="27"/>
      <c r="AB94" s="35"/>
      <c r="AC94" s="35"/>
      <c r="AD94" s="35"/>
      <c r="AE94" s="35"/>
      <c r="AF94" s="35"/>
      <c r="AG94" s="27"/>
      <c r="AH94" s="27"/>
      <c r="AI94" s="35"/>
      <c r="AJ94" s="35"/>
      <c r="AK94" s="35"/>
      <c r="AL94" s="35"/>
      <c r="AM94" s="35"/>
      <c r="AN94" s="27"/>
      <c r="AO94" s="27"/>
      <c r="AP94" s="35"/>
      <c r="AQ94" s="35"/>
      <c r="AR94" s="35"/>
      <c r="AS94" s="35"/>
      <c r="AT94" s="35"/>
      <c r="AU94" s="27"/>
      <c r="AV94" s="27"/>
      <c r="AW94" s="35"/>
      <c r="AX94" s="35"/>
      <c r="AY94" s="35"/>
      <c r="AZ94" s="35"/>
      <c r="BA94" s="35"/>
      <c r="BB94" s="27"/>
      <c r="BC94" s="27"/>
      <c r="BD94" s="35"/>
      <c r="BE94" s="35"/>
      <c r="BF94" s="35"/>
      <c r="BG94" s="35">
        <f t="shared" si="117"/>
        <v>0</v>
      </c>
      <c r="BH94" s="35"/>
      <c r="BI94" s="27"/>
      <c r="BJ94" s="27"/>
      <c r="BK94" s="35"/>
      <c r="BL94" s="27"/>
      <c r="BM94" s="27"/>
    </row>
    <row r="95" spans="1:65" s="32" customFormat="1" ht="30" hidden="1" customHeight="1">
      <c r="A95" s="34"/>
      <c r="B95" s="33" t="s">
        <v>255</v>
      </c>
      <c r="C95" s="29">
        <f t="shared" si="121"/>
        <v>0</v>
      </c>
      <c r="D95" s="29"/>
      <c r="E95" s="28"/>
      <c r="F95" s="28"/>
      <c r="G95" s="29"/>
      <c r="H95" s="28"/>
      <c r="I95" s="28"/>
      <c r="J95" s="29">
        <f t="shared" si="115"/>
        <v>0</v>
      </c>
      <c r="K95" s="29"/>
      <c r="L95" s="28"/>
      <c r="M95" s="28"/>
      <c r="N95" s="29"/>
      <c r="O95" s="28"/>
      <c r="P95" s="28"/>
      <c r="Q95" s="29"/>
      <c r="R95" s="29"/>
      <c r="S95" s="28"/>
      <c r="T95" s="28"/>
      <c r="U95" s="29"/>
      <c r="V95" s="29"/>
      <c r="W95" s="29"/>
      <c r="X95" s="29"/>
      <c r="Y95" s="29"/>
      <c r="Z95" s="28"/>
      <c r="AA95" s="28"/>
      <c r="AB95" s="29"/>
      <c r="AC95" s="29"/>
      <c r="AD95" s="29"/>
      <c r="AE95" s="29"/>
      <c r="AF95" s="29"/>
      <c r="AG95" s="28"/>
      <c r="AH95" s="28"/>
      <c r="AI95" s="29"/>
      <c r="AJ95" s="29"/>
      <c r="AK95" s="29"/>
      <c r="AL95" s="29"/>
      <c r="AM95" s="29"/>
      <c r="AN95" s="28"/>
      <c r="AO95" s="28"/>
      <c r="AP95" s="29"/>
      <c r="AQ95" s="29"/>
      <c r="AR95" s="29"/>
      <c r="AS95" s="29"/>
      <c r="AT95" s="29"/>
      <c r="AU95" s="28"/>
      <c r="AV95" s="28"/>
      <c r="AW95" s="29"/>
      <c r="AX95" s="29"/>
      <c r="AY95" s="29"/>
      <c r="AZ95" s="29"/>
      <c r="BA95" s="29"/>
      <c r="BB95" s="28"/>
      <c r="BC95" s="28"/>
      <c r="BD95" s="29"/>
      <c r="BE95" s="29"/>
      <c r="BF95" s="29"/>
      <c r="BG95" s="29">
        <f t="shared" si="117"/>
        <v>0</v>
      </c>
      <c r="BH95" s="29"/>
      <c r="BI95" s="28"/>
      <c r="BJ95" s="28"/>
      <c r="BK95" s="29"/>
      <c r="BL95" s="28"/>
      <c r="BM95" s="28"/>
    </row>
    <row r="96" spans="1:65" s="26" customFormat="1" ht="30" hidden="1" customHeight="1">
      <c r="A96" s="37">
        <v>4</v>
      </c>
      <c r="B96" s="36" t="s">
        <v>260</v>
      </c>
      <c r="C96" s="35">
        <f t="shared" si="121"/>
        <v>0</v>
      </c>
      <c r="D96" s="35"/>
      <c r="E96" s="27"/>
      <c r="F96" s="27"/>
      <c r="G96" s="35"/>
      <c r="H96" s="27"/>
      <c r="I96" s="27"/>
      <c r="J96" s="35">
        <f t="shared" si="115"/>
        <v>0</v>
      </c>
      <c r="K96" s="35"/>
      <c r="L96" s="27"/>
      <c r="M96" s="27"/>
      <c r="N96" s="35"/>
      <c r="O96" s="27"/>
      <c r="P96" s="27"/>
      <c r="Q96" s="35"/>
      <c r="R96" s="35"/>
      <c r="S96" s="27"/>
      <c r="T96" s="27"/>
      <c r="U96" s="35"/>
      <c r="V96" s="35"/>
      <c r="W96" s="35"/>
      <c r="X96" s="35"/>
      <c r="Y96" s="35"/>
      <c r="Z96" s="27"/>
      <c r="AA96" s="27"/>
      <c r="AB96" s="35"/>
      <c r="AC96" s="35"/>
      <c r="AD96" s="35"/>
      <c r="AE96" s="35"/>
      <c r="AF96" s="35"/>
      <c r="AG96" s="27"/>
      <c r="AH96" s="27"/>
      <c r="AI96" s="35"/>
      <c r="AJ96" s="35"/>
      <c r="AK96" s="35"/>
      <c r="AL96" s="35"/>
      <c r="AM96" s="35"/>
      <c r="AN96" s="27"/>
      <c r="AO96" s="27"/>
      <c r="AP96" s="35"/>
      <c r="AQ96" s="35"/>
      <c r="AR96" s="35"/>
      <c r="AS96" s="35"/>
      <c r="AT96" s="35"/>
      <c r="AU96" s="27"/>
      <c r="AV96" s="27"/>
      <c r="AW96" s="35"/>
      <c r="AX96" s="35"/>
      <c r="AY96" s="35"/>
      <c r="AZ96" s="35"/>
      <c r="BA96" s="35"/>
      <c r="BB96" s="27"/>
      <c r="BC96" s="27"/>
      <c r="BD96" s="35"/>
      <c r="BE96" s="35"/>
      <c r="BF96" s="35"/>
      <c r="BG96" s="35">
        <f t="shared" si="117"/>
        <v>0</v>
      </c>
      <c r="BH96" s="35"/>
      <c r="BI96" s="27"/>
      <c r="BJ96" s="27"/>
      <c r="BK96" s="35"/>
      <c r="BL96" s="27"/>
      <c r="BM96" s="27"/>
    </row>
    <row r="97" spans="1:65" s="32" customFormat="1" ht="30" hidden="1" customHeight="1">
      <c r="A97" s="34"/>
      <c r="B97" s="33" t="s">
        <v>255</v>
      </c>
      <c r="C97" s="29">
        <f t="shared" si="121"/>
        <v>0</v>
      </c>
      <c r="D97" s="29"/>
      <c r="E97" s="28"/>
      <c r="F97" s="28"/>
      <c r="G97" s="29"/>
      <c r="H97" s="28"/>
      <c r="I97" s="28"/>
      <c r="J97" s="29">
        <f t="shared" si="115"/>
        <v>0</v>
      </c>
      <c r="K97" s="29"/>
      <c r="L97" s="28"/>
      <c r="M97" s="28"/>
      <c r="N97" s="29"/>
      <c r="O97" s="28"/>
      <c r="P97" s="28"/>
      <c r="Q97" s="29"/>
      <c r="R97" s="29"/>
      <c r="S97" s="28"/>
      <c r="T97" s="28"/>
      <c r="U97" s="29"/>
      <c r="V97" s="29"/>
      <c r="W97" s="29"/>
      <c r="X97" s="29"/>
      <c r="Y97" s="29"/>
      <c r="Z97" s="28"/>
      <c r="AA97" s="28"/>
      <c r="AB97" s="29"/>
      <c r="AC97" s="29"/>
      <c r="AD97" s="29"/>
      <c r="AE97" s="29"/>
      <c r="AF97" s="29"/>
      <c r="AG97" s="28"/>
      <c r="AH97" s="28"/>
      <c r="AI97" s="29"/>
      <c r="AJ97" s="29"/>
      <c r="AK97" s="29"/>
      <c r="AL97" s="29"/>
      <c r="AM97" s="29"/>
      <c r="AN97" s="28"/>
      <c r="AO97" s="28"/>
      <c r="AP97" s="29"/>
      <c r="AQ97" s="29"/>
      <c r="AR97" s="29"/>
      <c r="AS97" s="29"/>
      <c r="AT97" s="29"/>
      <c r="AU97" s="28"/>
      <c r="AV97" s="28"/>
      <c r="AW97" s="29"/>
      <c r="AX97" s="29"/>
      <c r="AY97" s="29"/>
      <c r="AZ97" s="29"/>
      <c r="BA97" s="29"/>
      <c r="BB97" s="28"/>
      <c r="BC97" s="28"/>
      <c r="BD97" s="29"/>
      <c r="BE97" s="29"/>
      <c r="BF97" s="29"/>
      <c r="BG97" s="29">
        <f t="shared" si="117"/>
        <v>0</v>
      </c>
      <c r="BH97" s="29"/>
      <c r="BI97" s="28"/>
      <c r="BJ97" s="28"/>
      <c r="BK97" s="29"/>
      <c r="BL97" s="28"/>
      <c r="BM97" s="28"/>
    </row>
    <row r="98" spans="1:65" s="26" customFormat="1" ht="27" customHeight="1">
      <c r="A98" s="37">
        <v>1</v>
      </c>
      <c r="B98" s="36" t="s">
        <v>259</v>
      </c>
      <c r="C98" s="35">
        <f t="shared" si="121"/>
        <v>5376.08</v>
      </c>
      <c r="D98" s="35">
        <f>D100+D101</f>
        <v>5376.08</v>
      </c>
      <c r="E98" s="35">
        <f>E100+E101</f>
        <v>5376.08</v>
      </c>
      <c r="F98" s="27"/>
      <c r="G98" s="35"/>
      <c r="H98" s="27"/>
      <c r="I98" s="27"/>
      <c r="J98" s="35">
        <f t="shared" si="115"/>
        <v>5376.08</v>
      </c>
      <c r="K98" s="35">
        <f>K100+K101</f>
        <v>5376.08</v>
      </c>
      <c r="L98" s="35">
        <f>L100+L101</f>
        <v>5376.08</v>
      </c>
      <c r="M98" s="27"/>
      <c r="N98" s="35"/>
      <c r="O98" s="27"/>
      <c r="P98" s="27"/>
      <c r="Q98" s="35"/>
      <c r="R98" s="35"/>
      <c r="S98" s="27"/>
      <c r="T98" s="27"/>
      <c r="U98" s="35"/>
      <c r="V98" s="35"/>
      <c r="W98" s="35"/>
      <c r="X98" s="35"/>
      <c r="Y98" s="35"/>
      <c r="Z98" s="27"/>
      <c r="AA98" s="27"/>
      <c r="AB98" s="35"/>
      <c r="AC98" s="35"/>
      <c r="AD98" s="35"/>
      <c r="AE98" s="35"/>
      <c r="AF98" s="35"/>
      <c r="AG98" s="27"/>
      <c r="AH98" s="27"/>
      <c r="AI98" s="35"/>
      <c r="AJ98" s="35"/>
      <c r="AK98" s="35"/>
      <c r="AL98" s="35"/>
      <c r="AM98" s="35"/>
      <c r="AN98" s="27"/>
      <c r="AO98" s="27"/>
      <c r="AP98" s="35"/>
      <c r="AQ98" s="35"/>
      <c r="AR98" s="35"/>
      <c r="AS98" s="35"/>
      <c r="AT98" s="35"/>
      <c r="AU98" s="27"/>
      <c r="AV98" s="27"/>
      <c r="AW98" s="35"/>
      <c r="AX98" s="35"/>
      <c r="AY98" s="35"/>
      <c r="AZ98" s="35"/>
      <c r="BA98" s="35"/>
      <c r="BB98" s="27"/>
      <c r="BC98" s="27"/>
      <c r="BD98" s="35"/>
      <c r="BE98" s="35"/>
      <c r="BF98" s="35"/>
      <c r="BG98" s="35">
        <f t="shared" si="117"/>
        <v>0</v>
      </c>
      <c r="BH98" s="35"/>
      <c r="BI98" s="27"/>
      <c r="BJ98" s="27"/>
      <c r="BK98" s="35"/>
      <c r="BL98" s="27"/>
      <c r="BM98" s="27"/>
    </row>
    <row r="99" spans="1:65" s="32" customFormat="1" ht="30" hidden="1" customHeight="1">
      <c r="A99" s="34"/>
      <c r="B99" s="33" t="s">
        <v>255</v>
      </c>
      <c r="C99" s="29">
        <f t="shared" si="121"/>
        <v>0</v>
      </c>
      <c r="D99" s="29"/>
      <c r="E99" s="28"/>
      <c r="F99" s="28"/>
      <c r="G99" s="29"/>
      <c r="H99" s="28"/>
      <c r="I99" s="28"/>
      <c r="J99" s="29">
        <f t="shared" si="115"/>
        <v>0</v>
      </c>
      <c r="K99" s="29"/>
      <c r="L99" s="28"/>
      <c r="M99" s="28"/>
      <c r="N99" s="29"/>
      <c r="O99" s="28"/>
      <c r="P99" s="28"/>
      <c r="Q99" s="29"/>
      <c r="R99" s="29"/>
      <c r="S99" s="28"/>
      <c r="T99" s="28"/>
      <c r="U99" s="29"/>
      <c r="V99" s="29"/>
      <c r="W99" s="29"/>
      <c r="X99" s="29"/>
      <c r="Y99" s="29"/>
      <c r="Z99" s="28"/>
      <c r="AA99" s="28"/>
      <c r="AB99" s="29"/>
      <c r="AC99" s="29"/>
      <c r="AD99" s="29"/>
      <c r="AE99" s="29"/>
      <c r="AF99" s="29"/>
      <c r="AG99" s="28"/>
      <c r="AH99" s="28"/>
      <c r="AI99" s="29"/>
      <c r="AJ99" s="29"/>
      <c r="AK99" s="29"/>
      <c r="AL99" s="29"/>
      <c r="AM99" s="29"/>
      <c r="AN99" s="28"/>
      <c r="AO99" s="28"/>
      <c r="AP99" s="29"/>
      <c r="AQ99" s="29"/>
      <c r="AR99" s="29"/>
      <c r="AS99" s="29"/>
      <c r="AT99" s="29"/>
      <c r="AU99" s="28"/>
      <c r="AV99" s="28"/>
      <c r="AW99" s="29"/>
      <c r="AX99" s="29"/>
      <c r="AY99" s="29"/>
      <c r="AZ99" s="29"/>
      <c r="BA99" s="29"/>
      <c r="BB99" s="28"/>
      <c r="BC99" s="28"/>
      <c r="BD99" s="29"/>
      <c r="BE99" s="29"/>
      <c r="BF99" s="29"/>
      <c r="BG99" s="29">
        <f t="shared" si="117"/>
        <v>0</v>
      </c>
      <c r="BH99" s="29"/>
      <c r="BI99" s="28"/>
      <c r="BJ99" s="28"/>
      <c r="BK99" s="29"/>
      <c r="BL99" s="28"/>
      <c r="BM99" s="28"/>
    </row>
    <row r="100" spans="1:65" s="32" customFormat="1" ht="30" customHeight="1">
      <c r="A100" s="34"/>
      <c r="B100" s="33" t="s">
        <v>253</v>
      </c>
      <c r="C100" s="29">
        <f t="shared" ref="C100:I101" si="122">J100+Q100+X100+AE100+AL100+AS100+AZ100+BG100</f>
        <v>952.65999999999985</v>
      </c>
      <c r="D100" s="29">
        <f t="shared" si="122"/>
        <v>952.65999999999985</v>
      </c>
      <c r="E100" s="29">
        <f t="shared" si="122"/>
        <v>952.65999999999985</v>
      </c>
      <c r="F100" s="29">
        <f t="shared" si="122"/>
        <v>0</v>
      </c>
      <c r="G100" s="29">
        <f t="shared" si="122"/>
        <v>0</v>
      </c>
      <c r="H100" s="29">
        <f t="shared" si="122"/>
        <v>0</v>
      </c>
      <c r="I100" s="29">
        <f t="shared" si="122"/>
        <v>0</v>
      </c>
      <c r="J100" s="29">
        <f t="shared" si="115"/>
        <v>952.65999999999985</v>
      </c>
      <c r="K100" s="29">
        <v>952.65999999999985</v>
      </c>
      <c r="L100" s="28">
        <f>K100</f>
        <v>952.65999999999985</v>
      </c>
      <c r="M100" s="28"/>
      <c r="N100" s="29"/>
      <c r="O100" s="28"/>
      <c r="P100" s="28"/>
      <c r="Q100" s="29"/>
      <c r="R100" s="29"/>
      <c r="S100" s="28"/>
      <c r="T100" s="28"/>
      <c r="U100" s="29"/>
      <c r="V100" s="29"/>
      <c r="W100" s="29"/>
      <c r="X100" s="29"/>
      <c r="Y100" s="29"/>
      <c r="Z100" s="28"/>
      <c r="AA100" s="28"/>
      <c r="AB100" s="29"/>
      <c r="AC100" s="29"/>
      <c r="AD100" s="29"/>
      <c r="AE100" s="29"/>
      <c r="AF100" s="29"/>
      <c r="AG100" s="28"/>
      <c r="AH100" s="28"/>
      <c r="AI100" s="29"/>
      <c r="AJ100" s="29"/>
      <c r="AK100" s="29"/>
      <c r="AL100" s="29"/>
      <c r="AM100" s="29"/>
      <c r="AN100" s="28"/>
      <c r="AO100" s="28"/>
      <c r="AP100" s="29"/>
      <c r="AQ100" s="29"/>
      <c r="AR100" s="29"/>
      <c r="AS100" s="29"/>
      <c r="AT100" s="29"/>
      <c r="AU100" s="28"/>
      <c r="AV100" s="28"/>
      <c r="AW100" s="29"/>
      <c r="AX100" s="29"/>
      <c r="AY100" s="29"/>
      <c r="AZ100" s="29"/>
      <c r="BA100" s="29"/>
      <c r="BB100" s="28"/>
      <c r="BC100" s="28"/>
      <c r="BD100" s="29"/>
      <c r="BE100" s="29"/>
      <c r="BF100" s="29"/>
      <c r="BG100" s="29">
        <f t="shared" si="117"/>
        <v>0</v>
      </c>
      <c r="BH100" s="29"/>
      <c r="BI100" s="28"/>
      <c r="BJ100" s="28"/>
      <c r="BK100" s="29"/>
      <c r="BL100" s="28"/>
      <c r="BM100" s="28"/>
    </row>
    <row r="101" spans="1:65" s="32" customFormat="1" ht="30" customHeight="1">
      <c r="A101" s="34"/>
      <c r="B101" s="33" t="s">
        <v>258</v>
      </c>
      <c r="C101" s="29">
        <f t="shared" si="122"/>
        <v>4423.42</v>
      </c>
      <c r="D101" s="29">
        <f t="shared" si="122"/>
        <v>4423.42</v>
      </c>
      <c r="E101" s="29">
        <f t="shared" si="122"/>
        <v>4423.42</v>
      </c>
      <c r="F101" s="29">
        <f t="shared" si="122"/>
        <v>0</v>
      </c>
      <c r="G101" s="29">
        <f t="shared" si="122"/>
        <v>0</v>
      </c>
      <c r="H101" s="29">
        <f t="shared" si="122"/>
        <v>0</v>
      </c>
      <c r="I101" s="29">
        <f t="shared" si="122"/>
        <v>0</v>
      </c>
      <c r="J101" s="29">
        <f t="shared" si="115"/>
        <v>4423.42</v>
      </c>
      <c r="K101" s="29">
        <v>4423.42</v>
      </c>
      <c r="L101" s="28">
        <f>K101</f>
        <v>4423.42</v>
      </c>
      <c r="M101" s="28"/>
      <c r="N101" s="29"/>
      <c r="O101" s="28"/>
      <c r="P101" s="28"/>
      <c r="Q101" s="29"/>
      <c r="R101" s="29"/>
      <c r="S101" s="28"/>
      <c r="T101" s="28"/>
      <c r="U101" s="29"/>
      <c r="V101" s="29"/>
      <c r="W101" s="29"/>
      <c r="X101" s="29"/>
      <c r="Y101" s="29"/>
      <c r="Z101" s="28"/>
      <c r="AA101" s="28"/>
      <c r="AB101" s="29"/>
      <c r="AC101" s="29"/>
      <c r="AD101" s="29"/>
      <c r="AE101" s="29"/>
      <c r="AF101" s="29"/>
      <c r="AG101" s="28"/>
      <c r="AH101" s="28"/>
      <c r="AI101" s="29"/>
      <c r="AJ101" s="29"/>
      <c r="AK101" s="29"/>
      <c r="AL101" s="29"/>
      <c r="AM101" s="29"/>
      <c r="AN101" s="28"/>
      <c r="AO101" s="28"/>
      <c r="AP101" s="29"/>
      <c r="AQ101" s="29"/>
      <c r="AR101" s="29"/>
      <c r="AS101" s="29"/>
      <c r="AT101" s="29"/>
      <c r="AU101" s="28"/>
      <c r="AV101" s="28"/>
      <c r="AW101" s="29"/>
      <c r="AX101" s="29"/>
      <c r="AY101" s="29"/>
      <c r="AZ101" s="29"/>
      <c r="BA101" s="29"/>
      <c r="BB101" s="28"/>
      <c r="BC101" s="28"/>
      <c r="BD101" s="29"/>
      <c r="BE101" s="29"/>
      <c r="BF101" s="29"/>
      <c r="BG101" s="29">
        <f t="shared" si="117"/>
        <v>0</v>
      </c>
      <c r="BH101" s="29"/>
      <c r="BI101" s="28"/>
      <c r="BJ101" s="28"/>
      <c r="BK101" s="29"/>
      <c r="BL101" s="28"/>
      <c r="BM101" s="28"/>
    </row>
    <row r="102" spans="1:65" s="26" customFormat="1" ht="27" customHeight="1">
      <c r="A102" s="37">
        <v>2</v>
      </c>
      <c r="B102" s="36" t="s">
        <v>257</v>
      </c>
      <c r="C102" s="35">
        <f>D102+G102</f>
        <v>908.2</v>
      </c>
      <c r="D102" s="35">
        <f>SUM(D103:D106)</f>
        <v>908.2</v>
      </c>
      <c r="E102" s="35">
        <f>SUM(E103:E106)</f>
        <v>908.2</v>
      </c>
      <c r="F102" s="27"/>
      <c r="G102" s="35"/>
      <c r="H102" s="27"/>
      <c r="I102" s="27"/>
      <c r="J102" s="35">
        <f t="shared" si="115"/>
        <v>0</v>
      </c>
      <c r="K102" s="35">
        <f>SUM(K103:K106)</f>
        <v>0</v>
      </c>
      <c r="L102" s="35">
        <f>SUM(L103:L106)</f>
        <v>0</v>
      </c>
      <c r="M102" s="27"/>
      <c r="N102" s="35"/>
      <c r="O102" s="27"/>
      <c r="P102" s="27"/>
      <c r="Q102" s="35"/>
      <c r="R102" s="35"/>
      <c r="S102" s="27"/>
      <c r="T102" s="27"/>
      <c r="U102" s="35"/>
      <c r="V102" s="35"/>
      <c r="W102" s="35"/>
      <c r="X102" s="35"/>
      <c r="Y102" s="35"/>
      <c r="Z102" s="27"/>
      <c r="AA102" s="27"/>
      <c r="AB102" s="35"/>
      <c r="AC102" s="35"/>
      <c r="AD102" s="35"/>
      <c r="AE102" s="35"/>
      <c r="AF102" s="35"/>
      <c r="AG102" s="27"/>
      <c r="AH102" s="27"/>
      <c r="AI102" s="35"/>
      <c r="AJ102" s="35"/>
      <c r="AK102" s="35"/>
      <c r="AL102" s="35"/>
      <c r="AM102" s="35"/>
      <c r="AN102" s="27"/>
      <c r="AO102" s="27"/>
      <c r="AP102" s="35"/>
      <c r="AQ102" s="35"/>
      <c r="AR102" s="35"/>
      <c r="AS102" s="35"/>
      <c r="AT102" s="35"/>
      <c r="AU102" s="27"/>
      <c r="AV102" s="27"/>
      <c r="AW102" s="35"/>
      <c r="AX102" s="35"/>
      <c r="AY102" s="35"/>
      <c r="AZ102" s="35"/>
      <c r="BA102" s="35"/>
      <c r="BB102" s="27"/>
      <c r="BC102" s="27"/>
      <c r="BD102" s="35"/>
      <c r="BE102" s="35"/>
      <c r="BF102" s="35"/>
      <c r="BG102" s="35">
        <f t="shared" si="117"/>
        <v>908.2</v>
      </c>
      <c r="BH102" s="35">
        <f>SUM(BH103:BH106)</f>
        <v>908.2</v>
      </c>
      <c r="BI102" s="35">
        <f>SUM(BI103:BI106)</f>
        <v>908.2</v>
      </c>
      <c r="BJ102" s="27"/>
      <c r="BK102" s="35"/>
      <c r="BL102" s="27"/>
      <c r="BM102" s="27"/>
    </row>
    <row r="103" spans="1:65" s="32" customFormat="1" ht="25.5" customHeight="1">
      <c r="A103" s="34"/>
      <c r="B103" s="33" t="s">
        <v>256</v>
      </c>
      <c r="C103" s="29">
        <f t="shared" ref="C103:I106" si="123">J103+Q103+X103+AE103+AL103+AS103+AZ103+BG103</f>
        <v>40.103999999999999</v>
      </c>
      <c r="D103" s="29">
        <f t="shared" si="123"/>
        <v>40.103999999999999</v>
      </c>
      <c r="E103" s="29">
        <f t="shared" si="123"/>
        <v>40.103999999999999</v>
      </c>
      <c r="F103" s="29">
        <f t="shared" si="123"/>
        <v>0</v>
      </c>
      <c r="G103" s="29">
        <f t="shared" si="123"/>
        <v>0</v>
      </c>
      <c r="H103" s="29">
        <f t="shared" si="123"/>
        <v>0</v>
      </c>
      <c r="I103" s="29">
        <f t="shared" si="123"/>
        <v>0</v>
      </c>
      <c r="J103" s="29">
        <f t="shared" si="115"/>
        <v>0</v>
      </c>
      <c r="K103" s="29"/>
      <c r="L103" s="29">
        <f>K103</f>
        <v>0</v>
      </c>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c r="BG103" s="29">
        <f t="shared" si="117"/>
        <v>40.103999999999999</v>
      </c>
      <c r="BH103" s="29">
        <v>40.103999999999999</v>
      </c>
      <c r="BI103" s="29">
        <f>BH103</f>
        <v>40.103999999999999</v>
      </c>
      <c r="BJ103" s="29"/>
      <c r="BK103" s="29"/>
      <c r="BL103" s="29"/>
      <c r="BM103" s="29"/>
    </row>
    <row r="104" spans="1:65" s="32" customFormat="1" ht="26.25" customHeight="1">
      <c r="A104" s="34"/>
      <c r="B104" s="33" t="s">
        <v>255</v>
      </c>
      <c r="C104" s="29">
        <f t="shared" si="123"/>
        <v>0.35</v>
      </c>
      <c r="D104" s="29">
        <f t="shared" si="123"/>
        <v>0.35</v>
      </c>
      <c r="E104" s="29">
        <f t="shared" si="123"/>
        <v>0.35</v>
      </c>
      <c r="F104" s="29">
        <f t="shared" si="123"/>
        <v>0</v>
      </c>
      <c r="G104" s="29">
        <f t="shared" si="123"/>
        <v>0</v>
      </c>
      <c r="H104" s="29">
        <f t="shared" si="123"/>
        <v>0</v>
      </c>
      <c r="I104" s="29">
        <f t="shared" si="123"/>
        <v>0</v>
      </c>
      <c r="J104" s="29">
        <f t="shared" si="115"/>
        <v>0</v>
      </c>
      <c r="K104" s="29"/>
      <c r="L104" s="29">
        <f>K104</f>
        <v>0</v>
      </c>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c r="BG104" s="29">
        <f t="shared" si="117"/>
        <v>0.35</v>
      </c>
      <c r="BH104" s="29">
        <v>0.35</v>
      </c>
      <c r="BI104" s="29">
        <f>BH104</f>
        <v>0.35</v>
      </c>
      <c r="BJ104" s="29"/>
      <c r="BK104" s="29"/>
      <c r="BL104" s="29"/>
      <c r="BM104" s="29"/>
    </row>
    <row r="105" spans="1:65" s="32" customFormat="1" ht="26.25" customHeight="1">
      <c r="A105" s="34"/>
      <c r="B105" s="33" t="s">
        <v>254</v>
      </c>
      <c r="C105" s="29">
        <f t="shared" si="123"/>
        <v>648.65200000000004</v>
      </c>
      <c r="D105" s="29">
        <f t="shared" si="123"/>
        <v>648.65200000000004</v>
      </c>
      <c r="E105" s="29">
        <f t="shared" si="123"/>
        <v>648.65200000000004</v>
      </c>
      <c r="F105" s="29">
        <f t="shared" si="123"/>
        <v>0</v>
      </c>
      <c r="G105" s="29">
        <f t="shared" si="123"/>
        <v>0</v>
      </c>
      <c r="H105" s="29">
        <f t="shared" si="123"/>
        <v>0</v>
      </c>
      <c r="I105" s="29">
        <f t="shared" si="123"/>
        <v>0</v>
      </c>
      <c r="J105" s="29">
        <f t="shared" si="115"/>
        <v>0</v>
      </c>
      <c r="K105" s="29"/>
      <c r="L105" s="29">
        <f>K105</f>
        <v>0</v>
      </c>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c r="BG105" s="29">
        <f t="shared" si="117"/>
        <v>648.65200000000004</v>
      </c>
      <c r="BH105" s="29">
        <v>648.65200000000004</v>
      </c>
      <c r="BI105" s="29">
        <f>BH105</f>
        <v>648.65200000000004</v>
      </c>
      <c r="BJ105" s="29"/>
      <c r="BK105" s="29"/>
      <c r="BL105" s="29"/>
      <c r="BM105" s="29"/>
    </row>
    <row r="106" spans="1:65" s="26" customFormat="1" ht="26.25" customHeight="1">
      <c r="A106" s="31"/>
      <c r="B106" s="30" t="s">
        <v>253</v>
      </c>
      <c r="C106" s="29">
        <f t="shared" si="123"/>
        <v>219.09399999999999</v>
      </c>
      <c r="D106" s="29">
        <f t="shared" si="123"/>
        <v>219.09399999999999</v>
      </c>
      <c r="E106" s="29">
        <f t="shared" si="123"/>
        <v>219.09399999999999</v>
      </c>
      <c r="F106" s="29">
        <f t="shared" si="123"/>
        <v>0</v>
      </c>
      <c r="G106" s="29">
        <f t="shared" si="123"/>
        <v>0</v>
      </c>
      <c r="H106" s="29">
        <f t="shared" si="123"/>
        <v>0</v>
      </c>
      <c r="I106" s="29">
        <f t="shared" si="123"/>
        <v>0</v>
      </c>
      <c r="J106" s="28">
        <f t="shared" si="115"/>
        <v>0</v>
      </c>
      <c r="K106" s="28"/>
      <c r="L106" s="28">
        <f>K106</f>
        <v>0</v>
      </c>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8">
        <f t="shared" si="117"/>
        <v>219.09399999999999</v>
      </c>
      <c r="BH106" s="28">
        <v>219.09399999999999</v>
      </c>
      <c r="BI106" s="28">
        <f>BH106</f>
        <v>219.09399999999999</v>
      </c>
      <c r="BJ106" s="27"/>
      <c r="BK106" s="27"/>
      <c r="BL106" s="27"/>
      <c r="BM106" s="27"/>
    </row>
    <row r="107" spans="1:65" s="20" customFormat="1" ht="27.75" customHeight="1">
      <c r="A107" s="25" t="s">
        <v>139</v>
      </c>
      <c r="B107" s="24" t="s">
        <v>232</v>
      </c>
      <c r="C107" s="23">
        <f t="shared" ref="C107:I107" si="124">C108</f>
        <v>3.6</v>
      </c>
      <c r="D107" s="23">
        <f t="shared" si="124"/>
        <v>0</v>
      </c>
      <c r="E107" s="23">
        <f t="shared" si="124"/>
        <v>0</v>
      </c>
      <c r="F107" s="23">
        <f t="shared" si="124"/>
        <v>0</v>
      </c>
      <c r="G107" s="23">
        <f t="shared" si="124"/>
        <v>3.6</v>
      </c>
      <c r="H107" s="23">
        <f t="shared" si="124"/>
        <v>3.6</v>
      </c>
      <c r="I107" s="23">
        <f t="shared" si="124"/>
        <v>0</v>
      </c>
      <c r="J107" s="21"/>
      <c r="K107" s="21"/>
      <c r="L107" s="21"/>
      <c r="M107" s="21"/>
      <c r="N107" s="21"/>
      <c r="O107" s="21"/>
      <c r="P107" s="21"/>
      <c r="Q107" s="22">
        <f>U107</f>
        <v>3.6</v>
      </c>
      <c r="R107" s="22"/>
      <c r="S107" s="21"/>
      <c r="T107" s="21"/>
      <c r="U107" s="22">
        <f>U108</f>
        <v>3.6</v>
      </c>
      <c r="V107" s="22">
        <f>V108</f>
        <v>3.6</v>
      </c>
      <c r="W107" s="22"/>
      <c r="X107" s="22"/>
      <c r="Y107" s="22"/>
      <c r="Z107" s="21"/>
      <c r="AA107" s="21"/>
      <c r="AB107" s="22"/>
      <c r="AC107" s="22"/>
      <c r="AD107" s="22"/>
      <c r="AE107" s="22"/>
      <c r="AF107" s="22"/>
      <c r="AG107" s="21"/>
      <c r="AH107" s="21"/>
      <c r="AI107" s="22"/>
      <c r="AJ107" s="22"/>
      <c r="AK107" s="22"/>
      <c r="AL107" s="22"/>
      <c r="AM107" s="22"/>
      <c r="AN107" s="21"/>
      <c r="AO107" s="21"/>
      <c r="AP107" s="22"/>
      <c r="AQ107" s="22"/>
      <c r="AR107" s="22"/>
      <c r="AS107" s="22"/>
      <c r="AT107" s="22"/>
      <c r="AU107" s="21"/>
      <c r="AV107" s="21"/>
      <c r="AW107" s="22"/>
      <c r="AX107" s="22"/>
      <c r="AY107" s="22"/>
      <c r="AZ107" s="22"/>
      <c r="BA107" s="22"/>
      <c r="BB107" s="21"/>
      <c r="BC107" s="21"/>
      <c r="BD107" s="22"/>
      <c r="BE107" s="22"/>
      <c r="BF107" s="22"/>
      <c r="BG107" s="21"/>
      <c r="BH107" s="21"/>
      <c r="BI107" s="21"/>
      <c r="BJ107" s="21"/>
      <c r="BK107" s="21"/>
      <c r="BL107" s="21"/>
      <c r="BM107" s="21"/>
    </row>
    <row r="108" spans="1:65" ht="24" customHeight="1">
      <c r="A108" s="19">
        <v>1</v>
      </c>
      <c r="B108" s="18" t="s">
        <v>252</v>
      </c>
      <c r="C108" s="17">
        <f t="shared" ref="C108:I108" si="125">J108+Q108+X108+AE108+AL108+AS108+AZ108+BG108</f>
        <v>3.6</v>
      </c>
      <c r="D108" s="17">
        <f t="shared" si="125"/>
        <v>0</v>
      </c>
      <c r="E108" s="17">
        <f t="shared" si="125"/>
        <v>0</v>
      </c>
      <c r="F108" s="17">
        <f t="shared" si="125"/>
        <v>0</v>
      </c>
      <c r="G108" s="17">
        <f t="shared" si="125"/>
        <v>3.6</v>
      </c>
      <c r="H108" s="17">
        <f t="shared" si="125"/>
        <v>3.6</v>
      </c>
      <c r="I108" s="17">
        <f t="shared" si="125"/>
        <v>0</v>
      </c>
      <c r="J108" s="14"/>
      <c r="K108" s="14"/>
      <c r="L108" s="14"/>
      <c r="M108" s="14"/>
      <c r="N108" s="14"/>
      <c r="O108" s="14"/>
      <c r="P108" s="14"/>
      <c r="Q108" s="16">
        <f>U108</f>
        <v>3.6</v>
      </c>
      <c r="R108" s="15"/>
      <c r="S108" s="14"/>
      <c r="T108" s="14"/>
      <c r="U108" s="16">
        <v>3.6</v>
      </c>
      <c r="V108" s="16">
        <f>U108</f>
        <v>3.6</v>
      </c>
      <c r="W108" s="15"/>
      <c r="X108" s="15"/>
      <c r="Y108" s="15"/>
      <c r="Z108" s="14"/>
      <c r="AA108" s="14"/>
      <c r="AB108" s="15"/>
      <c r="AC108" s="15"/>
      <c r="AD108" s="15"/>
      <c r="AE108" s="15"/>
      <c r="AF108" s="15"/>
      <c r="AG108" s="14"/>
      <c r="AH108" s="14"/>
      <c r="AI108" s="15"/>
      <c r="AJ108" s="15"/>
      <c r="AK108" s="15"/>
      <c r="AL108" s="15"/>
      <c r="AM108" s="15"/>
      <c r="AN108" s="14"/>
      <c r="AO108" s="14"/>
      <c r="AP108" s="15"/>
      <c r="AQ108" s="15"/>
      <c r="AR108" s="15"/>
      <c r="AS108" s="15"/>
      <c r="AT108" s="15"/>
      <c r="AU108" s="14"/>
      <c r="AV108" s="14"/>
      <c r="AW108" s="15"/>
      <c r="AX108" s="15"/>
      <c r="AY108" s="15"/>
      <c r="AZ108" s="15"/>
      <c r="BA108" s="15"/>
      <c r="BB108" s="14"/>
      <c r="BC108" s="14"/>
      <c r="BD108" s="15"/>
      <c r="BE108" s="15"/>
      <c r="BF108" s="15"/>
      <c r="BG108" s="14"/>
      <c r="BH108" s="14"/>
      <c r="BI108" s="14"/>
      <c r="BJ108" s="14"/>
      <c r="BK108" s="14"/>
      <c r="BL108" s="14"/>
      <c r="BM108" s="14"/>
    </row>
  </sheetData>
  <autoFilter ref="A8:BM106"/>
  <mergeCells count="66">
    <mergeCell ref="J5:P5"/>
    <mergeCell ref="J6:J8"/>
    <mergeCell ref="K6:P6"/>
    <mergeCell ref="K7:K8"/>
    <mergeCell ref="L7:M7"/>
    <mergeCell ref="N7:N8"/>
    <mergeCell ref="O7:P7"/>
    <mergeCell ref="X5:AD5"/>
    <mergeCell ref="X6:X8"/>
    <mergeCell ref="Y6:AD6"/>
    <mergeCell ref="Y7:Y8"/>
    <mergeCell ref="Z7:AA7"/>
    <mergeCell ref="AB7:AB8"/>
    <mergeCell ref="AC7:AD7"/>
    <mergeCell ref="BA6:BF6"/>
    <mergeCell ref="BG6:BG8"/>
    <mergeCell ref="BH6:BM6"/>
    <mergeCell ref="BA7:BA8"/>
    <mergeCell ref="BE7:BF7"/>
    <mergeCell ref="BH7:BH8"/>
    <mergeCell ref="BI7:BJ7"/>
    <mergeCell ref="BK7:BK8"/>
    <mergeCell ref="A3:BF3"/>
    <mergeCell ref="A5:A8"/>
    <mergeCell ref="B5:B8"/>
    <mergeCell ref="AZ5:BF5"/>
    <mergeCell ref="BG5:BM5"/>
    <mergeCell ref="AZ6:AZ8"/>
    <mergeCell ref="BL7:BM7"/>
    <mergeCell ref="AS5:AY5"/>
    <mergeCell ref="AS6:AS8"/>
    <mergeCell ref="AT6:AY6"/>
    <mergeCell ref="AT7:AT8"/>
    <mergeCell ref="AU7:AV7"/>
    <mergeCell ref="AW7:AW8"/>
    <mergeCell ref="AX7:AY7"/>
    <mergeCell ref="BB7:BC7"/>
    <mergeCell ref="BD7:BD8"/>
    <mergeCell ref="AL5:AR5"/>
    <mergeCell ref="AL6:AL8"/>
    <mergeCell ref="AM6:AR6"/>
    <mergeCell ref="AM7:AM8"/>
    <mergeCell ref="AN7:AO7"/>
    <mergeCell ref="AP7:AP8"/>
    <mergeCell ref="AQ7:AR7"/>
    <mergeCell ref="AE5:AK5"/>
    <mergeCell ref="AE6:AE8"/>
    <mergeCell ref="AF6:AK6"/>
    <mergeCell ref="AF7:AF8"/>
    <mergeCell ref="AG7:AH7"/>
    <mergeCell ref="AI7:AI8"/>
    <mergeCell ref="AJ7:AK7"/>
    <mergeCell ref="Q5:W5"/>
    <mergeCell ref="Q6:Q8"/>
    <mergeCell ref="R6:W6"/>
    <mergeCell ref="R7:R8"/>
    <mergeCell ref="S7:T7"/>
    <mergeCell ref="U7:U8"/>
    <mergeCell ref="V7:W7"/>
    <mergeCell ref="C5:I5"/>
    <mergeCell ref="C6:C8"/>
    <mergeCell ref="D6:I6"/>
    <mergeCell ref="D7:D8"/>
    <mergeCell ref="E7:F7"/>
    <mergeCell ref="G7:G8"/>
    <mergeCell ref="H7:I7"/>
  </mergeCells>
  <pageMargins left="0.2" right="0.2" top="0.43" bottom="0.33" header="0.26" footer="0.22"/>
  <pageSetup paperSize="9" orientation="portrait"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DM595"/>
  <sheetViews>
    <sheetView topLeftCell="BG1" zoomScaleNormal="100" workbookViewId="0">
      <selection activeCell="DO349" sqref="DO349"/>
    </sheetView>
  </sheetViews>
  <sheetFormatPr defaultRowHeight="8.25"/>
  <cols>
    <col min="1" max="1" width="3" style="841" customWidth="1"/>
    <col min="2" max="2" width="0.140625" style="841" customWidth="1"/>
    <col min="3" max="3" width="10.140625" style="838" customWidth="1"/>
    <col min="4" max="4" width="3.28515625" style="838" customWidth="1"/>
    <col min="5" max="5" width="1.42578125" style="838" hidden="1" customWidth="1"/>
    <col min="6" max="6" width="3.42578125" style="839" customWidth="1"/>
    <col min="7" max="7" width="6.140625" style="838" customWidth="1"/>
    <col min="8" max="8" width="5.7109375" style="838" customWidth="1"/>
    <col min="9" max="9" width="3.5703125" style="838" customWidth="1"/>
    <col min="10" max="10" width="5.140625" style="838" customWidth="1"/>
    <col min="11" max="11" width="3.7109375" style="838" customWidth="1"/>
    <col min="12" max="12" width="4.28515625" style="838" customWidth="1"/>
    <col min="13" max="13" width="3.28515625" style="838" customWidth="1"/>
    <col min="14" max="14" width="4.140625" style="838" customWidth="1"/>
    <col min="15" max="15" width="3.5703125" style="838" customWidth="1"/>
    <col min="16" max="17" width="3.85546875" style="838" customWidth="1"/>
    <col min="18" max="18" width="5.28515625" style="838" customWidth="1"/>
    <col min="19" max="19" width="4.42578125" style="838" customWidth="1"/>
    <col min="20" max="20" width="5" style="838" customWidth="1"/>
    <col min="21" max="21" width="5.140625" style="838" customWidth="1"/>
    <col min="22" max="22" width="3.85546875" style="838" customWidth="1"/>
    <col min="23" max="23" width="4.140625" style="838" customWidth="1"/>
    <col min="24" max="24" width="3.7109375" style="838" customWidth="1"/>
    <col min="25" max="25" width="3.140625" style="838" customWidth="1"/>
    <col min="26" max="26" width="3.5703125" style="838" customWidth="1"/>
    <col min="27" max="27" width="3.85546875" style="838" customWidth="1"/>
    <col min="28" max="28" width="2.42578125" style="838" customWidth="1"/>
    <col min="29" max="29" width="4.140625" style="838" customWidth="1"/>
    <col min="30" max="30" width="2.5703125" style="838" customWidth="1"/>
    <col min="31" max="31" width="3.140625" style="838" customWidth="1"/>
    <col min="32" max="32" width="3.5703125" style="838" customWidth="1"/>
    <col min="33" max="33" width="2.140625" style="838" customWidth="1"/>
    <col min="34" max="34" width="4.140625" style="838" customWidth="1"/>
    <col min="35" max="35" width="5.140625" style="838" customWidth="1"/>
    <col min="36" max="36" width="5" style="838" customWidth="1"/>
    <col min="37" max="37" width="3.85546875" style="838" customWidth="1"/>
    <col min="38" max="38" width="4.28515625" style="838" customWidth="1"/>
    <col min="39" max="39" width="3.7109375" style="838" customWidth="1"/>
    <col min="40" max="40" width="3.140625" style="838" customWidth="1"/>
    <col min="41" max="41" width="3.7109375" style="838" customWidth="1"/>
    <col min="42" max="42" width="3.85546875" style="838" customWidth="1"/>
    <col min="43" max="43" width="3.140625" style="838" customWidth="1"/>
    <col min="44" max="44" width="4.42578125" style="838" customWidth="1"/>
    <col min="45" max="46" width="3.7109375" style="838" customWidth="1"/>
    <col min="47" max="47" width="2.5703125" style="838" customWidth="1"/>
    <col min="48" max="48" width="3.5703125" style="838" customWidth="1"/>
    <col min="49" max="49" width="3.85546875" style="838" customWidth="1"/>
    <col min="50" max="50" width="4.28515625" style="838" customWidth="1"/>
    <col min="51" max="51" width="4.42578125" style="838" customWidth="1"/>
    <col min="52" max="52" width="4.140625" style="838" customWidth="1"/>
    <col min="53" max="53" width="2.7109375" style="838" customWidth="1"/>
    <col min="54" max="54" width="1.85546875" style="838" customWidth="1"/>
    <col min="55" max="55" width="4.140625" style="838" customWidth="1"/>
    <col min="56" max="56" width="3.7109375" style="838" customWidth="1"/>
    <col min="57" max="57" width="1.85546875" style="838" customWidth="1"/>
    <col min="58" max="59" width="4.140625" style="838" customWidth="1"/>
    <col min="60" max="60" width="2.5703125" style="838" customWidth="1"/>
    <col min="61" max="61" width="2.85546875" style="838" customWidth="1"/>
    <col min="62" max="62" width="3.42578125" style="838" customWidth="1"/>
    <col min="63" max="63" width="4.7109375" style="838" customWidth="1"/>
    <col min="64" max="64" width="2.140625" style="838" customWidth="1"/>
    <col min="65" max="65" width="3.7109375" style="838" customWidth="1"/>
    <col min="66" max="66" width="4.140625" style="838" customWidth="1"/>
    <col min="67" max="67" width="4.28515625" style="838" customWidth="1"/>
    <col min="68" max="68" width="3.7109375" style="838" customWidth="1"/>
    <col min="69" max="69" width="4.140625" style="838" customWidth="1"/>
    <col min="70" max="70" width="3" style="838" customWidth="1"/>
    <col min="71" max="71" width="4.42578125" style="838" customWidth="1"/>
    <col min="72" max="72" width="3.5703125" style="838" customWidth="1"/>
    <col min="73" max="73" width="3" style="838" customWidth="1"/>
    <col min="74" max="74" width="3.140625" style="838" customWidth="1"/>
    <col min="75" max="75" width="3" style="838" customWidth="1"/>
    <col min="76" max="76" width="4.140625" style="838" customWidth="1"/>
    <col min="77" max="77" width="3.42578125" style="838" customWidth="1"/>
    <col min="78" max="78" width="3.28515625" style="838" customWidth="1"/>
    <col min="79" max="79" width="4.140625" style="838" customWidth="1"/>
    <col min="80" max="80" width="3.7109375" style="838" customWidth="1"/>
    <col min="81" max="82" width="3.42578125" style="838" customWidth="1"/>
    <col min="83" max="83" width="4.140625" style="838" customWidth="1"/>
    <col min="84" max="85" width="3.42578125" style="838" customWidth="1"/>
    <col min="86" max="86" width="5.28515625" style="838" customWidth="1"/>
    <col min="87" max="87" width="3.5703125" style="838" customWidth="1"/>
    <col min="88" max="88" width="3.140625" style="838" customWidth="1"/>
    <col min="89" max="90" width="3.42578125" style="838" customWidth="1"/>
    <col min="91" max="91" width="4.85546875" style="838" customWidth="1"/>
    <col min="92" max="92" width="4" style="838" customWidth="1"/>
    <col min="93" max="93" width="3.42578125" style="838" customWidth="1"/>
    <col min="94" max="95" width="2.85546875" style="838" customWidth="1"/>
    <col min="96" max="96" width="3.5703125" style="838" customWidth="1"/>
    <col min="97" max="97" width="3.28515625" style="838" customWidth="1"/>
    <col min="98" max="98" width="3.85546875" style="838" customWidth="1"/>
    <col min="99" max="99" width="3.7109375" style="838" customWidth="1"/>
    <col min="100" max="100" width="3.85546875" style="838" customWidth="1"/>
    <col min="101" max="101" width="3.140625" style="838" customWidth="1"/>
    <col min="102" max="102" width="8.85546875" style="838" hidden="1" customWidth="1"/>
    <col min="103" max="116" width="8.7109375" style="838" hidden="1" customWidth="1"/>
    <col min="117" max="117" width="2.28515625" style="838" customWidth="1"/>
    <col min="118" max="271" width="9.140625" style="838"/>
    <col min="272" max="272" width="6.85546875" style="838" customWidth="1"/>
    <col min="273" max="273" width="33.85546875" style="838" customWidth="1"/>
    <col min="274" max="527" width="9.140625" style="838"/>
    <col min="528" max="528" width="6.85546875" style="838" customWidth="1"/>
    <col min="529" max="529" width="33.85546875" style="838" customWidth="1"/>
    <col min="530" max="783" width="9.140625" style="838"/>
    <col min="784" max="784" width="6.85546875" style="838" customWidth="1"/>
    <col min="785" max="785" width="33.85546875" style="838" customWidth="1"/>
    <col min="786" max="1039" width="9.140625" style="838"/>
    <col min="1040" max="1040" width="6.85546875" style="838" customWidth="1"/>
    <col min="1041" max="1041" width="33.85546875" style="838" customWidth="1"/>
    <col min="1042" max="1295" width="9.140625" style="838"/>
    <col min="1296" max="1296" width="6.85546875" style="838" customWidth="1"/>
    <col min="1297" max="1297" width="33.85546875" style="838" customWidth="1"/>
    <col min="1298" max="1551" width="9.140625" style="838"/>
    <col min="1552" max="1552" width="6.85546875" style="838" customWidth="1"/>
    <col min="1553" max="1553" width="33.85546875" style="838" customWidth="1"/>
    <col min="1554" max="1807" width="9.140625" style="838"/>
    <col min="1808" max="1808" width="6.85546875" style="838" customWidth="1"/>
    <col min="1809" max="1809" width="33.85546875" style="838" customWidth="1"/>
    <col min="1810" max="2063" width="9.140625" style="838"/>
    <col min="2064" max="2064" width="6.85546875" style="838" customWidth="1"/>
    <col min="2065" max="2065" width="33.85546875" style="838" customWidth="1"/>
    <col min="2066" max="2319" width="9.140625" style="838"/>
    <col min="2320" max="2320" width="6.85546875" style="838" customWidth="1"/>
    <col min="2321" max="2321" width="33.85546875" style="838" customWidth="1"/>
    <col min="2322" max="2575" width="9.140625" style="838"/>
    <col min="2576" max="2576" width="6.85546875" style="838" customWidth="1"/>
    <col min="2577" max="2577" width="33.85546875" style="838" customWidth="1"/>
    <col min="2578" max="2831" width="9.140625" style="838"/>
    <col min="2832" max="2832" width="6.85546875" style="838" customWidth="1"/>
    <col min="2833" max="2833" width="33.85546875" style="838" customWidth="1"/>
    <col min="2834" max="3087" width="9.140625" style="838"/>
    <col min="3088" max="3088" width="6.85546875" style="838" customWidth="1"/>
    <col min="3089" max="3089" width="33.85546875" style="838" customWidth="1"/>
    <col min="3090" max="3343" width="9.140625" style="838"/>
    <col min="3344" max="3344" width="6.85546875" style="838" customWidth="1"/>
    <col min="3345" max="3345" width="33.85546875" style="838" customWidth="1"/>
    <col min="3346" max="3599" width="9.140625" style="838"/>
    <col min="3600" max="3600" width="6.85546875" style="838" customWidth="1"/>
    <col min="3601" max="3601" width="33.85546875" style="838" customWidth="1"/>
    <col min="3602" max="3855" width="9.140625" style="838"/>
    <col min="3856" max="3856" width="6.85546875" style="838" customWidth="1"/>
    <col min="3857" max="3857" width="33.85546875" style="838" customWidth="1"/>
    <col min="3858" max="4111" width="9.140625" style="838"/>
    <col min="4112" max="4112" width="6.85546875" style="838" customWidth="1"/>
    <col min="4113" max="4113" width="33.85546875" style="838" customWidth="1"/>
    <col min="4114" max="4367" width="9.140625" style="838"/>
    <col min="4368" max="4368" width="6.85546875" style="838" customWidth="1"/>
    <col min="4369" max="4369" width="33.85546875" style="838" customWidth="1"/>
    <col min="4370" max="4623" width="9.140625" style="838"/>
    <col min="4624" max="4624" width="6.85546875" style="838" customWidth="1"/>
    <col min="4625" max="4625" width="33.85546875" style="838" customWidth="1"/>
    <col min="4626" max="4879" width="9.140625" style="838"/>
    <col min="4880" max="4880" width="6.85546875" style="838" customWidth="1"/>
    <col min="4881" max="4881" width="33.85546875" style="838" customWidth="1"/>
    <col min="4882" max="5135" width="9.140625" style="838"/>
    <col min="5136" max="5136" width="6.85546875" style="838" customWidth="1"/>
    <col min="5137" max="5137" width="33.85546875" style="838" customWidth="1"/>
    <col min="5138" max="5391" width="9.140625" style="838"/>
    <col min="5392" max="5392" width="6.85546875" style="838" customWidth="1"/>
    <col min="5393" max="5393" width="33.85546875" style="838" customWidth="1"/>
    <col min="5394" max="5647" width="9.140625" style="838"/>
    <col min="5648" max="5648" width="6.85546875" style="838" customWidth="1"/>
    <col min="5649" max="5649" width="33.85546875" style="838" customWidth="1"/>
    <col min="5650" max="5903" width="9.140625" style="838"/>
    <col min="5904" max="5904" width="6.85546875" style="838" customWidth="1"/>
    <col min="5905" max="5905" width="33.85546875" style="838" customWidth="1"/>
    <col min="5906" max="6159" width="9.140625" style="838"/>
    <col min="6160" max="6160" width="6.85546875" style="838" customWidth="1"/>
    <col min="6161" max="6161" width="33.85546875" style="838" customWidth="1"/>
    <col min="6162" max="6415" width="9.140625" style="838"/>
    <col min="6416" max="6416" width="6.85546875" style="838" customWidth="1"/>
    <col min="6417" max="6417" width="33.85546875" style="838" customWidth="1"/>
    <col min="6418" max="6671" width="9.140625" style="838"/>
    <col min="6672" max="6672" width="6.85546875" style="838" customWidth="1"/>
    <col min="6673" max="6673" width="33.85546875" style="838" customWidth="1"/>
    <col min="6674" max="6927" width="9.140625" style="838"/>
    <col min="6928" max="6928" width="6.85546875" style="838" customWidth="1"/>
    <col min="6929" max="6929" width="33.85546875" style="838" customWidth="1"/>
    <col min="6930" max="7183" width="9.140625" style="838"/>
    <col min="7184" max="7184" width="6.85546875" style="838" customWidth="1"/>
    <col min="7185" max="7185" width="33.85546875" style="838" customWidth="1"/>
    <col min="7186" max="7439" width="9.140625" style="838"/>
    <col min="7440" max="7440" width="6.85546875" style="838" customWidth="1"/>
    <col min="7441" max="7441" width="33.85546875" style="838" customWidth="1"/>
    <col min="7442" max="7695" width="9.140625" style="838"/>
    <col min="7696" max="7696" width="6.85546875" style="838" customWidth="1"/>
    <col min="7697" max="7697" width="33.85546875" style="838" customWidth="1"/>
    <col min="7698" max="7951" width="9.140625" style="838"/>
    <col min="7952" max="7952" width="6.85546875" style="838" customWidth="1"/>
    <col min="7953" max="7953" width="33.85546875" style="838" customWidth="1"/>
    <col min="7954" max="8207" width="9.140625" style="838"/>
    <col min="8208" max="8208" width="6.85546875" style="838" customWidth="1"/>
    <col min="8209" max="8209" width="33.85546875" style="838" customWidth="1"/>
    <col min="8210" max="8463" width="9.140625" style="838"/>
    <col min="8464" max="8464" width="6.85546875" style="838" customWidth="1"/>
    <col min="8465" max="8465" width="33.85546875" style="838" customWidth="1"/>
    <col min="8466" max="8719" width="9.140625" style="838"/>
    <col min="8720" max="8720" width="6.85546875" style="838" customWidth="1"/>
    <col min="8721" max="8721" width="33.85546875" style="838" customWidth="1"/>
    <col min="8722" max="8975" width="9.140625" style="838"/>
    <col min="8976" max="8976" width="6.85546875" style="838" customWidth="1"/>
    <col min="8977" max="8977" width="33.85546875" style="838" customWidth="1"/>
    <col min="8978" max="9231" width="9.140625" style="838"/>
    <col min="9232" max="9232" width="6.85546875" style="838" customWidth="1"/>
    <col min="9233" max="9233" width="33.85546875" style="838" customWidth="1"/>
    <col min="9234" max="9487" width="9.140625" style="838"/>
    <col min="9488" max="9488" width="6.85546875" style="838" customWidth="1"/>
    <col min="9489" max="9489" width="33.85546875" style="838" customWidth="1"/>
    <col min="9490" max="9743" width="9.140625" style="838"/>
    <col min="9744" max="9744" width="6.85546875" style="838" customWidth="1"/>
    <col min="9745" max="9745" width="33.85546875" style="838" customWidth="1"/>
    <col min="9746" max="9999" width="9.140625" style="838"/>
    <col min="10000" max="10000" width="6.85546875" style="838" customWidth="1"/>
    <col min="10001" max="10001" width="33.85546875" style="838" customWidth="1"/>
    <col min="10002" max="10255" width="9.140625" style="838"/>
    <col min="10256" max="10256" width="6.85546875" style="838" customWidth="1"/>
    <col min="10257" max="10257" width="33.85546875" style="838" customWidth="1"/>
    <col min="10258" max="10511" width="9.140625" style="838"/>
    <col min="10512" max="10512" width="6.85546875" style="838" customWidth="1"/>
    <col min="10513" max="10513" width="33.85546875" style="838" customWidth="1"/>
    <col min="10514" max="10767" width="9.140625" style="838"/>
    <col min="10768" max="10768" width="6.85546875" style="838" customWidth="1"/>
    <col min="10769" max="10769" width="33.85546875" style="838" customWidth="1"/>
    <col min="10770" max="11023" width="9.140625" style="838"/>
    <col min="11024" max="11024" width="6.85546875" style="838" customWidth="1"/>
    <col min="11025" max="11025" width="33.85546875" style="838" customWidth="1"/>
    <col min="11026" max="11279" width="9.140625" style="838"/>
    <col min="11280" max="11280" width="6.85546875" style="838" customWidth="1"/>
    <col min="11281" max="11281" width="33.85546875" style="838" customWidth="1"/>
    <col min="11282" max="11535" width="9.140625" style="838"/>
    <col min="11536" max="11536" width="6.85546875" style="838" customWidth="1"/>
    <col min="11537" max="11537" width="33.85546875" style="838" customWidth="1"/>
    <col min="11538" max="11791" width="9.140625" style="838"/>
    <col min="11792" max="11792" width="6.85546875" style="838" customWidth="1"/>
    <col min="11793" max="11793" width="33.85546875" style="838" customWidth="1"/>
    <col min="11794" max="12047" width="9.140625" style="838"/>
    <col min="12048" max="12048" width="6.85546875" style="838" customWidth="1"/>
    <col min="12049" max="12049" width="33.85546875" style="838" customWidth="1"/>
    <col min="12050" max="12303" width="9.140625" style="838"/>
    <col min="12304" max="12304" width="6.85546875" style="838" customWidth="1"/>
    <col min="12305" max="12305" width="33.85546875" style="838" customWidth="1"/>
    <col min="12306" max="12559" width="9.140625" style="838"/>
    <col min="12560" max="12560" width="6.85546875" style="838" customWidth="1"/>
    <col min="12561" max="12561" width="33.85546875" style="838" customWidth="1"/>
    <col min="12562" max="12815" width="9.140625" style="838"/>
    <col min="12816" max="12816" width="6.85546875" style="838" customWidth="1"/>
    <col min="12817" max="12817" width="33.85546875" style="838" customWidth="1"/>
    <col min="12818" max="13071" width="9.140625" style="838"/>
    <col min="13072" max="13072" width="6.85546875" style="838" customWidth="1"/>
    <col min="13073" max="13073" width="33.85546875" style="838" customWidth="1"/>
    <col min="13074" max="13327" width="9.140625" style="838"/>
    <col min="13328" max="13328" width="6.85546875" style="838" customWidth="1"/>
    <col min="13329" max="13329" width="33.85546875" style="838" customWidth="1"/>
    <col min="13330" max="13583" width="9.140625" style="838"/>
    <col min="13584" max="13584" width="6.85546875" style="838" customWidth="1"/>
    <col min="13585" max="13585" width="33.85546875" style="838" customWidth="1"/>
    <col min="13586" max="13839" width="9.140625" style="838"/>
    <col min="13840" max="13840" width="6.85546875" style="838" customWidth="1"/>
    <col min="13841" max="13841" width="33.85546875" style="838" customWidth="1"/>
    <col min="13842" max="14095" width="9.140625" style="838"/>
    <col min="14096" max="14096" width="6.85546875" style="838" customWidth="1"/>
    <col min="14097" max="14097" width="33.85546875" style="838" customWidth="1"/>
    <col min="14098" max="14351" width="9.140625" style="838"/>
    <col min="14352" max="14352" width="6.85546875" style="838" customWidth="1"/>
    <col min="14353" max="14353" width="33.85546875" style="838" customWidth="1"/>
    <col min="14354" max="14607" width="9.140625" style="838"/>
    <col min="14608" max="14608" width="6.85546875" style="838" customWidth="1"/>
    <col min="14609" max="14609" width="33.85546875" style="838" customWidth="1"/>
    <col min="14610" max="14863" width="9.140625" style="838"/>
    <col min="14864" max="14864" width="6.85546875" style="838" customWidth="1"/>
    <col min="14865" max="14865" width="33.85546875" style="838" customWidth="1"/>
    <col min="14866" max="15119" width="9.140625" style="838"/>
    <col min="15120" max="15120" width="6.85546875" style="838" customWidth="1"/>
    <col min="15121" max="15121" width="33.85546875" style="838" customWidth="1"/>
    <col min="15122" max="15375" width="9.140625" style="838"/>
    <col min="15376" max="15376" width="6.85546875" style="838" customWidth="1"/>
    <col min="15377" max="15377" width="33.85546875" style="838" customWidth="1"/>
    <col min="15378" max="15631" width="9.140625" style="838"/>
    <col min="15632" max="15632" width="6.85546875" style="838" customWidth="1"/>
    <col min="15633" max="15633" width="33.85546875" style="838" customWidth="1"/>
    <col min="15634" max="15887" width="9.140625" style="838"/>
    <col min="15888" max="15888" width="6.85546875" style="838" customWidth="1"/>
    <col min="15889" max="15889" width="33.85546875" style="838" customWidth="1"/>
    <col min="15890" max="16143" width="9.140625" style="838"/>
    <col min="16144" max="16144" width="6.85546875" style="838" customWidth="1"/>
    <col min="16145" max="16145" width="33.85546875" style="838" customWidth="1"/>
    <col min="16146" max="16365" width="9.140625" style="838"/>
    <col min="16366" max="16384" width="8.85546875" style="838" customWidth="1"/>
  </cols>
  <sheetData>
    <row r="1" spans="1:112" ht="17.25" customHeight="1">
      <c r="A1" s="1818" t="s">
        <v>221</v>
      </c>
      <c r="B1" s="1818"/>
      <c r="C1" s="1818"/>
      <c r="D1" s="1818"/>
      <c r="E1" s="1818"/>
      <c r="F1" s="1818"/>
      <c r="G1" s="1818"/>
      <c r="CI1" s="840"/>
      <c r="CQ1" s="1815" t="s">
        <v>2055</v>
      </c>
      <c r="CR1" s="1815"/>
      <c r="CS1" s="1815"/>
      <c r="CT1" s="1815"/>
      <c r="CU1" s="1815"/>
      <c r="CV1" s="1815"/>
      <c r="CW1" s="1815"/>
    </row>
    <row r="2" spans="1:112" ht="18" customHeight="1">
      <c r="A2" s="1817" t="s">
        <v>227</v>
      </c>
      <c r="B2" s="1817"/>
      <c r="C2" s="1817"/>
      <c r="D2" s="1817"/>
      <c r="E2" s="1817"/>
      <c r="F2" s="1817"/>
      <c r="G2" s="1817"/>
      <c r="H2" s="1817"/>
      <c r="I2" s="1817"/>
      <c r="J2" s="1817"/>
      <c r="K2" s="1817"/>
      <c r="L2" s="1817"/>
      <c r="M2" s="1817"/>
      <c r="N2" s="1817"/>
      <c r="O2" s="1817"/>
      <c r="P2" s="1817"/>
      <c r="Q2" s="1817"/>
      <c r="R2" s="1817"/>
      <c r="S2" s="1817"/>
      <c r="T2" s="1817"/>
      <c r="U2" s="1817"/>
      <c r="V2" s="1817"/>
      <c r="W2" s="1817"/>
      <c r="X2" s="1817"/>
      <c r="Y2" s="1817"/>
      <c r="Z2" s="1817"/>
      <c r="AA2" s="1817"/>
      <c r="AB2" s="1817"/>
      <c r="AC2" s="1817"/>
      <c r="AD2" s="1817"/>
      <c r="AE2" s="1817"/>
      <c r="AF2" s="1817"/>
      <c r="AG2" s="1817"/>
      <c r="AH2" s="1817"/>
      <c r="AI2" s="1817"/>
      <c r="AJ2" s="1817"/>
      <c r="AK2" s="1817"/>
      <c r="AL2" s="1817"/>
      <c r="AM2" s="1817"/>
      <c r="AN2" s="1817"/>
      <c r="AO2" s="1817"/>
      <c r="AP2" s="1817"/>
      <c r="AQ2" s="1817"/>
      <c r="AR2" s="1817"/>
      <c r="AS2" s="1817"/>
      <c r="AT2" s="1817"/>
      <c r="AU2" s="1817"/>
      <c r="AV2" s="1817"/>
      <c r="AW2" s="1817"/>
      <c r="AX2" s="1817"/>
      <c r="AY2" s="1817"/>
      <c r="AZ2" s="1817"/>
      <c r="BA2" s="1817"/>
      <c r="BB2" s="1817"/>
      <c r="BC2" s="1817"/>
      <c r="BD2" s="1817"/>
      <c r="BE2" s="1817"/>
      <c r="BF2" s="1817"/>
      <c r="BG2" s="1817"/>
      <c r="BH2" s="1817"/>
      <c r="BI2" s="1817"/>
      <c r="BJ2" s="1817"/>
      <c r="BK2" s="1817"/>
      <c r="BL2" s="1817"/>
      <c r="BM2" s="1817"/>
      <c r="BN2" s="1817"/>
      <c r="BO2" s="1817"/>
      <c r="BP2" s="1817"/>
      <c r="BQ2" s="1817"/>
      <c r="BR2" s="1817"/>
      <c r="BS2" s="1817"/>
      <c r="BT2" s="1817"/>
      <c r="BU2" s="1817"/>
      <c r="BV2" s="1817"/>
      <c r="BW2" s="1817"/>
      <c r="BX2" s="1817"/>
      <c r="BY2" s="1817"/>
      <c r="BZ2" s="1817"/>
      <c r="CA2" s="1817"/>
      <c r="CB2" s="1817"/>
      <c r="CC2" s="1817"/>
      <c r="CD2" s="1817"/>
      <c r="CE2" s="1817"/>
      <c r="CF2" s="1817"/>
      <c r="CG2" s="1817"/>
      <c r="CH2" s="1817"/>
      <c r="CI2" s="1817"/>
      <c r="CJ2" s="1817"/>
      <c r="CK2" s="1817"/>
      <c r="CL2" s="1817"/>
      <c r="CM2" s="1817"/>
      <c r="CN2" s="1817"/>
      <c r="CO2" s="1817"/>
      <c r="CP2" s="1817"/>
      <c r="CQ2" s="1817"/>
      <c r="CR2" s="1817"/>
      <c r="CS2" s="1817"/>
      <c r="CT2" s="1817"/>
      <c r="CU2" s="1817"/>
      <c r="CV2" s="1817"/>
      <c r="CW2" s="1817"/>
    </row>
    <row r="3" spans="1:112" ht="15" customHeight="1">
      <c r="A3" s="1820" t="e">
        <f>'B60'!A3:K3</f>
        <v>#REF!</v>
      </c>
      <c r="B3" s="1820"/>
      <c r="C3" s="1820"/>
      <c r="D3" s="1820"/>
      <c r="E3" s="1820"/>
      <c r="F3" s="1820"/>
      <c r="G3" s="1820"/>
      <c r="H3" s="1820"/>
      <c r="I3" s="1820"/>
      <c r="J3" s="1820"/>
      <c r="K3" s="1820"/>
      <c r="L3" s="1820"/>
      <c r="M3" s="1820"/>
      <c r="N3" s="1820"/>
      <c r="O3" s="1820"/>
      <c r="P3" s="1820"/>
      <c r="Q3" s="1820"/>
      <c r="R3" s="1820"/>
      <c r="S3" s="1820"/>
      <c r="T3" s="1820"/>
      <c r="U3" s="1820"/>
      <c r="V3" s="1820"/>
      <c r="W3" s="1820"/>
      <c r="X3" s="1820"/>
      <c r="Y3" s="1820"/>
      <c r="Z3" s="1820"/>
      <c r="AA3" s="1820"/>
      <c r="AB3" s="1820"/>
      <c r="AC3" s="1820"/>
      <c r="AD3" s="1820"/>
      <c r="AE3" s="1820"/>
      <c r="AF3" s="1820"/>
      <c r="AG3" s="1820"/>
      <c r="AH3" s="1820"/>
      <c r="AI3" s="1820"/>
      <c r="AJ3" s="1820"/>
      <c r="AK3" s="1820"/>
      <c r="AL3" s="1820"/>
      <c r="AM3" s="1820"/>
      <c r="AN3" s="1820"/>
      <c r="AO3" s="1820"/>
      <c r="AP3" s="1820"/>
      <c r="AQ3" s="1820"/>
      <c r="AR3" s="1820"/>
      <c r="AS3" s="1820"/>
      <c r="AT3" s="1820"/>
      <c r="AU3" s="1820"/>
      <c r="AV3" s="1820"/>
      <c r="AW3" s="1820"/>
      <c r="AX3" s="1820"/>
      <c r="AY3" s="1820"/>
      <c r="AZ3" s="1820"/>
      <c r="BA3" s="1820"/>
      <c r="BB3" s="1820"/>
      <c r="BC3" s="1820"/>
      <c r="BD3" s="1820"/>
      <c r="BE3" s="1820"/>
      <c r="BF3" s="1820"/>
      <c r="BG3" s="1820"/>
      <c r="BH3" s="1820"/>
      <c r="BI3" s="1820"/>
      <c r="BJ3" s="1820"/>
      <c r="BK3" s="1820"/>
      <c r="BL3" s="1820"/>
      <c r="BM3" s="1820"/>
      <c r="BN3" s="1820"/>
      <c r="BO3" s="1820"/>
      <c r="BP3" s="1820"/>
      <c r="BQ3" s="1820"/>
      <c r="BR3" s="1820"/>
      <c r="BS3" s="1820"/>
      <c r="BT3" s="1820"/>
      <c r="BU3" s="1820"/>
      <c r="BV3" s="1820"/>
      <c r="BW3" s="1820"/>
      <c r="BX3" s="1820"/>
      <c r="BY3" s="1820"/>
      <c r="BZ3" s="1820"/>
      <c r="CA3" s="1820"/>
      <c r="CB3" s="1820"/>
      <c r="CC3" s="1820"/>
      <c r="CD3" s="1820"/>
      <c r="CE3" s="1820"/>
      <c r="CF3" s="1820"/>
      <c r="CG3" s="1820"/>
      <c r="CH3" s="1820"/>
      <c r="CI3" s="1820"/>
      <c r="CJ3" s="1820"/>
      <c r="CK3" s="1820"/>
      <c r="CL3" s="1820"/>
      <c r="CM3" s="1820"/>
      <c r="CN3" s="1820"/>
      <c r="CO3" s="1820"/>
      <c r="CP3" s="1820"/>
      <c r="CQ3" s="1820"/>
      <c r="CR3" s="1820"/>
      <c r="CS3" s="1820"/>
      <c r="CT3" s="1820"/>
      <c r="CU3" s="1820"/>
      <c r="CV3" s="1820"/>
      <c r="CW3" s="1820"/>
    </row>
    <row r="4" spans="1:112" ht="15" customHeight="1">
      <c r="CR4" s="1816" t="s">
        <v>5</v>
      </c>
      <c r="CS4" s="1816"/>
      <c r="CT4" s="1816"/>
      <c r="CU4" s="1816"/>
      <c r="CV4" s="1816"/>
      <c r="CW4" s="1816"/>
    </row>
    <row r="5" spans="1:112" ht="10.15" customHeight="1">
      <c r="A5" s="1821" t="s">
        <v>316</v>
      </c>
      <c r="B5" s="1821"/>
      <c r="C5" s="1821" t="s">
        <v>34</v>
      </c>
      <c r="D5" s="1814" t="s">
        <v>35</v>
      </c>
      <c r="E5" s="1814" t="s">
        <v>36</v>
      </c>
      <c r="F5" s="1819" t="s">
        <v>37</v>
      </c>
      <c r="G5" s="1814" t="s">
        <v>38</v>
      </c>
      <c r="H5" s="1814"/>
      <c r="I5" s="1814"/>
      <c r="J5" s="1814"/>
      <c r="K5" s="1814"/>
      <c r="L5" s="1814"/>
      <c r="M5" s="1814"/>
      <c r="N5" s="1814"/>
      <c r="O5" s="1814"/>
      <c r="P5" s="1814"/>
      <c r="Q5" s="1814"/>
      <c r="R5" s="1814"/>
      <c r="S5" s="1814"/>
      <c r="T5" s="1814" t="s">
        <v>322</v>
      </c>
      <c r="U5" s="1814"/>
      <c r="V5" s="1814"/>
      <c r="W5" s="1814"/>
      <c r="X5" s="1814"/>
      <c r="Y5" s="1814"/>
      <c r="Z5" s="1814"/>
      <c r="AA5" s="1814"/>
      <c r="AB5" s="1814"/>
      <c r="AC5" s="1814"/>
      <c r="AD5" s="1814"/>
      <c r="AE5" s="1814"/>
      <c r="AF5" s="1814"/>
      <c r="AG5" s="1814"/>
      <c r="AH5" s="1814"/>
      <c r="AI5" s="1814" t="s">
        <v>323</v>
      </c>
      <c r="AJ5" s="1814"/>
      <c r="AK5" s="1814"/>
      <c r="AL5" s="1814"/>
      <c r="AM5" s="1814"/>
      <c r="AN5" s="1814"/>
      <c r="AO5" s="1814"/>
      <c r="AP5" s="1814"/>
      <c r="AQ5" s="1814"/>
      <c r="AR5" s="1814"/>
      <c r="AS5" s="1814"/>
      <c r="AT5" s="1814"/>
      <c r="AU5" s="1814"/>
      <c r="AV5" s="1814"/>
      <c r="AW5" s="1814"/>
      <c r="AX5" s="1814"/>
      <c r="AY5" s="1814" t="s">
        <v>210</v>
      </c>
      <c r="AZ5" s="1814"/>
      <c r="BA5" s="1814"/>
      <c r="BB5" s="1814"/>
      <c r="BC5" s="1814"/>
      <c r="BD5" s="1814"/>
      <c r="BE5" s="1814"/>
      <c r="BF5" s="1814"/>
      <c r="BG5" s="1814"/>
      <c r="BH5" s="1814"/>
      <c r="BI5" s="1814"/>
      <c r="BJ5" s="1814"/>
      <c r="BK5" s="1814"/>
      <c r="BL5" s="1814"/>
      <c r="BM5" s="1814"/>
      <c r="BN5" s="1814"/>
      <c r="BO5" s="1814" t="s">
        <v>211</v>
      </c>
      <c r="BP5" s="1814"/>
      <c r="BQ5" s="1814"/>
      <c r="BR5" s="1814"/>
      <c r="BS5" s="1814"/>
      <c r="BT5" s="1814"/>
      <c r="BU5" s="1814"/>
      <c r="BV5" s="1814"/>
      <c r="BW5" s="1814"/>
      <c r="BX5" s="1814"/>
      <c r="BY5" s="1814"/>
      <c r="BZ5" s="1814"/>
      <c r="CA5" s="1814"/>
      <c r="CB5" s="1814"/>
      <c r="CC5" s="1814"/>
      <c r="CD5" s="1814"/>
      <c r="CE5" s="1814"/>
      <c r="CF5" s="1814" t="s">
        <v>41</v>
      </c>
      <c r="CG5" s="1814"/>
      <c r="CH5" s="1814"/>
      <c r="CI5" s="1814"/>
      <c r="CJ5" s="1814"/>
      <c r="CK5" s="1814"/>
      <c r="CL5" s="1814"/>
      <c r="CM5" s="1814"/>
      <c r="CN5" s="1814"/>
      <c r="CO5" s="1814"/>
      <c r="CP5" s="1814"/>
      <c r="CQ5" s="1814"/>
      <c r="CR5" s="1814"/>
      <c r="CS5" s="1814"/>
      <c r="CT5" s="1814"/>
      <c r="CU5" s="1814"/>
      <c r="CV5" s="1814"/>
      <c r="CW5" s="1814"/>
    </row>
    <row r="6" spans="1:112" ht="22.5" customHeight="1">
      <c r="A6" s="1822"/>
      <c r="B6" s="1822"/>
      <c r="C6" s="1822"/>
      <c r="D6" s="1814"/>
      <c r="E6" s="1814"/>
      <c r="F6" s="1819"/>
      <c r="G6" s="1814" t="s">
        <v>39</v>
      </c>
      <c r="H6" s="1814" t="s">
        <v>153</v>
      </c>
      <c r="I6" s="1814"/>
      <c r="J6" s="1814"/>
      <c r="K6" s="1814"/>
      <c r="L6" s="1814"/>
      <c r="M6" s="1814"/>
      <c r="N6" s="1814"/>
      <c r="O6" s="1814"/>
      <c r="P6" s="1814"/>
      <c r="Q6" s="1814"/>
      <c r="R6" s="1814"/>
      <c r="S6" s="1814"/>
      <c r="T6" s="1814"/>
      <c r="U6" s="1814"/>
      <c r="V6" s="1814"/>
      <c r="W6" s="1814"/>
      <c r="X6" s="1814"/>
      <c r="Y6" s="1814"/>
      <c r="Z6" s="1814"/>
      <c r="AA6" s="1814"/>
      <c r="AB6" s="1814"/>
      <c r="AC6" s="1814"/>
      <c r="AD6" s="1814"/>
      <c r="AE6" s="1814"/>
      <c r="AF6" s="1814"/>
      <c r="AG6" s="1814"/>
      <c r="AH6" s="1814"/>
      <c r="AI6" s="1814"/>
      <c r="AJ6" s="1814"/>
      <c r="AK6" s="1814"/>
      <c r="AL6" s="1814"/>
      <c r="AM6" s="1814"/>
      <c r="AN6" s="1814"/>
      <c r="AO6" s="1814"/>
      <c r="AP6" s="1814"/>
      <c r="AQ6" s="1814"/>
      <c r="AR6" s="1814"/>
      <c r="AS6" s="1814"/>
      <c r="AT6" s="1814"/>
      <c r="AU6" s="1814"/>
      <c r="AV6" s="1814"/>
      <c r="AW6" s="1814"/>
      <c r="AX6" s="1814"/>
      <c r="AY6" s="1814"/>
      <c r="AZ6" s="1814"/>
      <c r="BA6" s="1814"/>
      <c r="BB6" s="1814"/>
      <c r="BC6" s="1814"/>
      <c r="BD6" s="1814"/>
      <c r="BE6" s="1814"/>
      <c r="BF6" s="1814"/>
      <c r="BG6" s="1814"/>
      <c r="BH6" s="1814"/>
      <c r="BI6" s="1814"/>
      <c r="BJ6" s="1814"/>
      <c r="BK6" s="1814"/>
      <c r="BL6" s="1814"/>
      <c r="BM6" s="1814"/>
      <c r="BN6" s="1814"/>
      <c r="BO6" s="1814"/>
      <c r="BP6" s="1814"/>
      <c r="BQ6" s="1814"/>
      <c r="BR6" s="1814"/>
      <c r="BS6" s="1814"/>
      <c r="BT6" s="1814"/>
      <c r="BU6" s="1814"/>
      <c r="BV6" s="1814"/>
      <c r="BW6" s="1814"/>
      <c r="BX6" s="1814"/>
      <c r="BY6" s="1814"/>
      <c r="BZ6" s="1814"/>
      <c r="CA6" s="1814"/>
      <c r="CB6" s="1814"/>
      <c r="CC6" s="1814"/>
      <c r="CD6" s="1814"/>
      <c r="CE6" s="1814"/>
      <c r="CF6" s="1814"/>
      <c r="CG6" s="1814"/>
      <c r="CH6" s="1814"/>
      <c r="CI6" s="1814"/>
      <c r="CJ6" s="1814"/>
      <c r="CK6" s="1814"/>
      <c r="CL6" s="1814"/>
      <c r="CM6" s="1814"/>
      <c r="CN6" s="1814"/>
      <c r="CO6" s="1814"/>
      <c r="CP6" s="1814"/>
      <c r="CQ6" s="1814"/>
      <c r="CR6" s="1814"/>
      <c r="CS6" s="1814"/>
      <c r="CT6" s="1814"/>
      <c r="CU6" s="1814"/>
      <c r="CV6" s="1814"/>
      <c r="CW6" s="1814"/>
    </row>
    <row r="7" spans="1:112" ht="18.75" customHeight="1">
      <c r="A7" s="1822"/>
      <c r="B7" s="1822"/>
      <c r="C7" s="1822"/>
      <c r="D7" s="1814"/>
      <c r="E7" s="1814"/>
      <c r="F7" s="1819"/>
      <c r="G7" s="1814"/>
      <c r="H7" s="1814" t="s">
        <v>40</v>
      </c>
      <c r="I7" s="1814" t="s">
        <v>154</v>
      </c>
      <c r="J7" s="1814"/>
      <c r="K7" s="1814"/>
      <c r="L7" s="1814"/>
      <c r="M7" s="1814"/>
      <c r="N7" s="1814"/>
      <c r="O7" s="1814"/>
      <c r="P7" s="1814"/>
      <c r="Q7" s="1814"/>
      <c r="R7" s="1814"/>
      <c r="S7" s="1814"/>
      <c r="T7" s="1814" t="s">
        <v>25</v>
      </c>
      <c r="U7" s="1814" t="s">
        <v>154</v>
      </c>
      <c r="V7" s="1814"/>
      <c r="W7" s="1814"/>
      <c r="X7" s="1814"/>
      <c r="Y7" s="1814"/>
      <c r="Z7" s="1814"/>
      <c r="AA7" s="1814"/>
      <c r="AB7" s="1814"/>
      <c r="AC7" s="1814"/>
      <c r="AD7" s="1814"/>
      <c r="AE7" s="1814"/>
      <c r="AF7" s="1814"/>
      <c r="AG7" s="1814"/>
      <c r="AH7" s="1814"/>
      <c r="AI7" s="1814" t="s">
        <v>25</v>
      </c>
      <c r="AJ7" s="1814"/>
      <c r="AK7" s="1814"/>
      <c r="AL7" s="1814"/>
      <c r="AM7" s="1814"/>
      <c r="AN7" s="1814"/>
      <c r="AO7" s="1814"/>
      <c r="AP7" s="1814"/>
      <c r="AQ7" s="1814"/>
      <c r="AR7" s="1814"/>
      <c r="AS7" s="1814"/>
      <c r="AT7" s="1814"/>
      <c r="AU7" s="1814"/>
      <c r="AV7" s="1814"/>
      <c r="AW7" s="1814"/>
      <c r="AX7" s="1814"/>
      <c r="AY7" s="1814" t="s">
        <v>25</v>
      </c>
      <c r="AZ7" s="1814" t="s">
        <v>154</v>
      </c>
      <c r="BA7" s="1814"/>
      <c r="BB7" s="1814"/>
      <c r="BC7" s="1814"/>
      <c r="BD7" s="1814"/>
      <c r="BE7" s="1814"/>
      <c r="BF7" s="1814"/>
      <c r="BG7" s="1814"/>
      <c r="BH7" s="1814"/>
      <c r="BI7" s="1814"/>
      <c r="BJ7" s="1814"/>
      <c r="BK7" s="1814"/>
      <c r="BL7" s="1814"/>
      <c r="BM7" s="1814"/>
      <c r="BN7" s="1814"/>
      <c r="BO7" s="1814" t="s">
        <v>25</v>
      </c>
      <c r="BP7" s="1814" t="s">
        <v>154</v>
      </c>
      <c r="BQ7" s="1814"/>
      <c r="BR7" s="1814"/>
      <c r="BS7" s="1814"/>
      <c r="BT7" s="1814"/>
      <c r="BU7" s="1814"/>
      <c r="BV7" s="1814"/>
      <c r="BW7" s="1814"/>
      <c r="BX7" s="1814"/>
      <c r="BY7" s="1814"/>
      <c r="BZ7" s="1814"/>
      <c r="CA7" s="1814"/>
      <c r="CB7" s="1814"/>
      <c r="CC7" s="1814"/>
      <c r="CD7" s="1814"/>
      <c r="CE7" s="1814"/>
      <c r="CF7" s="1814" t="s">
        <v>25</v>
      </c>
      <c r="CG7" s="1814" t="s">
        <v>154</v>
      </c>
      <c r="CH7" s="1814"/>
      <c r="CI7" s="1814"/>
      <c r="CJ7" s="1814"/>
      <c r="CK7" s="1814"/>
      <c r="CL7" s="1814"/>
      <c r="CM7" s="1814"/>
      <c r="CN7" s="1814"/>
      <c r="CO7" s="1814"/>
      <c r="CP7" s="1814"/>
      <c r="CQ7" s="1814"/>
      <c r="CR7" s="1814"/>
      <c r="CS7" s="1814"/>
      <c r="CT7" s="1814"/>
      <c r="CU7" s="1814"/>
      <c r="CV7" s="1814"/>
      <c r="CW7" s="1814"/>
    </row>
    <row r="8" spans="1:112" ht="164.45" customHeight="1">
      <c r="A8" s="1822"/>
      <c r="B8" s="1822"/>
      <c r="C8" s="1822"/>
      <c r="D8" s="1814"/>
      <c r="E8" s="1814"/>
      <c r="F8" s="1819"/>
      <c r="G8" s="1814"/>
      <c r="H8" s="1814"/>
      <c r="I8" s="1002" t="s">
        <v>324</v>
      </c>
      <c r="J8" s="1002" t="s">
        <v>325</v>
      </c>
      <c r="K8" s="1002" t="s">
        <v>326</v>
      </c>
      <c r="L8" s="1002" t="s">
        <v>327</v>
      </c>
      <c r="M8" s="1002" t="s">
        <v>328</v>
      </c>
      <c r="N8" s="1002" t="s">
        <v>329</v>
      </c>
      <c r="O8" s="1002" t="s">
        <v>330</v>
      </c>
      <c r="P8" s="1002" t="s">
        <v>331</v>
      </c>
      <c r="Q8" s="1002" t="s">
        <v>332</v>
      </c>
      <c r="R8" s="1002" t="s">
        <v>333</v>
      </c>
      <c r="S8" s="1002" t="s">
        <v>334</v>
      </c>
      <c r="T8" s="1814"/>
      <c r="U8" s="1002" t="s">
        <v>324</v>
      </c>
      <c r="V8" s="1002" t="s">
        <v>335</v>
      </c>
      <c r="W8" s="1002" t="s">
        <v>325</v>
      </c>
      <c r="X8" s="1002" t="s">
        <v>326</v>
      </c>
      <c r="Y8" s="1002" t="s">
        <v>327</v>
      </c>
      <c r="Z8" s="1002" t="s">
        <v>336</v>
      </c>
      <c r="AA8" s="1002" t="s">
        <v>328</v>
      </c>
      <c r="AB8" s="842" t="s">
        <v>337</v>
      </c>
      <c r="AC8" s="1002" t="s">
        <v>329</v>
      </c>
      <c r="AD8" s="843" t="s">
        <v>331</v>
      </c>
      <c r="AE8" s="843" t="s">
        <v>338</v>
      </c>
      <c r="AF8" s="1002" t="s">
        <v>330</v>
      </c>
      <c r="AG8" s="1002" t="s">
        <v>332</v>
      </c>
      <c r="AH8" s="1002" t="s">
        <v>334</v>
      </c>
      <c r="AI8" s="1814"/>
      <c r="AJ8" s="1002" t="s">
        <v>324</v>
      </c>
      <c r="AK8" s="1002" t="s">
        <v>335</v>
      </c>
      <c r="AL8" s="1002" t="s">
        <v>325</v>
      </c>
      <c r="AM8" s="1002" t="s">
        <v>326</v>
      </c>
      <c r="AN8" s="1002" t="s">
        <v>327</v>
      </c>
      <c r="AO8" s="1002" t="s">
        <v>336</v>
      </c>
      <c r="AP8" s="1002" t="s">
        <v>328</v>
      </c>
      <c r="AQ8" s="842" t="s">
        <v>337</v>
      </c>
      <c r="AR8" s="1002" t="s">
        <v>329</v>
      </c>
      <c r="AS8" s="1002" t="s">
        <v>339</v>
      </c>
      <c r="AT8" s="1002" t="s">
        <v>330</v>
      </c>
      <c r="AU8" s="843" t="s">
        <v>340</v>
      </c>
      <c r="AV8" s="843" t="s">
        <v>331</v>
      </c>
      <c r="AW8" s="1002" t="s">
        <v>332</v>
      </c>
      <c r="AX8" s="1002" t="s">
        <v>334</v>
      </c>
      <c r="AY8" s="1814"/>
      <c r="AZ8" s="1002" t="s">
        <v>341</v>
      </c>
      <c r="BA8" s="1002" t="s">
        <v>342</v>
      </c>
      <c r="BB8" s="1002" t="s">
        <v>327</v>
      </c>
      <c r="BC8" s="1002" t="s">
        <v>343</v>
      </c>
      <c r="BD8" s="1002" t="s">
        <v>326</v>
      </c>
      <c r="BE8" s="1002" t="s">
        <v>344</v>
      </c>
      <c r="BF8" s="1002" t="s">
        <v>345</v>
      </c>
      <c r="BG8" s="1002" t="s">
        <v>346</v>
      </c>
      <c r="BH8" s="1002" t="s">
        <v>347</v>
      </c>
      <c r="BI8" s="1002" t="s">
        <v>348</v>
      </c>
      <c r="BJ8" s="1002" t="s">
        <v>349</v>
      </c>
      <c r="BK8" s="1002" t="s">
        <v>350</v>
      </c>
      <c r="BL8" s="1002" t="s">
        <v>351</v>
      </c>
      <c r="BM8" s="1002" t="s">
        <v>352</v>
      </c>
      <c r="BN8" s="1002" t="s">
        <v>334</v>
      </c>
      <c r="BO8" s="1814"/>
      <c r="BP8" s="1002" t="s">
        <v>341</v>
      </c>
      <c r="BQ8" s="1002" t="s">
        <v>353</v>
      </c>
      <c r="BR8" s="1002" t="s">
        <v>327</v>
      </c>
      <c r="BS8" s="1002" t="s">
        <v>343</v>
      </c>
      <c r="BT8" s="1002" t="s">
        <v>326</v>
      </c>
      <c r="BU8" s="1002" t="s">
        <v>344</v>
      </c>
      <c r="BV8" s="1002" t="s">
        <v>347</v>
      </c>
      <c r="BW8" s="1002" t="s">
        <v>348</v>
      </c>
      <c r="BX8" s="1002" t="s">
        <v>345</v>
      </c>
      <c r="BY8" s="1002" t="s">
        <v>346</v>
      </c>
      <c r="BZ8" s="1002" t="s">
        <v>349</v>
      </c>
      <c r="CA8" s="1002" t="s">
        <v>350</v>
      </c>
      <c r="CB8" s="1002" t="s">
        <v>354</v>
      </c>
      <c r="CC8" s="1002" t="s">
        <v>351</v>
      </c>
      <c r="CD8" s="1002" t="s">
        <v>355</v>
      </c>
      <c r="CE8" s="1002" t="s">
        <v>334</v>
      </c>
      <c r="CF8" s="1814"/>
      <c r="CG8" s="1002" t="s">
        <v>341</v>
      </c>
      <c r="CH8" s="1002" t="s">
        <v>353</v>
      </c>
      <c r="CI8" s="1002" t="s">
        <v>327</v>
      </c>
      <c r="CJ8" s="1002" t="s">
        <v>343</v>
      </c>
      <c r="CK8" s="1002" t="s">
        <v>326</v>
      </c>
      <c r="CL8" s="1002" t="s">
        <v>344</v>
      </c>
      <c r="CM8" s="1002" t="s">
        <v>347</v>
      </c>
      <c r="CN8" s="1002" t="s">
        <v>348</v>
      </c>
      <c r="CO8" s="1002" t="s">
        <v>345</v>
      </c>
      <c r="CP8" s="1002" t="s">
        <v>346</v>
      </c>
      <c r="CQ8" s="1002" t="s">
        <v>349</v>
      </c>
      <c r="CR8" s="1002" t="s">
        <v>350</v>
      </c>
      <c r="CS8" s="1002" t="s">
        <v>348</v>
      </c>
      <c r="CT8" s="1002" t="s">
        <v>354</v>
      </c>
      <c r="CU8" s="1002" t="s">
        <v>351</v>
      </c>
      <c r="CV8" s="1002" t="s">
        <v>355</v>
      </c>
      <c r="CW8" s="1002" t="s">
        <v>334</v>
      </c>
    </row>
    <row r="9" spans="1:112" ht="22.5" customHeight="1">
      <c r="A9" s="1004" t="s">
        <v>2</v>
      </c>
      <c r="B9" s="1004"/>
      <c r="C9" s="1004" t="s">
        <v>3</v>
      </c>
      <c r="D9" s="844">
        <v>1</v>
      </c>
      <c r="E9" s="844">
        <v>2</v>
      </c>
      <c r="F9" s="844">
        <v>3</v>
      </c>
      <c r="G9" s="844">
        <v>4</v>
      </c>
      <c r="H9" s="844">
        <v>5</v>
      </c>
      <c r="I9" s="844">
        <v>6</v>
      </c>
      <c r="J9" s="844">
        <v>7</v>
      </c>
      <c r="K9" s="844">
        <v>8</v>
      </c>
      <c r="L9" s="844">
        <v>9</v>
      </c>
      <c r="M9" s="844">
        <v>10</v>
      </c>
      <c r="N9" s="844">
        <v>11</v>
      </c>
      <c r="O9" s="844">
        <v>12</v>
      </c>
      <c r="P9" s="844">
        <v>13</v>
      </c>
      <c r="Q9" s="844">
        <v>14</v>
      </c>
      <c r="R9" s="844">
        <v>15</v>
      </c>
      <c r="S9" s="844">
        <v>16</v>
      </c>
      <c r="T9" s="844">
        <v>17</v>
      </c>
      <c r="U9" s="844">
        <v>18</v>
      </c>
      <c r="V9" s="844">
        <v>19</v>
      </c>
      <c r="W9" s="844">
        <v>20</v>
      </c>
      <c r="X9" s="844">
        <v>21</v>
      </c>
      <c r="Y9" s="844">
        <v>22</v>
      </c>
      <c r="Z9" s="844">
        <v>23</v>
      </c>
      <c r="AA9" s="844">
        <v>24</v>
      </c>
      <c r="AB9" s="844">
        <v>25</v>
      </c>
      <c r="AC9" s="844">
        <v>26</v>
      </c>
      <c r="AD9" s="844">
        <v>27</v>
      </c>
      <c r="AE9" s="844">
        <v>28</v>
      </c>
      <c r="AF9" s="844">
        <v>29</v>
      </c>
      <c r="AG9" s="844">
        <v>30</v>
      </c>
      <c r="AH9" s="844">
        <v>31</v>
      </c>
      <c r="AI9" s="844">
        <v>32</v>
      </c>
      <c r="AJ9" s="844">
        <v>33</v>
      </c>
      <c r="AK9" s="844">
        <v>34</v>
      </c>
      <c r="AL9" s="844">
        <v>35</v>
      </c>
      <c r="AM9" s="844">
        <v>36</v>
      </c>
      <c r="AN9" s="844">
        <v>37</v>
      </c>
      <c r="AO9" s="844">
        <v>38</v>
      </c>
      <c r="AP9" s="844">
        <v>39</v>
      </c>
      <c r="AQ9" s="844">
        <v>40</v>
      </c>
      <c r="AR9" s="844">
        <v>41</v>
      </c>
      <c r="AS9" s="844">
        <v>42</v>
      </c>
      <c r="AT9" s="844">
        <v>43</v>
      </c>
      <c r="AU9" s="844">
        <v>44</v>
      </c>
      <c r="AV9" s="844">
        <v>45</v>
      </c>
      <c r="AW9" s="844">
        <v>46</v>
      </c>
      <c r="AX9" s="844">
        <v>47</v>
      </c>
      <c r="AY9" s="844">
        <v>48</v>
      </c>
      <c r="AZ9" s="844">
        <v>49</v>
      </c>
      <c r="BA9" s="844">
        <v>50</v>
      </c>
      <c r="BB9" s="844">
        <v>51</v>
      </c>
      <c r="BC9" s="844">
        <v>52</v>
      </c>
      <c r="BD9" s="844">
        <v>53</v>
      </c>
      <c r="BE9" s="844">
        <v>54</v>
      </c>
      <c r="BF9" s="844">
        <v>55</v>
      </c>
      <c r="BG9" s="844">
        <v>56</v>
      </c>
      <c r="BH9" s="844">
        <v>57</v>
      </c>
      <c r="BI9" s="844">
        <v>58</v>
      </c>
      <c r="BJ9" s="844">
        <v>59</v>
      </c>
      <c r="BK9" s="844">
        <v>60</v>
      </c>
      <c r="BL9" s="844">
        <v>61</v>
      </c>
      <c r="BM9" s="844">
        <v>62</v>
      </c>
      <c r="BN9" s="844">
        <v>63</v>
      </c>
      <c r="BO9" s="844">
        <v>64</v>
      </c>
      <c r="BP9" s="844">
        <v>65</v>
      </c>
      <c r="BQ9" s="844">
        <v>66</v>
      </c>
      <c r="BR9" s="844">
        <v>67</v>
      </c>
      <c r="BS9" s="844">
        <v>68</v>
      </c>
      <c r="BT9" s="844">
        <v>69</v>
      </c>
      <c r="BU9" s="844">
        <v>70</v>
      </c>
      <c r="BV9" s="844">
        <v>71</v>
      </c>
      <c r="BW9" s="844">
        <v>72</v>
      </c>
      <c r="BX9" s="844">
        <v>73</v>
      </c>
      <c r="BY9" s="844">
        <v>74</v>
      </c>
      <c r="BZ9" s="844">
        <v>75</v>
      </c>
      <c r="CA9" s="844">
        <v>76</v>
      </c>
      <c r="CB9" s="844">
        <v>77</v>
      </c>
      <c r="CC9" s="844">
        <v>78</v>
      </c>
      <c r="CD9" s="844">
        <v>79</v>
      </c>
      <c r="CE9" s="844">
        <v>80</v>
      </c>
      <c r="CF9" s="844">
        <v>81</v>
      </c>
      <c r="CG9" s="844">
        <v>82</v>
      </c>
      <c r="CH9" s="844">
        <v>83</v>
      </c>
      <c r="CI9" s="844">
        <v>84</v>
      </c>
      <c r="CJ9" s="844">
        <v>85</v>
      </c>
      <c r="CK9" s="844">
        <v>86</v>
      </c>
      <c r="CL9" s="844">
        <v>87</v>
      </c>
      <c r="CM9" s="844">
        <v>88</v>
      </c>
      <c r="CN9" s="844">
        <v>89</v>
      </c>
      <c r="CO9" s="844">
        <v>90</v>
      </c>
      <c r="CP9" s="844">
        <v>91</v>
      </c>
      <c r="CQ9" s="844">
        <v>92</v>
      </c>
      <c r="CR9" s="844">
        <v>93</v>
      </c>
      <c r="CS9" s="844">
        <v>94</v>
      </c>
      <c r="CT9" s="844">
        <v>95</v>
      </c>
      <c r="CU9" s="844">
        <v>96</v>
      </c>
      <c r="CV9" s="844">
        <v>97</v>
      </c>
      <c r="CW9" s="844">
        <v>98</v>
      </c>
    </row>
    <row r="10" spans="1:112" ht="24.75" customHeight="1">
      <c r="A10" s="845"/>
      <c r="B10" s="845"/>
      <c r="C10" s="845" t="s">
        <v>25</v>
      </c>
      <c r="D10" s="846"/>
      <c r="E10" s="845"/>
      <c r="F10" s="847"/>
      <c r="G10" s="845"/>
      <c r="H10" s="848">
        <f t="shared" ref="H10:AX10" si="0">H11+H365+H379+H383+H388+H394+H434+H446+H541+H545+H571</f>
        <v>7226556.1802759999</v>
      </c>
      <c r="I10" s="848">
        <f t="shared" si="0"/>
        <v>68936.2</v>
      </c>
      <c r="J10" s="848">
        <f t="shared" si="0"/>
        <v>1259130.017</v>
      </c>
      <c r="K10" s="848">
        <f t="shared" si="0"/>
        <v>23098</v>
      </c>
      <c r="L10" s="848">
        <f t="shared" si="0"/>
        <v>988076</v>
      </c>
      <c r="M10" s="848">
        <f t="shared" si="0"/>
        <v>1499</v>
      </c>
      <c r="N10" s="848">
        <f t="shared" si="0"/>
        <v>599711.24</v>
      </c>
      <c r="O10" s="848">
        <f t="shared" si="0"/>
        <v>29640.28</v>
      </c>
      <c r="P10" s="848">
        <f t="shared" si="0"/>
        <v>70642</v>
      </c>
      <c r="Q10" s="848">
        <f t="shared" si="0"/>
        <v>95350</v>
      </c>
      <c r="R10" s="848">
        <f t="shared" si="0"/>
        <v>3226187.252719</v>
      </c>
      <c r="S10" s="848">
        <f t="shared" si="0"/>
        <v>864286.19055699999</v>
      </c>
      <c r="T10" s="848">
        <f t="shared" si="0"/>
        <v>2419846.0879589999</v>
      </c>
      <c r="U10" s="848">
        <f t="shared" si="0"/>
        <v>1051907.310697</v>
      </c>
      <c r="V10" s="848">
        <f t="shared" si="0"/>
        <v>15210.843735</v>
      </c>
      <c r="W10" s="848">
        <f t="shared" si="0"/>
        <v>632247.50189399999</v>
      </c>
      <c r="X10" s="848">
        <f t="shared" si="0"/>
        <v>23495.756592999998</v>
      </c>
      <c r="Y10" s="848">
        <f t="shared" si="0"/>
        <v>6254.7990200000004</v>
      </c>
      <c r="Z10" s="848">
        <f t="shared" si="0"/>
        <v>64500</v>
      </c>
      <c r="AA10" s="848">
        <f t="shared" si="0"/>
        <v>12357.053</v>
      </c>
      <c r="AB10" s="848">
        <f t="shared" si="0"/>
        <v>102.6</v>
      </c>
      <c r="AC10" s="848">
        <f t="shared" si="0"/>
        <v>163238.53866600001</v>
      </c>
      <c r="AD10" s="848">
        <f t="shared" si="0"/>
        <v>0</v>
      </c>
      <c r="AE10" s="848">
        <f t="shared" si="0"/>
        <v>7387.1660000000002</v>
      </c>
      <c r="AF10" s="848">
        <f t="shared" si="0"/>
        <v>21785.241000000002</v>
      </c>
      <c r="AG10" s="848">
        <f t="shared" si="0"/>
        <v>0</v>
      </c>
      <c r="AH10" s="848">
        <f t="shared" si="0"/>
        <v>421359.27735399996</v>
      </c>
      <c r="AI10" s="848">
        <f t="shared" si="0"/>
        <v>2545592.3981240001</v>
      </c>
      <c r="AJ10" s="848">
        <f t="shared" si="0"/>
        <v>1394678.639124</v>
      </c>
      <c r="AK10" s="848">
        <f t="shared" si="0"/>
        <v>27478</v>
      </c>
      <c r="AL10" s="848">
        <f t="shared" si="0"/>
        <v>530014.73</v>
      </c>
      <c r="AM10" s="848">
        <f t="shared" si="0"/>
        <v>18142</v>
      </c>
      <c r="AN10" s="848">
        <f t="shared" si="0"/>
        <v>0</v>
      </c>
      <c r="AO10" s="848">
        <f t="shared" si="0"/>
        <v>44140</v>
      </c>
      <c r="AP10" s="848">
        <f t="shared" si="0"/>
        <v>16578</v>
      </c>
      <c r="AQ10" s="848">
        <f t="shared" si="0"/>
        <v>103</v>
      </c>
      <c r="AR10" s="848">
        <f t="shared" si="0"/>
        <v>64544</v>
      </c>
      <c r="AS10" s="848">
        <f t="shared" si="0"/>
        <v>12301</v>
      </c>
      <c r="AT10" s="848">
        <f t="shared" si="0"/>
        <v>55420</v>
      </c>
      <c r="AU10" s="848">
        <f t="shared" si="0"/>
        <v>0</v>
      </c>
      <c r="AV10" s="848">
        <f t="shared" si="0"/>
        <v>9718</v>
      </c>
      <c r="AW10" s="848">
        <f t="shared" si="0"/>
        <v>48619</v>
      </c>
      <c r="AX10" s="848">
        <f t="shared" si="0"/>
        <v>323856.02899999998</v>
      </c>
      <c r="AY10" s="848">
        <f t="shared" ref="AY10:BN10" si="1">AY11+AY363+AY365+AY379+AY383+AY388+AY394+AY434+AY446+AY541+AY545+AY571</f>
        <v>797121.48899999994</v>
      </c>
      <c r="AZ10" s="848">
        <f t="shared" si="1"/>
        <v>250000</v>
      </c>
      <c r="BA10" s="848">
        <f t="shared" si="1"/>
        <v>0</v>
      </c>
      <c r="BB10" s="848">
        <f t="shared" si="1"/>
        <v>0</v>
      </c>
      <c r="BC10" s="848">
        <f t="shared" si="1"/>
        <v>150557</v>
      </c>
      <c r="BD10" s="848">
        <f t="shared" si="1"/>
        <v>13000</v>
      </c>
      <c r="BE10" s="848">
        <f t="shared" si="1"/>
        <v>0</v>
      </c>
      <c r="BF10" s="848">
        <f t="shared" si="1"/>
        <v>144123.51999999999</v>
      </c>
      <c r="BG10" s="848">
        <f t="shared" si="1"/>
        <v>10000</v>
      </c>
      <c r="BH10" s="848">
        <f t="shared" si="1"/>
        <v>725</v>
      </c>
      <c r="BI10" s="848">
        <f t="shared" si="1"/>
        <v>950</v>
      </c>
      <c r="BJ10" s="848">
        <f t="shared" si="1"/>
        <v>4973.4799999999996</v>
      </c>
      <c r="BK10" s="848">
        <f t="shared" si="1"/>
        <v>23117</v>
      </c>
      <c r="BL10" s="848">
        <f t="shared" si="1"/>
        <v>32.948</v>
      </c>
      <c r="BM10" s="848">
        <f t="shared" si="1"/>
        <v>44717</v>
      </c>
      <c r="BN10" s="848">
        <f t="shared" si="1"/>
        <v>126119.541</v>
      </c>
      <c r="BO10" s="848">
        <f>SUM(BP10:CE10)</f>
        <v>573418.27877999994</v>
      </c>
      <c r="BP10" s="848">
        <f t="shared" ref="BP10:CE10" si="2">BP11+BP363+BP365+BP379+BP383+BP388+BP394+BP434+BP446+BP541+BP545+BP571</f>
        <v>55204.676609000002</v>
      </c>
      <c r="BQ10" s="848">
        <f t="shared" si="2"/>
        <v>1022.673</v>
      </c>
      <c r="BR10" s="848">
        <f t="shared" si="2"/>
        <v>1180.6386480000001</v>
      </c>
      <c r="BS10" s="848">
        <f t="shared" si="2"/>
        <v>230506.01259999999</v>
      </c>
      <c r="BT10" s="848">
        <f t="shared" si="2"/>
        <v>14589.488799999999</v>
      </c>
      <c r="BU10" s="848">
        <f t="shared" si="2"/>
        <v>222</v>
      </c>
      <c r="BV10" s="848">
        <f t="shared" si="2"/>
        <v>3067.5259999999998</v>
      </c>
      <c r="BW10" s="848">
        <f t="shared" si="2"/>
        <v>0</v>
      </c>
      <c r="BX10" s="848">
        <f t="shared" si="2"/>
        <v>103193.733714</v>
      </c>
      <c r="BY10" s="848">
        <f t="shared" si="2"/>
        <v>441.19099999999997</v>
      </c>
      <c r="BZ10" s="848">
        <f t="shared" si="2"/>
        <v>3694.4713999999999</v>
      </c>
      <c r="CA10" s="848">
        <f t="shared" si="2"/>
        <v>18878.620191000002</v>
      </c>
      <c r="CB10" s="848">
        <f t="shared" si="2"/>
        <v>11267.762000000001</v>
      </c>
      <c r="CC10" s="848">
        <f t="shared" si="2"/>
        <v>519.31550000000004</v>
      </c>
      <c r="CD10" s="848">
        <f t="shared" si="2"/>
        <v>1435</v>
      </c>
      <c r="CE10" s="848">
        <f t="shared" si="2"/>
        <v>128195.16931800001</v>
      </c>
      <c r="CF10" s="848">
        <f>BO10/AY10%</f>
        <v>71.936120991965879</v>
      </c>
      <c r="CG10" s="848">
        <f>BP10/AZ10</f>
        <v>0.22081870643600002</v>
      </c>
      <c r="CH10" s="848"/>
      <c r="CI10" s="848"/>
      <c r="CJ10" s="848">
        <f t="shared" ref="CJ10:CR26" si="3">BS10/BC10*100</f>
        <v>153.10215572839522</v>
      </c>
      <c r="CK10" s="848">
        <f t="shared" si="3"/>
        <v>112.22683692307692</v>
      </c>
      <c r="CL10" s="848"/>
      <c r="CM10" s="848">
        <f t="shared" ref="CM10" si="4">BV10/BF10</f>
        <v>2.1284006940713078E-2</v>
      </c>
      <c r="CN10" s="848">
        <f t="shared" si="3"/>
        <v>0</v>
      </c>
      <c r="CO10" s="848"/>
      <c r="CP10" s="848">
        <f t="shared" si="3"/>
        <v>46.44115789473684</v>
      </c>
      <c r="CQ10" s="848">
        <f t="shared" si="3"/>
        <v>74.283427298390663</v>
      </c>
      <c r="CR10" s="848">
        <f t="shared" si="3"/>
        <v>81.665528360081325</v>
      </c>
      <c r="CS10" s="848"/>
      <c r="CT10" s="848">
        <f>CB10/BM10*100</f>
        <v>25.197938144329896</v>
      </c>
      <c r="CU10" s="848"/>
      <c r="CV10" s="848">
        <f t="shared" ref="CV10:CW20" si="5">CD10/BM10*100</f>
        <v>3.2090703759196724</v>
      </c>
      <c r="CW10" s="848">
        <f>CE10/BN10*100</f>
        <v>101.64576266416955</v>
      </c>
    </row>
    <row r="11" spans="1:112" ht="24.75" customHeight="1">
      <c r="A11" s="845" t="s">
        <v>2</v>
      </c>
      <c r="B11" s="845"/>
      <c r="C11" s="845" t="s">
        <v>356</v>
      </c>
      <c r="D11" s="846"/>
      <c r="E11" s="845"/>
      <c r="F11" s="847"/>
      <c r="G11" s="845"/>
      <c r="H11" s="848">
        <f t="shared" ref="H11:S11" si="6">SUM(H12,H17,H37,H42,H62,H65,H71,H107,H112,H140,H151,H184,H193,H218,H234,H237,H242,H246,H249,H252,H255,H258,H261,H264,H267,H270,H273,H318,H321,H348,H363)</f>
        <v>3434212.513607</v>
      </c>
      <c r="I11" s="848">
        <f t="shared" si="6"/>
        <v>64106.2</v>
      </c>
      <c r="J11" s="848">
        <f t="shared" si="6"/>
        <v>1200673.017</v>
      </c>
      <c r="K11" s="848">
        <f t="shared" si="6"/>
        <v>0</v>
      </c>
      <c r="L11" s="848">
        <f t="shared" si="6"/>
        <v>0</v>
      </c>
      <c r="M11" s="848">
        <f t="shared" si="6"/>
        <v>0</v>
      </c>
      <c r="N11" s="848">
        <f t="shared" si="6"/>
        <v>349441</v>
      </c>
      <c r="O11" s="848">
        <f t="shared" si="6"/>
        <v>29640.28</v>
      </c>
      <c r="P11" s="848">
        <f t="shared" si="6"/>
        <v>70642</v>
      </c>
      <c r="Q11" s="848">
        <f t="shared" si="6"/>
        <v>43583</v>
      </c>
      <c r="R11" s="848">
        <f t="shared" si="6"/>
        <v>1445853.252719</v>
      </c>
      <c r="S11" s="848">
        <f t="shared" si="6"/>
        <v>230273.76388799999</v>
      </c>
      <c r="T11" s="848">
        <f t="shared" ref="T11:AX11" si="7">T12+T17+T37+T42+T62+T65+T71+T107+T112+T140+T151+T184+T193+T218+T242+T246+T249+T252+T255+T258+T261+T264+T267+T270+T273+T318+T321</f>
        <v>970813.664858</v>
      </c>
      <c r="U11" s="848">
        <f t="shared" si="7"/>
        <v>251620.18047600001</v>
      </c>
      <c r="V11" s="848">
        <f t="shared" si="7"/>
        <v>15210.843735</v>
      </c>
      <c r="W11" s="848">
        <f t="shared" si="7"/>
        <v>494313.15139399999</v>
      </c>
      <c r="X11" s="848">
        <f t="shared" si="7"/>
        <v>0</v>
      </c>
      <c r="Y11" s="848">
        <f t="shared" si="7"/>
        <v>0</v>
      </c>
      <c r="Z11" s="848">
        <f t="shared" si="7"/>
        <v>23500</v>
      </c>
      <c r="AA11" s="848">
        <f t="shared" si="7"/>
        <v>11657.053</v>
      </c>
      <c r="AB11" s="848">
        <f t="shared" si="7"/>
        <v>102.6</v>
      </c>
      <c r="AC11" s="848">
        <f t="shared" si="7"/>
        <v>67823.129423999999</v>
      </c>
      <c r="AD11" s="848">
        <f t="shared" si="7"/>
        <v>0</v>
      </c>
      <c r="AE11" s="848">
        <f t="shared" si="7"/>
        <v>7387.1660000000002</v>
      </c>
      <c r="AF11" s="848">
        <f t="shared" si="7"/>
        <v>21085.241000000002</v>
      </c>
      <c r="AG11" s="848">
        <f t="shared" si="7"/>
        <v>0</v>
      </c>
      <c r="AH11" s="848">
        <f t="shared" si="7"/>
        <v>78114.299828999996</v>
      </c>
      <c r="AI11" s="848">
        <f t="shared" si="7"/>
        <v>1328204.369124</v>
      </c>
      <c r="AJ11" s="848">
        <f t="shared" si="7"/>
        <v>617062.63912399998</v>
      </c>
      <c r="AK11" s="848">
        <f t="shared" si="7"/>
        <v>27478</v>
      </c>
      <c r="AL11" s="848">
        <f t="shared" si="7"/>
        <v>400475.73000000004</v>
      </c>
      <c r="AM11" s="848">
        <f t="shared" si="7"/>
        <v>0</v>
      </c>
      <c r="AN11" s="848">
        <f t="shared" si="7"/>
        <v>0</v>
      </c>
      <c r="AO11" s="848">
        <f t="shared" si="7"/>
        <v>17000</v>
      </c>
      <c r="AP11" s="848">
        <f t="shared" si="7"/>
        <v>16578</v>
      </c>
      <c r="AQ11" s="848">
        <f t="shared" si="7"/>
        <v>103</v>
      </c>
      <c r="AR11" s="848">
        <f t="shared" si="7"/>
        <v>64544</v>
      </c>
      <c r="AS11" s="848">
        <f t="shared" si="7"/>
        <v>12301</v>
      </c>
      <c r="AT11" s="848">
        <f t="shared" si="7"/>
        <v>55420</v>
      </c>
      <c r="AU11" s="848">
        <f t="shared" si="7"/>
        <v>0</v>
      </c>
      <c r="AV11" s="848">
        <f t="shared" si="7"/>
        <v>9718</v>
      </c>
      <c r="AW11" s="848">
        <f t="shared" si="7"/>
        <v>33279</v>
      </c>
      <c r="AX11" s="848">
        <f t="shared" si="7"/>
        <v>74245</v>
      </c>
      <c r="AY11" s="848">
        <f t="shared" ref="AY11:BN11" si="8">AY12+AY17+AY37+AY42+AY62+AY65+AY71+AY107+AY112+AY140+AY151+AY184+AY193+AY218+AY242++AY234+AY237+AY246+AY249+AY252+AY255+AY258+AY261+AY264+AY267+AY270+AY273+AY318+AY321+AY348</f>
        <v>558981.54099999997</v>
      </c>
      <c r="AZ11" s="848">
        <f t="shared" si="8"/>
        <v>250000</v>
      </c>
      <c r="BA11" s="848">
        <f t="shared" si="8"/>
        <v>0</v>
      </c>
      <c r="BB11" s="848">
        <f t="shared" si="8"/>
        <v>0</v>
      </c>
      <c r="BC11" s="848">
        <f t="shared" si="8"/>
        <v>80600</v>
      </c>
      <c r="BD11" s="848">
        <f t="shared" si="8"/>
        <v>0</v>
      </c>
      <c r="BE11" s="848">
        <f t="shared" si="8"/>
        <v>0</v>
      </c>
      <c r="BF11" s="848">
        <f t="shared" si="8"/>
        <v>102958</v>
      </c>
      <c r="BG11" s="848">
        <f t="shared" si="8"/>
        <v>0</v>
      </c>
      <c r="BH11" s="848">
        <f t="shared" si="8"/>
        <v>725</v>
      </c>
      <c r="BI11" s="848">
        <f t="shared" si="8"/>
        <v>0</v>
      </c>
      <c r="BJ11" s="848">
        <f t="shared" si="8"/>
        <v>1875</v>
      </c>
      <c r="BK11" s="848">
        <f t="shared" si="8"/>
        <v>17868</v>
      </c>
      <c r="BL11" s="848">
        <f t="shared" si="8"/>
        <v>0</v>
      </c>
      <c r="BM11" s="848">
        <f t="shared" si="8"/>
        <v>44717</v>
      </c>
      <c r="BN11" s="848">
        <f t="shared" si="8"/>
        <v>31432.541000000001</v>
      </c>
      <c r="BO11" s="848">
        <f t="shared" ref="BO11:BO74" si="9">SUM(BP11:CE11)</f>
        <v>291483.48980700003</v>
      </c>
      <c r="BP11" s="848">
        <f t="shared" ref="BP11:BZ11" si="10">BP12+BP17+BP37+BP42+BP62+BP65+BP71+BP107+BP112+BP140+BP151+BP184+BP193+BP218+BP242++BP234+BP237+BP246+BP249+BP252+BP255+BP258+BP261+BP264+BP267+BP270+BP273+BP318+BP321+BP348</f>
        <v>40098.355660000001</v>
      </c>
      <c r="BQ11" s="848">
        <f t="shared" si="10"/>
        <v>559.05100000000004</v>
      </c>
      <c r="BR11" s="848">
        <f t="shared" si="10"/>
        <v>0</v>
      </c>
      <c r="BS11" s="848">
        <f t="shared" si="10"/>
        <v>125719.47908000002</v>
      </c>
      <c r="BT11" s="848">
        <f t="shared" si="10"/>
        <v>0</v>
      </c>
      <c r="BU11" s="848">
        <f t="shared" si="10"/>
        <v>222</v>
      </c>
      <c r="BV11" s="848">
        <f t="shared" si="10"/>
        <v>3067.5259999999998</v>
      </c>
      <c r="BW11" s="848">
        <f t="shared" si="10"/>
        <v>0</v>
      </c>
      <c r="BX11" s="848">
        <f>BX12+BX17+BX37+BX42+BX62+BX65+BX71+BX107+BX112+BX140+BX151+BX184+BX193+BX218+BX242++BX234+BX237+BX246+BX249+BX252+BX255+BX258+BX261+BX264+BX267+BX270+BX273+BX318+BX321+BX348</f>
        <v>62028.213713999998</v>
      </c>
      <c r="BY11" s="848">
        <f t="shared" si="10"/>
        <v>0</v>
      </c>
      <c r="BZ11" s="848">
        <f t="shared" si="10"/>
        <v>595.9914</v>
      </c>
      <c r="CA11" s="848">
        <f>CA12+CA17+CA37+CA42+CA62+CA65+CA71+CA107+CA112+CA140+CA151+CA184+CA193+CA218+CA242+CA234+CA237+CA246+CA249+CA252+CA255+CA258+CA261+CA264+CA267+CA270+CA273+CA318+CA321+CA348</f>
        <v>14004.581653000001</v>
      </c>
      <c r="CB11" s="848">
        <f>CB12+CB17+CB37+CB42+CB62+CB65+CB71+CB107+CB112+CB140+CB151+CB184+CB193+CB218+CB242++CB234+CB237+CB246+CB249+CB252+CB255+CB258+CB261+CB264+CB267+CB270+CB273+CB318+CB321+CB348</f>
        <v>11267.762000000001</v>
      </c>
      <c r="CC11" s="848">
        <f>CC12+CC17+CC37+CC42+CC62+CC65+CC71+CC107+CC112+CC140+CC151+CC184+CC193+CC218+CC242++CC234+CC237+CC246+CC249+CC252+CC255+CC258+CC261+CC264+CC267+CC270+CC273+CC318+CC321+CC348</f>
        <v>0</v>
      </c>
      <c r="CD11" s="848">
        <f>CD12+CD17+CD37+CD42+CD62+CD65+CD71+CD107+CD112+CD140+CD151+CD184+CD193+CD218+CD242++CD234+CD237+CD246+CD249+CD252+CD255+CD258+CD261+CD264+CD267+CD270+CD273+CD318+CD321+CD348</f>
        <v>1435</v>
      </c>
      <c r="CE11" s="848">
        <f>CE12+CE17+CE37+CE42+CE62+CE65+CE71+CE107+CE112+CE140+CE151+CE184+CE193+CE218+CE242++CE234+CE237+CE246+CE249+CE252+CE255+CE258+CE261+CE264+CE267+CE270+CE273+CE318+CE321+CE348</f>
        <v>32485.529300000002</v>
      </c>
      <c r="CF11" s="848">
        <f t="shared" ref="CF11:CF74" si="11">BO11/AY11%</f>
        <v>52.145458915431355</v>
      </c>
      <c r="CG11" s="848">
        <f>BP11/AZ11*100</f>
        <v>16.039342264000002</v>
      </c>
      <c r="CH11" s="848"/>
      <c r="CI11" s="848"/>
      <c r="CJ11" s="848">
        <f>BS11/BC11*100</f>
        <v>155.9795025806452</v>
      </c>
      <c r="CK11" s="848"/>
      <c r="CL11" s="848"/>
      <c r="CM11" s="848">
        <f>BV11/BF11*100</f>
        <v>2.9793954816527126</v>
      </c>
      <c r="CN11" s="848"/>
      <c r="CO11" s="848"/>
      <c r="CP11" s="848"/>
      <c r="CQ11" s="848">
        <f>BZ11/BJ11*100</f>
        <v>31.786207999999998</v>
      </c>
      <c r="CR11" s="848">
        <f>CA11/BK11*100</f>
        <v>78.378003430714131</v>
      </c>
      <c r="CS11" s="848"/>
      <c r="CT11" s="848">
        <f>CB11/BM11*100</f>
        <v>25.197938144329896</v>
      </c>
      <c r="CU11" s="848"/>
      <c r="CV11" s="848">
        <f t="shared" si="5"/>
        <v>3.2090703759196724</v>
      </c>
      <c r="CW11" s="848">
        <f t="shared" si="5"/>
        <v>103.34999419868728</v>
      </c>
      <c r="DH11" s="849">
        <f>BX21+BX62+BX321+BX571</f>
        <v>103193.733714</v>
      </c>
    </row>
    <row r="12" spans="1:112" ht="24.75" customHeight="1">
      <c r="A12" s="845" t="s">
        <v>11</v>
      </c>
      <c r="B12" s="845"/>
      <c r="C12" s="845" t="s">
        <v>357</v>
      </c>
      <c r="D12" s="846"/>
      <c r="E12" s="845"/>
      <c r="F12" s="847"/>
      <c r="G12" s="845"/>
      <c r="H12" s="850">
        <f>SUM(I12:S12)</f>
        <v>7237</v>
      </c>
      <c r="I12" s="848">
        <f t="shared" ref="I12:CE12" si="12">I13</f>
        <v>0</v>
      </c>
      <c r="J12" s="848">
        <f t="shared" si="12"/>
        <v>0</v>
      </c>
      <c r="K12" s="848">
        <f t="shared" si="12"/>
        <v>0</v>
      </c>
      <c r="L12" s="848">
        <f t="shared" si="12"/>
        <v>0</v>
      </c>
      <c r="M12" s="848">
        <f t="shared" si="12"/>
        <v>0</v>
      </c>
      <c r="N12" s="848">
        <f t="shared" si="12"/>
        <v>0</v>
      </c>
      <c r="O12" s="848">
        <f t="shared" si="12"/>
        <v>0</v>
      </c>
      <c r="P12" s="848">
        <f t="shared" si="12"/>
        <v>0</v>
      </c>
      <c r="Q12" s="848">
        <f t="shared" si="12"/>
        <v>0</v>
      </c>
      <c r="R12" s="848">
        <f>R13</f>
        <v>0</v>
      </c>
      <c r="S12" s="848">
        <f t="shared" si="12"/>
        <v>7237</v>
      </c>
      <c r="T12" s="848">
        <f t="shared" si="12"/>
        <v>5859</v>
      </c>
      <c r="U12" s="848">
        <f t="shared" si="12"/>
        <v>0</v>
      </c>
      <c r="V12" s="848">
        <f t="shared" si="12"/>
        <v>0</v>
      </c>
      <c r="W12" s="848">
        <f t="shared" si="12"/>
        <v>0</v>
      </c>
      <c r="X12" s="848">
        <f t="shared" si="12"/>
        <v>0</v>
      </c>
      <c r="Y12" s="848">
        <f t="shared" si="12"/>
        <v>0</v>
      </c>
      <c r="Z12" s="848">
        <f t="shared" si="12"/>
        <v>0</v>
      </c>
      <c r="AA12" s="848">
        <f t="shared" si="12"/>
        <v>3925</v>
      </c>
      <c r="AB12" s="848">
        <f t="shared" si="12"/>
        <v>0</v>
      </c>
      <c r="AC12" s="848">
        <f t="shared" si="12"/>
        <v>0</v>
      </c>
      <c r="AD12" s="848">
        <f t="shared" si="12"/>
        <v>0</v>
      </c>
      <c r="AE12" s="848">
        <f t="shared" si="12"/>
        <v>0</v>
      </c>
      <c r="AF12" s="848">
        <f t="shared" si="12"/>
        <v>0</v>
      </c>
      <c r="AG12" s="848">
        <f t="shared" si="12"/>
        <v>0</v>
      </c>
      <c r="AH12" s="848">
        <f>AH13</f>
        <v>1934</v>
      </c>
      <c r="AI12" s="848">
        <f t="shared" ref="AI12:AX12" si="13">AI13</f>
        <v>4519</v>
      </c>
      <c r="AJ12" s="848">
        <f t="shared" si="13"/>
        <v>0</v>
      </c>
      <c r="AK12" s="848">
        <f t="shared" si="13"/>
        <v>0</v>
      </c>
      <c r="AL12" s="848">
        <f t="shared" si="13"/>
        <v>0</v>
      </c>
      <c r="AM12" s="848">
        <f t="shared" si="13"/>
        <v>0</v>
      </c>
      <c r="AN12" s="848">
        <f t="shared" si="13"/>
        <v>0</v>
      </c>
      <c r="AO12" s="848">
        <f t="shared" si="13"/>
        <v>0</v>
      </c>
      <c r="AP12" s="848">
        <f t="shared" si="13"/>
        <v>2585</v>
      </c>
      <c r="AQ12" s="848">
        <f t="shared" si="13"/>
        <v>0</v>
      </c>
      <c r="AR12" s="848">
        <f t="shared" si="13"/>
        <v>0</v>
      </c>
      <c r="AS12" s="848">
        <f t="shared" si="13"/>
        <v>0</v>
      </c>
      <c r="AT12" s="848">
        <f t="shared" si="13"/>
        <v>0</v>
      </c>
      <c r="AU12" s="848">
        <f t="shared" si="13"/>
        <v>0</v>
      </c>
      <c r="AV12" s="848">
        <f t="shared" si="13"/>
        <v>0</v>
      </c>
      <c r="AW12" s="848">
        <f t="shared" si="13"/>
        <v>0</v>
      </c>
      <c r="AX12" s="848">
        <f t="shared" si="13"/>
        <v>1934</v>
      </c>
      <c r="AY12" s="848">
        <f>AY13</f>
        <v>147</v>
      </c>
      <c r="AZ12" s="848">
        <f>AZ13</f>
        <v>0</v>
      </c>
      <c r="BA12" s="848">
        <f t="shared" si="12"/>
        <v>0</v>
      </c>
      <c r="BB12" s="848">
        <f>BB13+BB18+BB38+BB43+BB63+BB66+BB72+BB108+BB113+BB141+BB152+BB185+BB194+BB219+BB243+BB247+BB250+BB253+BB256+BB259+BB262+BB265+BB268+BB271+BB274+BB319+BB322</f>
        <v>0</v>
      </c>
      <c r="BC12" s="848">
        <f>BC13</f>
        <v>0</v>
      </c>
      <c r="BD12" s="848">
        <f t="shared" ref="BD12:BS12" si="14">BD13</f>
        <v>0</v>
      </c>
      <c r="BE12" s="848">
        <f t="shared" si="14"/>
        <v>0</v>
      </c>
      <c r="BF12" s="848">
        <f t="shared" si="14"/>
        <v>0</v>
      </c>
      <c r="BG12" s="848">
        <f t="shared" si="14"/>
        <v>0</v>
      </c>
      <c r="BH12" s="848">
        <f t="shared" si="14"/>
        <v>0</v>
      </c>
      <c r="BI12" s="848">
        <f t="shared" si="14"/>
        <v>0</v>
      </c>
      <c r="BJ12" s="848">
        <f t="shared" si="14"/>
        <v>0</v>
      </c>
      <c r="BK12" s="848">
        <f t="shared" si="14"/>
        <v>0</v>
      </c>
      <c r="BL12" s="848">
        <f t="shared" si="14"/>
        <v>0</v>
      </c>
      <c r="BM12" s="848">
        <f t="shared" si="14"/>
        <v>0</v>
      </c>
      <c r="BN12" s="848">
        <f>BN13</f>
        <v>147</v>
      </c>
      <c r="BO12" s="848">
        <f t="shared" si="9"/>
        <v>145.77099999999999</v>
      </c>
      <c r="BP12" s="848">
        <f t="shared" si="14"/>
        <v>0</v>
      </c>
      <c r="BQ12" s="848">
        <f t="shared" si="14"/>
        <v>0</v>
      </c>
      <c r="BR12" s="848">
        <f t="shared" si="14"/>
        <v>0</v>
      </c>
      <c r="BS12" s="848">
        <f t="shared" si="14"/>
        <v>0</v>
      </c>
      <c r="BT12" s="848">
        <f t="shared" si="12"/>
        <v>0</v>
      </c>
      <c r="BU12" s="848"/>
      <c r="BV12" s="848">
        <f t="shared" si="12"/>
        <v>0</v>
      </c>
      <c r="BW12" s="848">
        <f t="shared" si="12"/>
        <v>0</v>
      </c>
      <c r="BX12" s="848">
        <f t="shared" si="12"/>
        <v>0</v>
      </c>
      <c r="BY12" s="848">
        <f t="shared" si="12"/>
        <v>0</v>
      </c>
      <c r="BZ12" s="848">
        <f t="shared" si="12"/>
        <v>0</v>
      </c>
      <c r="CA12" s="848">
        <f t="shared" si="12"/>
        <v>0</v>
      </c>
      <c r="CB12" s="848">
        <f t="shared" si="12"/>
        <v>0</v>
      </c>
      <c r="CC12" s="848">
        <f t="shared" si="12"/>
        <v>0</v>
      </c>
      <c r="CD12" s="848">
        <f t="shared" si="12"/>
        <v>0</v>
      </c>
      <c r="CE12" s="848">
        <f t="shared" si="12"/>
        <v>145.77099999999999</v>
      </c>
      <c r="CF12" s="848">
        <f t="shared" si="11"/>
        <v>99.163945578231292</v>
      </c>
      <c r="CG12" s="848"/>
      <c r="CH12" s="848"/>
      <c r="CI12" s="848"/>
      <c r="CJ12" s="848"/>
      <c r="CK12" s="848"/>
      <c r="CL12" s="848"/>
      <c r="CM12" s="848"/>
      <c r="CN12" s="848"/>
      <c r="CO12" s="848"/>
      <c r="CP12" s="848"/>
      <c r="CQ12" s="848"/>
      <c r="CR12" s="848"/>
      <c r="CS12" s="848"/>
      <c r="CT12" s="848"/>
      <c r="CU12" s="848"/>
      <c r="CV12" s="848"/>
      <c r="CW12" s="848">
        <f t="shared" si="5"/>
        <v>99.163945578231278</v>
      </c>
    </row>
    <row r="13" spans="1:112" s="851" customFormat="1" ht="24.75" customHeight="1">
      <c r="A13" s="845"/>
      <c r="B13" s="845"/>
      <c r="C13" s="845" t="s">
        <v>358</v>
      </c>
      <c r="D13" s="845"/>
      <c r="E13" s="845"/>
      <c r="F13" s="847"/>
      <c r="G13" s="845"/>
      <c r="H13" s="850">
        <f t="shared" ref="H13:H76" si="15">SUM(I13:S13)</f>
        <v>7237</v>
      </c>
      <c r="I13" s="848">
        <f t="shared" ref="I13:AH13" si="16">I14+I15+I16</f>
        <v>0</v>
      </c>
      <c r="J13" s="848">
        <f t="shared" si="16"/>
        <v>0</v>
      </c>
      <c r="K13" s="848">
        <f t="shared" si="16"/>
        <v>0</v>
      </c>
      <c r="L13" s="848">
        <f t="shared" si="16"/>
        <v>0</v>
      </c>
      <c r="M13" s="848">
        <f t="shared" si="16"/>
        <v>0</v>
      </c>
      <c r="N13" s="848">
        <f t="shared" si="16"/>
        <v>0</v>
      </c>
      <c r="O13" s="848">
        <f t="shared" si="16"/>
        <v>0</v>
      </c>
      <c r="P13" s="848">
        <f t="shared" si="16"/>
        <v>0</v>
      </c>
      <c r="Q13" s="848">
        <f t="shared" si="16"/>
        <v>0</v>
      </c>
      <c r="R13" s="848">
        <f t="shared" si="16"/>
        <v>0</v>
      </c>
      <c r="S13" s="848">
        <f t="shared" si="16"/>
        <v>7237</v>
      </c>
      <c r="T13" s="848">
        <f t="shared" si="16"/>
        <v>5859</v>
      </c>
      <c r="U13" s="848">
        <f t="shared" si="16"/>
        <v>0</v>
      </c>
      <c r="V13" s="848">
        <f t="shared" si="16"/>
        <v>0</v>
      </c>
      <c r="W13" s="848">
        <f t="shared" si="16"/>
        <v>0</v>
      </c>
      <c r="X13" s="848">
        <f t="shared" si="16"/>
        <v>0</v>
      </c>
      <c r="Y13" s="848">
        <f t="shared" si="16"/>
        <v>0</v>
      </c>
      <c r="Z13" s="848">
        <f t="shared" si="16"/>
        <v>0</v>
      </c>
      <c r="AA13" s="848">
        <f t="shared" si="16"/>
        <v>3925</v>
      </c>
      <c r="AB13" s="848">
        <f t="shared" si="16"/>
        <v>0</v>
      </c>
      <c r="AC13" s="848">
        <f t="shared" si="16"/>
        <v>0</v>
      </c>
      <c r="AD13" s="848">
        <f t="shared" si="16"/>
        <v>0</v>
      </c>
      <c r="AE13" s="848">
        <f t="shared" si="16"/>
        <v>0</v>
      </c>
      <c r="AF13" s="848">
        <f t="shared" si="16"/>
        <v>0</v>
      </c>
      <c r="AG13" s="848">
        <f t="shared" si="16"/>
        <v>0</v>
      </c>
      <c r="AH13" s="848">
        <f t="shared" si="16"/>
        <v>1934</v>
      </c>
      <c r="AI13" s="848">
        <f>AI14+AI15+AI16</f>
        <v>4519</v>
      </c>
      <c r="AJ13" s="848">
        <f t="shared" ref="AJ13:AX13" si="17">AJ14+AJ15+AJ16</f>
        <v>0</v>
      </c>
      <c r="AK13" s="848">
        <f t="shared" si="17"/>
        <v>0</v>
      </c>
      <c r="AL13" s="848">
        <f t="shared" si="17"/>
        <v>0</v>
      </c>
      <c r="AM13" s="848">
        <f t="shared" si="17"/>
        <v>0</v>
      </c>
      <c r="AN13" s="848">
        <f t="shared" si="17"/>
        <v>0</v>
      </c>
      <c r="AO13" s="848">
        <f t="shared" si="17"/>
        <v>0</v>
      </c>
      <c r="AP13" s="848">
        <f t="shared" si="17"/>
        <v>2585</v>
      </c>
      <c r="AQ13" s="848">
        <f t="shared" si="17"/>
        <v>0</v>
      </c>
      <c r="AR13" s="848">
        <f t="shared" si="17"/>
        <v>0</v>
      </c>
      <c r="AS13" s="848">
        <f t="shared" si="17"/>
        <v>0</v>
      </c>
      <c r="AT13" s="848">
        <f t="shared" si="17"/>
        <v>0</v>
      </c>
      <c r="AU13" s="848">
        <f t="shared" si="17"/>
        <v>0</v>
      </c>
      <c r="AV13" s="848">
        <f t="shared" si="17"/>
        <v>0</v>
      </c>
      <c r="AW13" s="848">
        <f t="shared" si="17"/>
        <v>0</v>
      </c>
      <c r="AX13" s="848">
        <f t="shared" si="17"/>
        <v>1934</v>
      </c>
      <c r="AY13" s="848">
        <f>AY14+AY15+AY16</f>
        <v>147</v>
      </c>
      <c r="AZ13" s="848">
        <f t="shared" ref="AZ13:CD13" si="18">AZ14+AZ15+AZ16</f>
        <v>0</v>
      </c>
      <c r="BA13" s="848">
        <f t="shared" si="18"/>
        <v>0</v>
      </c>
      <c r="BB13" s="848">
        <f t="shared" si="18"/>
        <v>0</v>
      </c>
      <c r="BC13" s="848">
        <f t="shared" si="18"/>
        <v>0</v>
      </c>
      <c r="BD13" s="848">
        <f t="shared" si="18"/>
        <v>0</v>
      </c>
      <c r="BE13" s="848">
        <f t="shared" si="18"/>
        <v>0</v>
      </c>
      <c r="BF13" s="848">
        <f t="shared" si="18"/>
        <v>0</v>
      </c>
      <c r="BG13" s="848">
        <f t="shared" si="18"/>
        <v>0</v>
      </c>
      <c r="BH13" s="848">
        <f t="shared" si="18"/>
        <v>0</v>
      </c>
      <c r="BI13" s="848">
        <f t="shared" si="18"/>
        <v>0</v>
      </c>
      <c r="BJ13" s="848">
        <f t="shared" si="18"/>
        <v>0</v>
      </c>
      <c r="BK13" s="848">
        <f t="shared" si="18"/>
        <v>0</v>
      </c>
      <c r="BL13" s="848">
        <f t="shared" si="18"/>
        <v>0</v>
      </c>
      <c r="BM13" s="848">
        <f t="shared" si="18"/>
        <v>0</v>
      </c>
      <c r="BN13" s="848">
        <f t="shared" si="18"/>
        <v>147</v>
      </c>
      <c r="BO13" s="848">
        <f t="shared" si="9"/>
        <v>145.77099999999999</v>
      </c>
      <c r="BP13" s="848">
        <f t="shared" si="18"/>
        <v>0</v>
      </c>
      <c r="BQ13" s="848">
        <f t="shared" si="18"/>
        <v>0</v>
      </c>
      <c r="BR13" s="848">
        <f t="shared" si="18"/>
        <v>0</v>
      </c>
      <c r="BS13" s="848">
        <f t="shared" si="18"/>
        <v>0</v>
      </c>
      <c r="BT13" s="848">
        <f t="shared" si="18"/>
        <v>0</v>
      </c>
      <c r="BU13" s="848">
        <f t="shared" si="18"/>
        <v>0</v>
      </c>
      <c r="BV13" s="848">
        <f t="shared" si="18"/>
        <v>0</v>
      </c>
      <c r="BW13" s="848">
        <f t="shared" si="18"/>
        <v>0</v>
      </c>
      <c r="BX13" s="848">
        <f t="shared" si="18"/>
        <v>0</v>
      </c>
      <c r="BY13" s="848">
        <f t="shared" si="18"/>
        <v>0</v>
      </c>
      <c r="BZ13" s="848">
        <f t="shared" si="18"/>
        <v>0</v>
      </c>
      <c r="CA13" s="848">
        <f>CA14+CA15+CA16</f>
        <v>0</v>
      </c>
      <c r="CB13" s="848">
        <f t="shared" si="18"/>
        <v>0</v>
      </c>
      <c r="CC13" s="848">
        <f t="shared" si="18"/>
        <v>0</v>
      </c>
      <c r="CD13" s="848">
        <f t="shared" si="18"/>
        <v>0</v>
      </c>
      <c r="CE13" s="848">
        <f>CE14+CE15+CE16</f>
        <v>145.77099999999999</v>
      </c>
      <c r="CF13" s="848">
        <f t="shared" si="11"/>
        <v>99.163945578231292</v>
      </c>
      <c r="CG13" s="848"/>
      <c r="CH13" s="848"/>
      <c r="CI13" s="848"/>
      <c r="CJ13" s="848"/>
      <c r="CK13" s="848"/>
      <c r="CL13" s="848"/>
      <c r="CM13" s="848"/>
      <c r="CN13" s="848"/>
      <c r="CO13" s="848"/>
      <c r="CP13" s="848"/>
      <c r="CQ13" s="848"/>
      <c r="CR13" s="848"/>
      <c r="CS13" s="848"/>
      <c r="CT13" s="848"/>
      <c r="CU13" s="848"/>
      <c r="CV13" s="848"/>
      <c r="CW13" s="848">
        <f t="shared" si="5"/>
        <v>99.163945578231278</v>
      </c>
    </row>
    <row r="14" spans="1:112" ht="27.6" customHeight="1">
      <c r="A14" s="845"/>
      <c r="B14" s="846" t="s">
        <v>357</v>
      </c>
      <c r="C14" s="852" t="s">
        <v>359</v>
      </c>
      <c r="D14" s="846"/>
      <c r="E14" s="845"/>
      <c r="F14" s="853">
        <v>2012</v>
      </c>
      <c r="G14" s="854" t="s">
        <v>360</v>
      </c>
      <c r="H14" s="850">
        <f t="shared" si="15"/>
        <v>1914</v>
      </c>
      <c r="I14" s="855"/>
      <c r="J14" s="855"/>
      <c r="K14" s="855"/>
      <c r="L14" s="855"/>
      <c r="M14" s="855"/>
      <c r="N14" s="855"/>
      <c r="O14" s="855"/>
      <c r="P14" s="855"/>
      <c r="Q14" s="855"/>
      <c r="R14" s="855"/>
      <c r="S14" s="855">
        <v>1914</v>
      </c>
      <c r="T14" s="855">
        <f>SUM(U14:AH14)</f>
        <v>3770</v>
      </c>
      <c r="U14" s="848"/>
      <c r="V14" s="848"/>
      <c r="W14" s="848"/>
      <c r="X14" s="848"/>
      <c r="Y14" s="848"/>
      <c r="Z14" s="848"/>
      <c r="AA14" s="855">
        <v>1855</v>
      </c>
      <c r="AB14" s="848"/>
      <c r="AC14" s="848"/>
      <c r="AD14" s="848"/>
      <c r="AE14" s="848"/>
      <c r="AF14" s="848"/>
      <c r="AG14" s="848"/>
      <c r="AH14" s="855">
        <v>1915</v>
      </c>
      <c r="AI14" s="855">
        <f>SUM(AJ14:AX14)</f>
        <v>3900</v>
      </c>
      <c r="AJ14" s="855"/>
      <c r="AK14" s="855"/>
      <c r="AL14" s="855"/>
      <c r="AM14" s="855"/>
      <c r="AN14" s="855"/>
      <c r="AO14" s="855"/>
      <c r="AP14" s="855">
        <v>1985</v>
      </c>
      <c r="AQ14" s="855"/>
      <c r="AR14" s="855"/>
      <c r="AS14" s="855"/>
      <c r="AT14" s="855"/>
      <c r="AU14" s="855"/>
      <c r="AV14" s="855"/>
      <c r="AW14" s="855"/>
      <c r="AX14" s="855">
        <v>1915</v>
      </c>
      <c r="AY14" s="855">
        <f>SUM(AZ14:BN14)</f>
        <v>64</v>
      </c>
      <c r="AZ14" s="855"/>
      <c r="BA14" s="855"/>
      <c r="BB14" s="855"/>
      <c r="BC14" s="855"/>
      <c r="BD14" s="855"/>
      <c r="BE14" s="855"/>
      <c r="BF14" s="855"/>
      <c r="BG14" s="855"/>
      <c r="BH14" s="855"/>
      <c r="BI14" s="855"/>
      <c r="BJ14" s="855"/>
      <c r="BK14" s="855"/>
      <c r="BL14" s="855"/>
      <c r="BM14" s="855"/>
      <c r="BN14" s="855">
        <f>'[10]bieu cu'!H12</f>
        <v>64</v>
      </c>
      <c r="BO14" s="848">
        <f t="shared" si="9"/>
        <v>63.676000000000002</v>
      </c>
      <c r="BP14" s="855"/>
      <c r="BQ14" s="855"/>
      <c r="BR14" s="855"/>
      <c r="BS14" s="855"/>
      <c r="BT14" s="855"/>
      <c r="BU14" s="855"/>
      <c r="BV14" s="855"/>
      <c r="BW14" s="855"/>
      <c r="BX14" s="855"/>
      <c r="BY14" s="855"/>
      <c r="BZ14" s="855"/>
      <c r="CA14" s="855"/>
      <c r="CB14" s="855"/>
      <c r="CC14" s="855"/>
      <c r="CD14" s="855"/>
      <c r="CE14" s="855">
        <f>'[10]bieu cu'!M12</f>
        <v>63.676000000000002</v>
      </c>
      <c r="CF14" s="848">
        <f t="shared" si="11"/>
        <v>99.493750000000006</v>
      </c>
      <c r="CG14" s="848"/>
      <c r="CH14" s="848"/>
      <c r="CI14" s="848"/>
      <c r="CJ14" s="848"/>
      <c r="CK14" s="848"/>
      <c r="CL14" s="848"/>
      <c r="CM14" s="848"/>
      <c r="CN14" s="848"/>
      <c r="CO14" s="848"/>
      <c r="CP14" s="848"/>
      <c r="CQ14" s="848"/>
      <c r="CR14" s="848"/>
      <c r="CS14" s="848"/>
      <c r="CT14" s="848"/>
      <c r="CU14" s="848"/>
      <c r="CV14" s="848"/>
      <c r="CW14" s="848">
        <f t="shared" si="5"/>
        <v>99.493750000000006</v>
      </c>
    </row>
    <row r="15" spans="1:112" ht="34.15" customHeight="1">
      <c r="A15" s="845"/>
      <c r="B15" s="846" t="s">
        <v>357</v>
      </c>
      <c r="C15" s="852" t="s">
        <v>361</v>
      </c>
      <c r="D15" s="846"/>
      <c r="E15" s="845"/>
      <c r="F15" s="853">
        <v>2011</v>
      </c>
      <c r="G15" s="854" t="s">
        <v>362</v>
      </c>
      <c r="H15" s="850">
        <f t="shared" si="15"/>
        <v>1602</v>
      </c>
      <c r="I15" s="855"/>
      <c r="J15" s="855"/>
      <c r="K15" s="855"/>
      <c r="L15" s="855"/>
      <c r="M15" s="855"/>
      <c r="N15" s="855"/>
      <c r="O15" s="855"/>
      <c r="P15" s="855"/>
      <c r="Q15" s="855"/>
      <c r="R15" s="855"/>
      <c r="S15" s="855">
        <v>1602</v>
      </c>
      <c r="T15" s="855">
        <f t="shared" ref="T15:T78" si="19">SUM(U15:AH15)</f>
        <v>2070</v>
      </c>
      <c r="U15" s="848"/>
      <c r="V15" s="848"/>
      <c r="W15" s="848"/>
      <c r="X15" s="848"/>
      <c r="Y15" s="848"/>
      <c r="Z15" s="848"/>
      <c r="AA15" s="855">
        <f>2070</f>
        <v>2070</v>
      </c>
      <c r="AB15" s="848"/>
      <c r="AC15" s="848"/>
      <c r="AD15" s="848"/>
      <c r="AE15" s="848"/>
      <c r="AF15" s="848"/>
      <c r="AG15" s="848"/>
      <c r="AH15" s="855">
        <v>0</v>
      </c>
      <c r="AI15" s="855">
        <f>AP15</f>
        <v>600</v>
      </c>
      <c r="AJ15" s="855"/>
      <c r="AK15" s="855"/>
      <c r="AL15" s="855"/>
      <c r="AM15" s="855"/>
      <c r="AN15" s="855"/>
      <c r="AO15" s="855"/>
      <c r="AP15" s="855">
        <v>600</v>
      </c>
      <c r="AQ15" s="855"/>
      <c r="AR15" s="855"/>
      <c r="AS15" s="855"/>
      <c r="AT15" s="855"/>
      <c r="AU15" s="855"/>
      <c r="AV15" s="855"/>
      <c r="AW15" s="855"/>
      <c r="AX15" s="855">
        <v>0</v>
      </c>
      <c r="AY15" s="855">
        <f t="shared" ref="AY15:AY16" si="20">SUM(AZ15:BN15)</f>
        <v>64</v>
      </c>
      <c r="AZ15" s="855"/>
      <c r="BA15" s="855"/>
      <c r="BB15" s="855"/>
      <c r="BC15" s="855"/>
      <c r="BD15" s="855"/>
      <c r="BE15" s="855"/>
      <c r="BF15" s="855"/>
      <c r="BG15" s="855"/>
      <c r="BH15" s="855"/>
      <c r="BI15" s="855"/>
      <c r="BJ15" s="855"/>
      <c r="BK15" s="855"/>
      <c r="BL15" s="855"/>
      <c r="BM15" s="855"/>
      <c r="BN15" s="855">
        <f>'[10]bieu cu'!H14</f>
        <v>64</v>
      </c>
      <c r="BO15" s="848">
        <f t="shared" si="9"/>
        <v>63.625999999999998</v>
      </c>
      <c r="BP15" s="855"/>
      <c r="BQ15" s="855"/>
      <c r="BR15" s="855"/>
      <c r="BS15" s="855"/>
      <c r="BT15" s="855"/>
      <c r="BU15" s="855"/>
      <c r="BV15" s="855"/>
      <c r="BW15" s="855"/>
      <c r="BX15" s="855"/>
      <c r="BY15" s="855"/>
      <c r="BZ15" s="855"/>
      <c r="CA15" s="855"/>
      <c r="CB15" s="855"/>
      <c r="CC15" s="855"/>
      <c r="CD15" s="855"/>
      <c r="CE15" s="855">
        <v>63.625999999999998</v>
      </c>
      <c r="CF15" s="848">
        <f t="shared" si="11"/>
        <v>99.415624999999991</v>
      </c>
      <c r="CG15" s="848"/>
      <c r="CH15" s="848"/>
      <c r="CI15" s="848"/>
      <c r="CJ15" s="848"/>
      <c r="CK15" s="848"/>
      <c r="CL15" s="848"/>
      <c r="CM15" s="848"/>
      <c r="CN15" s="848"/>
      <c r="CO15" s="848"/>
      <c r="CP15" s="848"/>
      <c r="CQ15" s="848"/>
      <c r="CR15" s="848"/>
      <c r="CS15" s="848"/>
      <c r="CT15" s="848"/>
      <c r="CU15" s="848"/>
      <c r="CV15" s="848"/>
      <c r="CW15" s="848">
        <f t="shared" si="5"/>
        <v>99.415624999999991</v>
      </c>
    </row>
    <row r="16" spans="1:112" ht="24.75" customHeight="1">
      <c r="A16" s="845"/>
      <c r="B16" s="846" t="s">
        <v>357</v>
      </c>
      <c r="C16" s="852" t="s">
        <v>363</v>
      </c>
      <c r="D16" s="846"/>
      <c r="E16" s="845"/>
      <c r="F16" s="853">
        <v>2010</v>
      </c>
      <c r="G16" s="856" t="s">
        <v>364</v>
      </c>
      <c r="H16" s="850">
        <f t="shared" si="15"/>
        <v>3721</v>
      </c>
      <c r="I16" s="855"/>
      <c r="J16" s="855"/>
      <c r="K16" s="855"/>
      <c r="L16" s="855"/>
      <c r="M16" s="855"/>
      <c r="N16" s="855"/>
      <c r="O16" s="855"/>
      <c r="P16" s="855"/>
      <c r="Q16" s="855"/>
      <c r="R16" s="855"/>
      <c r="S16" s="855">
        <v>3721</v>
      </c>
      <c r="T16" s="855">
        <f t="shared" si="19"/>
        <v>19</v>
      </c>
      <c r="U16" s="848"/>
      <c r="V16" s="848"/>
      <c r="W16" s="848"/>
      <c r="X16" s="848"/>
      <c r="Y16" s="848"/>
      <c r="Z16" s="848"/>
      <c r="AA16" s="848"/>
      <c r="AB16" s="848"/>
      <c r="AC16" s="848"/>
      <c r="AD16" s="848"/>
      <c r="AE16" s="848"/>
      <c r="AF16" s="848"/>
      <c r="AG16" s="848"/>
      <c r="AH16" s="855">
        <v>19</v>
      </c>
      <c r="AI16" s="855">
        <f>AX16</f>
        <v>19</v>
      </c>
      <c r="AJ16" s="855"/>
      <c r="AK16" s="855"/>
      <c r="AL16" s="855"/>
      <c r="AM16" s="855"/>
      <c r="AN16" s="855"/>
      <c r="AO16" s="855"/>
      <c r="AP16" s="855"/>
      <c r="AQ16" s="855"/>
      <c r="AR16" s="855"/>
      <c r="AS16" s="855"/>
      <c r="AT16" s="855"/>
      <c r="AU16" s="855"/>
      <c r="AV16" s="855"/>
      <c r="AW16" s="855"/>
      <c r="AX16" s="855">
        <v>19</v>
      </c>
      <c r="AY16" s="855">
        <f t="shared" si="20"/>
        <v>19</v>
      </c>
      <c r="AZ16" s="855"/>
      <c r="BA16" s="855"/>
      <c r="BB16" s="855"/>
      <c r="BC16" s="855"/>
      <c r="BD16" s="855"/>
      <c r="BE16" s="855"/>
      <c r="BF16" s="855"/>
      <c r="BG16" s="855"/>
      <c r="BH16" s="855"/>
      <c r="BI16" s="855"/>
      <c r="BJ16" s="855"/>
      <c r="BK16" s="855"/>
      <c r="BL16" s="855"/>
      <c r="BM16" s="855"/>
      <c r="BN16" s="855">
        <f>'[10]bieu cu'!H19</f>
        <v>19</v>
      </c>
      <c r="BO16" s="848">
        <f t="shared" si="9"/>
        <v>18.469000000000001</v>
      </c>
      <c r="BP16" s="855"/>
      <c r="BQ16" s="855"/>
      <c r="BR16" s="855"/>
      <c r="BS16" s="855"/>
      <c r="BT16" s="855"/>
      <c r="BU16" s="855"/>
      <c r="BV16" s="855"/>
      <c r="BW16" s="855"/>
      <c r="BX16" s="855"/>
      <c r="BY16" s="855"/>
      <c r="BZ16" s="855"/>
      <c r="CA16" s="855"/>
      <c r="CB16" s="855"/>
      <c r="CC16" s="855"/>
      <c r="CD16" s="855"/>
      <c r="CE16" s="855">
        <f>'[10]bieu cu'!M19</f>
        <v>18.469000000000001</v>
      </c>
      <c r="CF16" s="848">
        <f t="shared" si="11"/>
        <v>97.205263157894748</v>
      </c>
      <c r="CG16" s="848"/>
      <c r="CH16" s="848"/>
      <c r="CI16" s="848"/>
      <c r="CJ16" s="848"/>
      <c r="CK16" s="848"/>
      <c r="CL16" s="848"/>
      <c r="CM16" s="848"/>
      <c r="CN16" s="848"/>
      <c r="CO16" s="848"/>
      <c r="CP16" s="848"/>
      <c r="CQ16" s="848"/>
      <c r="CR16" s="848"/>
      <c r="CS16" s="848"/>
      <c r="CT16" s="848"/>
      <c r="CU16" s="848"/>
      <c r="CV16" s="848"/>
      <c r="CW16" s="848">
        <f t="shared" si="5"/>
        <v>97.205263157894734</v>
      </c>
    </row>
    <row r="17" spans="1:101" s="851" customFormat="1" ht="29.45" customHeight="1">
      <c r="A17" s="845" t="s">
        <v>7</v>
      </c>
      <c r="B17" s="845"/>
      <c r="C17" s="857" t="s">
        <v>365</v>
      </c>
      <c r="D17" s="845"/>
      <c r="E17" s="845">
        <f t="shared" ref="E17:CE17" si="21">E18+E21</f>
        <v>0</v>
      </c>
      <c r="F17" s="847"/>
      <c r="G17" s="845"/>
      <c r="H17" s="850">
        <f t="shared" si="15"/>
        <v>96490</v>
      </c>
      <c r="I17" s="848">
        <f t="shared" si="21"/>
        <v>0</v>
      </c>
      <c r="J17" s="848">
        <f t="shared" si="21"/>
        <v>0</v>
      </c>
      <c r="K17" s="848">
        <f t="shared" si="21"/>
        <v>0</v>
      </c>
      <c r="L17" s="848">
        <f t="shared" si="21"/>
        <v>0</v>
      </c>
      <c r="M17" s="848">
        <f t="shared" si="21"/>
        <v>0</v>
      </c>
      <c r="N17" s="848">
        <f t="shared" si="21"/>
        <v>0</v>
      </c>
      <c r="O17" s="848">
        <f t="shared" si="21"/>
        <v>0</v>
      </c>
      <c r="P17" s="848">
        <f t="shared" si="21"/>
        <v>70642</v>
      </c>
      <c r="Q17" s="848">
        <f t="shared" si="21"/>
        <v>12270</v>
      </c>
      <c r="R17" s="848">
        <v>0</v>
      </c>
      <c r="S17" s="848">
        <f t="shared" si="21"/>
        <v>13578</v>
      </c>
      <c r="T17" s="848">
        <f>T18+T21</f>
        <v>11106.053</v>
      </c>
      <c r="U17" s="848">
        <f t="shared" ref="U17:AG17" si="22">U18+U21</f>
        <v>0</v>
      </c>
      <c r="V17" s="848">
        <f t="shared" si="22"/>
        <v>0</v>
      </c>
      <c r="W17" s="848">
        <f t="shared" si="22"/>
        <v>0</v>
      </c>
      <c r="X17" s="848">
        <f t="shared" si="22"/>
        <v>0</v>
      </c>
      <c r="Y17" s="848">
        <f t="shared" si="22"/>
        <v>0</v>
      </c>
      <c r="Z17" s="848">
        <f t="shared" si="22"/>
        <v>0</v>
      </c>
      <c r="AA17" s="848">
        <f t="shared" si="22"/>
        <v>7732.0529999999999</v>
      </c>
      <c r="AB17" s="848">
        <f t="shared" si="22"/>
        <v>0</v>
      </c>
      <c r="AC17" s="848">
        <f t="shared" si="22"/>
        <v>0</v>
      </c>
      <c r="AD17" s="848">
        <f t="shared" si="22"/>
        <v>0</v>
      </c>
      <c r="AE17" s="848">
        <f t="shared" si="22"/>
        <v>0</v>
      </c>
      <c r="AF17" s="848">
        <f t="shared" si="22"/>
        <v>0</v>
      </c>
      <c r="AG17" s="848">
        <f t="shared" si="22"/>
        <v>0</v>
      </c>
      <c r="AH17" s="848">
        <f>AH18+AH21</f>
        <v>3374</v>
      </c>
      <c r="AI17" s="848">
        <f t="shared" si="21"/>
        <v>34732</v>
      </c>
      <c r="AJ17" s="848">
        <f t="shared" si="21"/>
        <v>0</v>
      </c>
      <c r="AK17" s="848">
        <f t="shared" si="21"/>
        <v>0</v>
      </c>
      <c r="AL17" s="848">
        <f t="shared" si="21"/>
        <v>3900</v>
      </c>
      <c r="AM17" s="848">
        <f t="shared" si="21"/>
        <v>0</v>
      </c>
      <c r="AN17" s="848">
        <f t="shared" si="21"/>
        <v>0</v>
      </c>
      <c r="AO17" s="848">
        <f t="shared" si="21"/>
        <v>0</v>
      </c>
      <c r="AP17" s="848">
        <f t="shared" si="21"/>
        <v>13993</v>
      </c>
      <c r="AQ17" s="848">
        <f t="shared" si="21"/>
        <v>0</v>
      </c>
      <c r="AR17" s="848">
        <f t="shared" si="21"/>
        <v>0</v>
      </c>
      <c r="AS17" s="848">
        <f t="shared" si="21"/>
        <v>0</v>
      </c>
      <c r="AT17" s="848">
        <f t="shared" si="21"/>
        <v>0</v>
      </c>
      <c r="AU17" s="848">
        <f t="shared" si="21"/>
        <v>0</v>
      </c>
      <c r="AV17" s="848">
        <f t="shared" si="21"/>
        <v>9718</v>
      </c>
      <c r="AW17" s="848">
        <f t="shared" si="21"/>
        <v>500</v>
      </c>
      <c r="AX17" s="848">
        <f t="shared" si="21"/>
        <v>6621</v>
      </c>
      <c r="AY17" s="848">
        <f t="shared" si="21"/>
        <v>18321</v>
      </c>
      <c r="AZ17" s="848">
        <f t="shared" si="21"/>
        <v>0</v>
      </c>
      <c r="BA17" s="848">
        <f t="shared" si="21"/>
        <v>0</v>
      </c>
      <c r="BB17" s="848">
        <f t="shared" si="21"/>
        <v>0</v>
      </c>
      <c r="BC17" s="848">
        <f t="shared" si="21"/>
        <v>0</v>
      </c>
      <c r="BD17" s="848">
        <f t="shared" si="21"/>
        <v>0</v>
      </c>
      <c r="BE17" s="848">
        <f t="shared" si="21"/>
        <v>0</v>
      </c>
      <c r="BF17" s="848">
        <f t="shared" si="21"/>
        <v>15000</v>
      </c>
      <c r="BG17" s="848">
        <f t="shared" si="21"/>
        <v>0</v>
      </c>
      <c r="BH17" s="848">
        <f t="shared" si="21"/>
        <v>0</v>
      </c>
      <c r="BI17" s="848">
        <f t="shared" si="21"/>
        <v>0</v>
      </c>
      <c r="BJ17" s="848">
        <f t="shared" si="21"/>
        <v>1875</v>
      </c>
      <c r="BK17" s="848">
        <f t="shared" si="21"/>
        <v>500</v>
      </c>
      <c r="BL17" s="848">
        <f t="shared" si="21"/>
        <v>0</v>
      </c>
      <c r="BM17" s="848">
        <f t="shared" si="21"/>
        <v>0</v>
      </c>
      <c r="BN17" s="848">
        <f t="shared" si="21"/>
        <v>946</v>
      </c>
      <c r="BO17" s="848">
        <f t="shared" si="9"/>
        <v>6809.9257999999991</v>
      </c>
      <c r="BP17" s="848">
        <f t="shared" si="21"/>
        <v>0</v>
      </c>
      <c r="BQ17" s="848">
        <f t="shared" si="21"/>
        <v>0</v>
      </c>
      <c r="BR17" s="848">
        <f t="shared" si="21"/>
        <v>0</v>
      </c>
      <c r="BS17" s="848">
        <f t="shared" si="21"/>
        <v>0</v>
      </c>
      <c r="BT17" s="848">
        <f t="shared" si="21"/>
        <v>0</v>
      </c>
      <c r="BU17" s="848">
        <f t="shared" si="21"/>
        <v>0</v>
      </c>
      <c r="BV17" s="848">
        <f t="shared" si="21"/>
        <v>0</v>
      </c>
      <c r="BW17" s="848">
        <f t="shared" si="21"/>
        <v>0</v>
      </c>
      <c r="BX17" s="848">
        <f t="shared" si="21"/>
        <v>4767.9343999999992</v>
      </c>
      <c r="BY17" s="848">
        <f t="shared" si="21"/>
        <v>0</v>
      </c>
      <c r="BZ17" s="848">
        <f>BZ18+BZ21</f>
        <v>595.9914</v>
      </c>
      <c r="CA17" s="848">
        <f t="shared" si="21"/>
        <v>500</v>
      </c>
      <c r="CB17" s="848">
        <f t="shared" si="21"/>
        <v>0</v>
      </c>
      <c r="CC17" s="848">
        <f t="shared" si="21"/>
        <v>0</v>
      </c>
      <c r="CD17" s="848">
        <f t="shared" si="21"/>
        <v>0</v>
      </c>
      <c r="CE17" s="848">
        <f t="shared" si="21"/>
        <v>946</v>
      </c>
      <c r="CF17" s="848">
        <f t="shared" ref="CF17" si="23">CF18+CF21</f>
        <v>788.81087936804988</v>
      </c>
      <c r="CG17" s="848"/>
      <c r="CH17" s="848"/>
      <c r="CI17" s="848"/>
      <c r="CJ17" s="848"/>
      <c r="CK17" s="848"/>
      <c r="CL17" s="848"/>
      <c r="CM17" s="848">
        <f t="shared" si="3"/>
        <v>0</v>
      </c>
      <c r="CN17" s="848"/>
      <c r="CO17" s="848"/>
      <c r="CP17" s="848"/>
      <c r="CQ17" s="848">
        <f t="shared" si="3"/>
        <v>31.786207999999998</v>
      </c>
      <c r="CR17" s="848">
        <f t="shared" si="3"/>
        <v>100</v>
      </c>
      <c r="CS17" s="848"/>
      <c r="CT17" s="848"/>
      <c r="CU17" s="848"/>
      <c r="CV17" s="848"/>
      <c r="CW17" s="848">
        <f t="shared" si="5"/>
        <v>100</v>
      </c>
    </row>
    <row r="18" spans="1:101" s="851" customFormat="1" ht="24.75" customHeight="1">
      <c r="A18" s="845" t="s">
        <v>30</v>
      </c>
      <c r="B18" s="846"/>
      <c r="C18" s="845" t="s">
        <v>358</v>
      </c>
      <c r="D18" s="846"/>
      <c r="E18" s="845">
        <f t="shared" ref="E18" si="24">E19+E20</f>
        <v>0</v>
      </c>
      <c r="F18" s="853"/>
      <c r="G18" s="846"/>
      <c r="H18" s="850">
        <f t="shared" si="15"/>
        <v>13578</v>
      </c>
      <c r="I18" s="848">
        <f t="shared" ref="I18:CE18" si="25">I19+I20</f>
        <v>0</v>
      </c>
      <c r="J18" s="848">
        <f t="shared" si="25"/>
        <v>0</v>
      </c>
      <c r="K18" s="848">
        <f t="shared" si="25"/>
        <v>0</v>
      </c>
      <c r="L18" s="848">
        <f t="shared" si="25"/>
        <v>0</v>
      </c>
      <c r="M18" s="848">
        <f t="shared" si="25"/>
        <v>0</v>
      </c>
      <c r="N18" s="848">
        <f t="shared" si="25"/>
        <v>0</v>
      </c>
      <c r="O18" s="848">
        <f t="shared" si="25"/>
        <v>0</v>
      </c>
      <c r="P18" s="848">
        <f t="shared" si="25"/>
        <v>0</v>
      </c>
      <c r="Q18" s="848">
        <f t="shared" si="25"/>
        <v>0</v>
      </c>
      <c r="R18" s="848">
        <v>0</v>
      </c>
      <c r="S18" s="848">
        <f t="shared" si="25"/>
        <v>13578</v>
      </c>
      <c r="T18" s="855">
        <f t="shared" si="19"/>
        <v>10651.053</v>
      </c>
      <c r="U18" s="848">
        <f t="shared" ref="U18:AG18" si="26">U19+U20</f>
        <v>0</v>
      </c>
      <c r="V18" s="848">
        <f t="shared" si="26"/>
        <v>0</v>
      </c>
      <c r="W18" s="848">
        <f t="shared" si="26"/>
        <v>0</v>
      </c>
      <c r="X18" s="848">
        <f t="shared" si="26"/>
        <v>0</v>
      </c>
      <c r="Y18" s="848">
        <f t="shared" si="26"/>
        <v>0</v>
      </c>
      <c r="Z18" s="848">
        <f t="shared" si="26"/>
        <v>0</v>
      </c>
      <c r="AA18" s="848">
        <f t="shared" si="26"/>
        <v>7732.0529999999999</v>
      </c>
      <c r="AB18" s="848">
        <f t="shared" si="26"/>
        <v>0</v>
      </c>
      <c r="AC18" s="848">
        <f t="shared" si="26"/>
        <v>0</v>
      </c>
      <c r="AD18" s="848">
        <f t="shared" si="26"/>
        <v>0</v>
      </c>
      <c r="AE18" s="848">
        <f t="shared" si="26"/>
        <v>0</v>
      </c>
      <c r="AF18" s="848">
        <f t="shared" si="26"/>
        <v>0</v>
      </c>
      <c r="AG18" s="848">
        <f t="shared" si="26"/>
        <v>0</v>
      </c>
      <c r="AH18" s="848">
        <f>AH19+AH20</f>
        <v>2919</v>
      </c>
      <c r="AI18" s="848">
        <f t="shared" ref="AI18:AX18" si="27">AI19+AI20</f>
        <v>14468</v>
      </c>
      <c r="AJ18" s="848">
        <f t="shared" si="27"/>
        <v>0</v>
      </c>
      <c r="AK18" s="848">
        <f t="shared" si="27"/>
        <v>0</v>
      </c>
      <c r="AL18" s="848">
        <f t="shared" si="27"/>
        <v>0</v>
      </c>
      <c r="AM18" s="848">
        <f t="shared" si="27"/>
        <v>0</v>
      </c>
      <c r="AN18" s="848">
        <f t="shared" si="27"/>
        <v>0</v>
      </c>
      <c r="AO18" s="848">
        <f t="shared" si="27"/>
        <v>0</v>
      </c>
      <c r="AP18" s="848">
        <f t="shared" si="27"/>
        <v>8302</v>
      </c>
      <c r="AQ18" s="848">
        <f t="shared" si="27"/>
        <v>0</v>
      </c>
      <c r="AR18" s="848">
        <f t="shared" si="27"/>
        <v>0</v>
      </c>
      <c r="AS18" s="848">
        <f t="shared" si="27"/>
        <v>0</v>
      </c>
      <c r="AT18" s="848">
        <f t="shared" si="27"/>
        <v>0</v>
      </c>
      <c r="AU18" s="848">
        <f t="shared" si="27"/>
        <v>0</v>
      </c>
      <c r="AV18" s="848">
        <f t="shared" si="27"/>
        <v>0</v>
      </c>
      <c r="AW18" s="848">
        <f t="shared" si="27"/>
        <v>0</v>
      </c>
      <c r="AX18" s="848">
        <f t="shared" si="27"/>
        <v>6166</v>
      </c>
      <c r="AY18" s="848">
        <f t="shared" si="25"/>
        <v>946</v>
      </c>
      <c r="AZ18" s="848">
        <f t="shared" si="25"/>
        <v>0</v>
      </c>
      <c r="BA18" s="848">
        <f t="shared" si="25"/>
        <v>0</v>
      </c>
      <c r="BB18" s="848">
        <f t="shared" si="25"/>
        <v>0</v>
      </c>
      <c r="BC18" s="848">
        <f>BC19+BC20</f>
        <v>0</v>
      </c>
      <c r="BD18" s="848">
        <f t="shared" si="25"/>
        <v>0</v>
      </c>
      <c r="BE18" s="848">
        <f t="shared" si="25"/>
        <v>0</v>
      </c>
      <c r="BF18" s="848">
        <f t="shared" si="25"/>
        <v>0</v>
      </c>
      <c r="BG18" s="848">
        <f t="shared" si="25"/>
        <v>0</v>
      </c>
      <c r="BH18" s="848">
        <f t="shared" si="25"/>
        <v>0</v>
      </c>
      <c r="BI18" s="848">
        <f t="shared" si="25"/>
        <v>0</v>
      </c>
      <c r="BJ18" s="848">
        <f t="shared" si="25"/>
        <v>0</v>
      </c>
      <c r="BK18" s="848">
        <f t="shared" si="25"/>
        <v>0</v>
      </c>
      <c r="BL18" s="848">
        <f t="shared" si="25"/>
        <v>0</v>
      </c>
      <c r="BM18" s="848">
        <f t="shared" si="25"/>
        <v>0</v>
      </c>
      <c r="BN18" s="848">
        <f t="shared" si="25"/>
        <v>946</v>
      </c>
      <c r="BO18" s="848">
        <f t="shared" si="9"/>
        <v>946</v>
      </c>
      <c r="BP18" s="848">
        <f t="shared" si="25"/>
        <v>0</v>
      </c>
      <c r="BQ18" s="848">
        <f t="shared" si="25"/>
        <v>0</v>
      </c>
      <c r="BR18" s="848">
        <f t="shared" si="25"/>
        <v>0</v>
      </c>
      <c r="BS18" s="848">
        <f>BS19+BS20</f>
        <v>0</v>
      </c>
      <c r="BT18" s="848">
        <f t="shared" si="25"/>
        <v>0</v>
      </c>
      <c r="BU18" s="848">
        <f t="shared" si="25"/>
        <v>0</v>
      </c>
      <c r="BV18" s="848">
        <f t="shared" si="25"/>
        <v>0</v>
      </c>
      <c r="BW18" s="848">
        <f t="shared" si="25"/>
        <v>0</v>
      </c>
      <c r="BX18" s="848">
        <f t="shared" si="25"/>
        <v>0</v>
      </c>
      <c r="BY18" s="848">
        <f t="shared" si="25"/>
        <v>0</v>
      </c>
      <c r="BZ18" s="848">
        <f t="shared" si="25"/>
        <v>0</v>
      </c>
      <c r="CA18" s="848">
        <f>CA19+CA20</f>
        <v>0</v>
      </c>
      <c r="CB18" s="848">
        <f t="shared" si="25"/>
        <v>0</v>
      </c>
      <c r="CC18" s="848">
        <f t="shared" si="25"/>
        <v>0</v>
      </c>
      <c r="CD18" s="848">
        <f t="shared" si="25"/>
        <v>0</v>
      </c>
      <c r="CE18" s="848">
        <f t="shared" si="25"/>
        <v>946</v>
      </c>
      <c r="CF18" s="848">
        <f t="shared" si="11"/>
        <v>99.999999999999986</v>
      </c>
      <c r="CG18" s="848"/>
      <c r="CH18" s="848"/>
      <c r="CI18" s="848"/>
      <c r="CJ18" s="848"/>
      <c r="CK18" s="848"/>
      <c r="CL18" s="848"/>
      <c r="CM18" s="848"/>
      <c r="CN18" s="848"/>
      <c r="CO18" s="848"/>
      <c r="CP18" s="848"/>
      <c r="CQ18" s="848"/>
      <c r="CR18" s="848"/>
      <c r="CS18" s="848"/>
      <c r="CT18" s="848"/>
      <c r="CU18" s="848"/>
      <c r="CV18" s="848"/>
      <c r="CW18" s="848">
        <f t="shared" si="5"/>
        <v>100</v>
      </c>
    </row>
    <row r="19" spans="1:101" ht="24.75" customHeight="1">
      <c r="A19" s="845"/>
      <c r="B19" s="852" t="s">
        <v>365</v>
      </c>
      <c r="C19" s="852" t="s">
        <v>366</v>
      </c>
      <c r="D19" s="846" t="s">
        <v>236</v>
      </c>
      <c r="E19" s="845"/>
      <c r="F19" s="853" t="s">
        <v>367</v>
      </c>
      <c r="G19" s="846" t="s">
        <v>368</v>
      </c>
      <c r="H19" s="850">
        <f t="shared" si="15"/>
        <v>3664</v>
      </c>
      <c r="I19" s="855"/>
      <c r="J19" s="855"/>
      <c r="K19" s="855"/>
      <c r="L19" s="855"/>
      <c r="M19" s="855"/>
      <c r="N19" s="855"/>
      <c r="O19" s="855"/>
      <c r="P19" s="855"/>
      <c r="Q19" s="855"/>
      <c r="R19" s="855"/>
      <c r="S19" s="855">
        <v>3664</v>
      </c>
      <c r="T19" s="855">
        <f t="shared" si="19"/>
        <v>5367.2</v>
      </c>
      <c r="U19" s="848"/>
      <c r="V19" s="848"/>
      <c r="W19" s="848"/>
      <c r="X19" s="848"/>
      <c r="Y19" s="848"/>
      <c r="Z19" s="848"/>
      <c r="AA19" s="855">
        <f>2448.2</f>
        <v>2448.1999999999998</v>
      </c>
      <c r="AB19" s="848"/>
      <c r="AC19" s="848"/>
      <c r="AD19" s="848"/>
      <c r="AE19" s="848"/>
      <c r="AF19" s="848"/>
      <c r="AG19" s="848"/>
      <c r="AH19" s="855">
        <v>2919</v>
      </c>
      <c r="AI19" s="855">
        <f>AP19+AX19</f>
        <v>4554</v>
      </c>
      <c r="AJ19" s="855"/>
      <c r="AK19" s="855"/>
      <c r="AL19" s="855"/>
      <c r="AM19" s="855"/>
      <c r="AN19" s="855"/>
      <c r="AO19" s="855"/>
      <c r="AP19" s="855">
        <v>3018</v>
      </c>
      <c r="AQ19" s="855"/>
      <c r="AR19" s="855"/>
      <c r="AS19" s="855"/>
      <c r="AT19" s="855"/>
      <c r="AU19" s="855"/>
      <c r="AV19" s="855"/>
      <c r="AW19" s="855"/>
      <c r="AX19" s="855">
        <v>1536</v>
      </c>
      <c r="AY19" s="855">
        <f>SUM(AZ19:BN19)</f>
        <v>46</v>
      </c>
      <c r="AZ19" s="855"/>
      <c r="BA19" s="855"/>
      <c r="BB19" s="855"/>
      <c r="BC19" s="855"/>
      <c r="BD19" s="855"/>
      <c r="BE19" s="855"/>
      <c r="BF19" s="855"/>
      <c r="BG19" s="855"/>
      <c r="BH19" s="855"/>
      <c r="BI19" s="855"/>
      <c r="BJ19" s="855"/>
      <c r="BK19" s="855"/>
      <c r="BL19" s="855"/>
      <c r="BM19" s="855"/>
      <c r="BN19" s="855">
        <f>'[10]bieu cu'!H35</f>
        <v>46</v>
      </c>
      <c r="BO19" s="848">
        <f t="shared" si="9"/>
        <v>46</v>
      </c>
      <c r="BP19" s="855"/>
      <c r="BQ19" s="855"/>
      <c r="BR19" s="855"/>
      <c r="BS19" s="855"/>
      <c r="BT19" s="855"/>
      <c r="BU19" s="855"/>
      <c r="BV19" s="855"/>
      <c r="BW19" s="855"/>
      <c r="BX19" s="855"/>
      <c r="BY19" s="855"/>
      <c r="BZ19" s="855"/>
      <c r="CA19" s="855"/>
      <c r="CB19" s="855"/>
      <c r="CC19" s="855"/>
      <c r="CD19" s="855"/>
      <c r="CE19" s="855">
        <f>'[10]bieu cu'!M35</f>
        <v>46</v>
      </c>
      <c r="CF19" s="848">
        <f t="shared" si="11"/>
        <v>100</v>
      </c>
      <c r="CG19" s="848"/>
      <c r="CH19" s="848"/>
      <c r="CI19" s="848"/>
      <c r="CJ19" s="848"/>
      <c r="CK19" s="848"/>
      <c r="CL19" s="848"/>
      <c r="CM19" s="848"/>
      <c r="CN19" s="848"/>
      <c r="CO19" s="848"/>
      <c r="CP19" s="848"/>
      <c r="CQ19" s="848"/>
      <c r="CR19" s="848"/>
      <c r="CS19" s="848"/>
      <c r="CT19" s="848"/>
      <c r="CU19" s="848"/>
      <c r="CV19" s="848"/>
      <c r="CW19" s="848">
        <f t="shared" si="5"/>
        <v>100</v>
      </c>
    </row>
    <row r="20" spans="1:101" ht="24.75" customHeight="1">
      <c r="A20" s="845"/>
      <c r="B20" s="852" t="s">
        <v>365</v>
      </c>
      <c r="C20" s="852" t="s">
        <v>369</v>
      </c>
      <c r="D20" s="846" t="s">
        <v>239</v>
      </c>
      <c r="E20" s="845"/>
      <c r="F20" s="853">
        <v>2013</v>
      </c>
      <c r="G20" s="846" t="s">
        <v>370</v>
      </c>
      <c r="H20" s="850">
        <f t="shared" si="15"/>
        <v>9914</v>
      </c>
      <c r="I20" s="855"/>
      <c r="J20" s="855"/>
      <c r="K20" s="855"/>
      <c r="L20" s="855"/>
      <c r="M20" s="855"/>
      <c r="N20" s="855"/>
      <c r="O20" s="855"/>
      <c r="P20" s="855"/>
      <c r="Q20" s="855"/>
      <c r="R20" s="855"/>
      <c r="S20" s="855">
        <v>9914</v>
      </c>
      <c r="T20" s="855">
        <f t="shared" si="19"/>
        <v>5283.8530000000001</v>
      </c>
      <c r="U20" s="848"/>
      <c r="V20" s="848"/>
      <c r="W20" s="848"/>
      <c r="X20" s="848"/>
      <c r="Y20" s="848"/>
      <c r="Z20" s="848"/>
      <c r="AA20" s="855">
        <f>5283.853</f>
        <v>5283.8530000000001</v>
      </c>
      <c r="AB20" s="848"/>
      <c r="AC20" s="848"/>
      <c r="AD20" s="848"/>
      <c r="AE20" s="848"/>
      <c r="AF20" s="848"/>
      <c r="AG20" s="848"/>
      <c r="AH20" s="855">
        <v>0</v>
      </c>
      <c r="AI20" s="855">
        <f>AP20+AX20</f>
        <v>9914</v>
      </c>
      <c r="AJ20" s="855"/>
      <c r="AK20" s="855"/>
      <c r="AL20" s="855"/>
      <c r="AM20" s="855"/>
      <c r="AN20" s="855"/>
      <c r="AO20" s="855"/>
      <c r="AP20" s="855">
        <v>5284</v>
      </c>
      <c r="AQ20" s="855"/>
      <c r="AR20" s="855"/>
      <c r="AS20" s="855"/>
      <c r="AT20" s="855"/>
      <c r="AU20" s="855"/>
      <c r="AV20" s="855"/>
      <c r="AW20" s="855"/>
      <c r="AX20" s="855">
        <v>4630</v>
      </c>
      <c r="AY20" s="855">
        <f>SUM(AZ20:BN20)</f>
        <v>900</v>
      </c>
      <c r="AZ20" s="855"/>
      <c r="BA20" s="855"/>
      <c r="BB20" s="855"/>
      <c r="BC20" s="855"/>
      <c r="BD20" s="855"/>
      <c r="BE20" s="855"/>
      <c r="BF20" s="855"/>
      <c r="BG20" s="855"/>
      <c r="BH20" s="855"/>
      <c r="BI20" s="855"/>
      <c r="BJ20" s="855"/>
      <c r="BK20" s="855"/>
      <c r="BL20" s="855"/>
      <c r="BM20" s="855"/>
      <c r="BN20" s="855">
        <f>'[10]bieu cu'!H74</f>
        <v>900</v>
      </c>
      <c r="BO20" s="848">
        <f t="shared" si="9"/>
        <v>900</v>
      </c>
      <c r="BP20" s="855"/>
      <c r="BQ20" s="855"/>
      <c r="BR20" s="855"/>
      <c r="BS20" s="855"/>
      <c r="BT20" s="855"/>
      <c r="BU20" s="855"/>
      <c r="BV20" s="855"/>
      <c r="BW20" s="855"/>
      <c r="BX20" s="855"/>
      <c r="BY20" s="855"/>
      <c r="BZ20" s="855"/>
      <c r="CA20" s="855"/>
      <c r="CB20" s="855"/>
      <c r="CC20" s="855"/>
      <c r="CD20" s="855"/>
      <c r="CE20" s="855">
        <f>'[10]bieu cu'!M74</f>
        <v>900</v>
      </c>
      <c r="CF20" s="848">
        <f t="shared" si="11"/>
        <v>100</v>
      </c>
      <c r="CG20" s="848"/>
      <c r="CH20" s="848"/>
      <c r="CI20" s="848"/>
      <c r="CJ20" s="848"/>
      <c r="CK20" s="848"/>
      <c r="CL20" s="848"/>
      <c r="CM20" s="848"/>
      <c r="CN20" s="848"/>
      <c r="CO20" s="848"/>
      <c r="CP20" s="848"/>
      <c r="CQ20" s="848"/>
      <c r="CR20" s="848"/>
      <c r="CS20" s="848"/>
      <c r="CT20" s="848"/>
      <c r="CU20" s="848"/>
      <c r="CV20" s="848"/>
      <c r="CW20" s="848">
        <f t="shared" si="5"/>
        <v>100</v>
      </c>
    </row>
    <row r="21" spans="1:101" ht="24.75" customHeight="1">
      <c r="A21" s="845" t="s">
        <v>31</v>
      </c>
      <c r="B21" s="845"/>
      <c r="C21" s="857" t="s">
        <v>371</v>
      </c>
      <c r="D21" s="846">
        <f>SUM(D22:D36)</f>
        <v>0</v>
      </c>
      <c r="E21" s="845">
        <f t="shared" ref="E21" si="28">SUM(E22:E36)</f>
        <v>0</v>
      </c>
      <c r="F21" s="847"/>
      <c r="G21" s="845"/>
      <c r="H21" s="850">
        <f t="shared" si="15"/>
        <v>82912</v>
      </c>
      <c r="I21" s="848">
        <f t="shared" ref="I21:BT21" si="29">SUM(I22:I36)</f>
        <v>0</v>
      </c>
      <c r="J21" s="848">
        <f t="shared" si="29"/>
        <v>0</v>
      </c>
      <c r="K21" s="848">
        <f t="shared" si="29"/>
        <v>0</v>
      </c>
      <c r="L21" s="848">
        <f t="shared" si="29"/>
        <v>0</v>
      </c>
      <c r="M21" s="848">
        <f t="shared" si="29"/>
        <v>0</v>
      </c>
      <c r="N21" s="848">
        <f t="shared" si="29"/>
        <v>0</v>
      </c>
      <c r="O21" s="848">
        <f t="shared" si="29"/>
        <v>0</v>
      </c>
      <c r="P21" s="848">
        <f t="shared" si="29"/>
        <v>70642</v>
      </c>
      <c r="Q21" s="848">
        <f t="shared" si="29"/>
        <v>12270</v>
      </c>
      <c r="R21" s="848"/>
      <c r="S21" s="848">
        <f t="shared" si="29"/>
        <v>0</v>
      </c>
      <c r="T21" s="848">
        <f t="shared" si="29"/>
        <v>455</v>
      </c>
      <c r="U21" s="848">
        <f t="shared" si="29"/>
        <v>0</v>
      </c>
      <c r="V21" s="848">
        <f t="shared" si="29"/>
        <v>0</v>
      </c>
      <c r="W21" s="848">
        <f t="shared" si="29"/>
        <v>0</v>
      </c>
      <c r="X21" s="848">
        <f t="shared" si="29"/>
        <v>0</v>
      </c>
      <c r="Y21" s="848">
        <f t="shared" si="29"/>
        <v>0</v>
      </c>
      <c r="Z21" s="848">
        <f t="shared" si="29"/>
        <v>0</v>
      </c>
      <c r="AA21" s="848">
        <f t="shared" si="29"/>
        <v>0</v>
      </c>
      <c r="AB21" s="848">
        <f t="shared" si="29"/>
        <v>0</v>
      </c>
      <c r="AC21" s="848">
        <f t="shared" si="29"/>
        <v>0</v>
      </c>
      <c r="AD21" s="848">
        <f t="shared" si="29"/>
        <v>0</v>
      </c>
      <c r="AE21" s="848">
        <f t="shared" si="29"/>
        <v>0</v>
      </c>
      <c r="AF21" s="848">
        <f t="shared" si="29"/>
        <v>0</v>
      </c>
      <c r="AG21" s="848">
        <f t="shared" si="29"/>
        <v>0</v>
      </c>
      <c r="AH21" s="848">
        <f t="shared" si="29"/>
        <v>455</v>
      </c>
      <c r="AI21" s="848">
        <f t="shared" si="29"/>
        <v>20264</v>
      </c>
      <c r="AJ21" s="848">
        <f>SUM(AJ22:AJ36)</f>
        <v>0</v>
      </c>
      <c r="AK21" s="848">
        <f t="shared" si="29"/>
        <v>0</v>
      </c>
      <c r="AL21" s="848">
        <f t="shared" si="29"/>
        <v>3900</v>
      </c>
      <c r="AM21" s="848">
        <f t="shared" si="29"/>
        <v>0</v>
      </c>
      <c r="AN21" s="848">
        <f t="shared" si="29"/>
        <v>0</v>
      </c>
      <c r="AO21" s="848">
        <f t="shared" si="29"/>
        <v>0</v>
      </c>
      <c r="AP21" s="848">
        <f t="shared" si="29"/>
        <v>5691</v>
      </c>
      <c r="AQ21" s="848">
        <f t="shared" si="29"/>
        <v>0</v>
      </c>
      <c r="AR21" s="848">
        <f t="shared" si="29"/>
        <v>0</v>
      </c>
      <c r="AS21" s="848">
        <f t="shared" si="29"/>
        <v>0</v>
      </c>
      <c r="AT21" s="848">
        <f t="shared" si="29"/>
        <v>0</v>
      </c>
      <c r="AU21" s="848">
        <f t="shared" si="29"/>
        <v>0</v>
      </c>
      <c r="AV21" s="848">
        <f t="shared" si="29"/>
        <v>9718</v>
      </c>
      <c r="AW21" s="848">
        <f t="shared" si="29"/>
        <v>500</v>
      </c>
      <c r="AX21" s="848">
        <f t="shared" si="29"/>
        <v>455</v>
      </c>
      <c r="AY21" s="848">
        <f t="shared" si="29"/>
        <v>17375</v>
      </c>
      <c r="AZ21" s="848">
        <f t="shared" si="29"/>
        <v>0</v>
      </c>
      <c r="BA21" s="848">
        <f t="shared" si="29"/>
        <v>0</v>
      </c>
      <c r="BB21" s="848">
        <f t="shared" si="29"/>
        <v>0</v>
      </c>
      <c r="BC21" s="848">
        <f t="shared" si="29"/>
        <v>0</v>
      </c>
      <c r="BD21" s="848">
        <f t="shared" si="29"/>
        <v>0</v>
      </c>
      <c r="BE21" s="848">
        <f t="shared" si="29"/>
        <v>0</v>
      </c>
      <c r="BF21" s="848">
        <f t="shared" si="29"/>
        <v>15000</v>
      </c>
      <c r="BG21" s="848">
        <f t="shared" si="29"/>
        <v>0</v>
      </c>
      <c r="BH21" s="848">
        <f t="shared" si="29"/>
        <v>0</v>
      </c>
      <c r="BI21" s="848">
        <f t="shared" si="29"/>
        <v>0</v>
      </c>
      <c r="BJ21" s="848">
        <f t="shared" si="29"/>
        <v>1875</v>
      </c>
      <c r="BK21" s="848">
        <f t="shared" si="29"/>
        <v>500</v>
      </c>
      <c r="BL21" s="848">
        <f t="shared" si="29"/>
        <v>0</v>
      </c>
      <c r="BM21" s="848">
        <f t="shared" si="29"/>
        <v>0</v>
      </c>
      <c r="BN21" s="848">
        <f t="shared" si="29"/>
        <v>0</v>
      </c>
      <c r="BO21" s="848">
        <f t="shared" si="9"/>
        <v>5863.9257999999991</v>
      </c>
      <c r="BP21" s="848">
        <f t="shared" si="29"/>
        <v>0</v>
      </c>
      <c r="BQ21" s="848">
        <f t="shared" si="29"/>
        <v>0</v>
      </c>
      <c r="BR21" s="848">
        <f t="shared" si="29"/>
        <v>0</v>
      </c>
      <c r="BS21" s="848">
        <f>SUM(BS22:BS36)</f>
        <v>0</v>
      </c>
      <c r="BT21" s="848">
        <f t="shared" si="29"/>
        <v>0</v>
      </c>
      <c r="BU21" s="848">
        <f t="shared" ref="BU21:CF21" si="30">SUM(BU22:BU36)</f>
        <v>0</v>
      </c>
      <c r="BV21" s="848">
        <f t="shared" si="30"/>
        <v>0</v>
      </c>
      <c r="BW21" s="848">
        <f t="shared" si="30"/>
        <v>0</v>
      </c>
      <c r="BX21" s="848">
        <f>SUM(BX22:BX36)</f>
        <v>4767.9343999999992</v>
      </c>
      <c r="BY21" s="848">
        <f t="shared" si="30"/>
        <v>0</v>
      </c>
      <c r="BZ21" s="848">
        <f>SUM(BZ22:BZ36)</f>
        <v>595.9914</v>
      </c>
      <c r="CA21" s="848">
        <f t="shared" si="30"/>
        <v>500</v>
      </c>
      <c r="CB21" s="848">
        <f t="shared" si="30"/>
        <v>0</v>
      </c>
      <c r="CC21" s="848">
        <f t="shared" si="30"/>
        <v>0</v>
      </c>
      <c r="CD21" s="848">
        <f t="shared" si="30"/>
        <v>0</v>
      </c>
      <c r="CE21" s="848">
        <f t="shared" si="30"/>
        <v>0</v>
      </c>
      <c r="CF21" s="848">
        <f t="shared" si="30"/>
        <v>688.81087936804988</v>
      </c>
      <c r="CG21" s="848"/>
      <c r="CH21" s="848"/>
      <c r="CI21" s="848"/>
      <c r="CJ21" s="848"/>
      <c r="CK21" s="848"/>
      <c r="CL21" s="848"/>
      <c r="CM21" s="848">
        <f t="shared" si="3"/>
        <v>0</v>
      </c>
      <c r="CN21" s="848"/>
      <c r="CO21" s="848"/>
      <c r="CP21" s="848"/>
      <c r="CQ21" s="848">
        <f t="shared" si="3"/>
        <v>31.786207999999998</v>
      </c>
      <c r="CR21" s="848">
        <f t="shared" si="3"/>
        <v>100</v>
      </c>
      <c r="CS21" s="848"/>
      <c r="CT21" s="848"/>
      <c r="CU21" s="848"/>
      <c r="CV21" s="848"/>
      <c r="CW21" s="848"/>
    </row>
    <row r="22" spans="1:101" ht="24.75" customHeight="1">
      <c r="A22" s="845"/>
      <c r="B22" s="852" t="s">
        <v>365</v>
      </c>
      <c r="C22" s="852" t="s">
        <v>372</v>
      </c>
      <c r="D22" s="846"/>
      <c r="E22" s="845"/>
      <c r="F22" s="858"/>
      <c r="G22" s="846" t="s">
        <v>373</v>
      </c>
      <c r="H22" s="850">
        <f t="shared" si="15"/>
        <v>4364</v>
      </c>
      <c r="I22" s="855"/>
      <c r="J22" s="848"/>
      <c r="K22" s="848"/>
      <c r="L22" s="848"/>
      <c r="M22" s="848"/>
      <c r="N22" s="848"/>
      <c r="O22" s="848"/>
      <c r="P22" s="855"/>
      <c r="Q22" s="855">
        <v>4364</v>
      </c>
      <c r="R22" s="855"/>
      <c r="S22" s="848"/>
      <c r="T22" s="855">
        <f t="shared" si="19"/>
        <v>0</v>
      </c>
      <c r="U22" s="848"/>
      <c r="V22" s="848"/>
      <c r="W22" s="848"/>
      <c r="X22" s="848"/>
      <c r="Y22" s="848"/>
      <c r="Z22" s="848"/>
      <c r="AA22" s="848"/>
      <c r="AB22" s="848"/>
      <c r="AC22" s="848"/>
      <c r="AD22" s="848"/>
      <c r="AE22" s="848"/>
      <c r="AF22" s="848"/>
      <c r="AG22" s="855">
        <v>0</v>
      </c>
      <c r="AH22" s="855"/>
      <c r="AI22" s="855">
        <f>AW22</f>
        <v>170</v>
      </c>
      <c r="AJ22" s="855"/>
      <c r="AK22" s="855"/>
      <c r="AL22" s="855"/>
      <c r="AM22" s="855"/>
      <c r="AN22" s="855"/>
      <c r="AO22" s="855"/>
      <c r="AP22" s="855"/>
      <c r="AQ22" s="855"/>
      <c r="AR22" s="855"/>
      <c r="AS22" s="855"/>
      <c r="AT22" s="855"/>
      <c r="AU22" s="855"/>
      <c r="AV22" s="855"/>
      <c r="AW22" s="855">
        <v>170</v>
      </c>
      <c r="AX22" s="855"/>
      <c r="AY22" s="855">
        <f>SUM(AZ22:BN22)</f>
        <v>170</v>
      </c>
      <c r="AZ22" s="855"/>
      <c r="BA22" s="855"/>
      <c r="BB22" s="855"/>
      <c r="BC22" s="855"/>
      <c r="BD22" s="855"/>
      <c r="BE22" s="855"/>
      <c r="BF22" s="855"/>
      <c r="BG22" s="855"/>
      <c r="BH22" s="855"/>
      <c r="BI22" s="855"/>
      <c r="BJ22" s="855"/>
      <c r="BK22" s="855">
        <f>'[10]bieu cu'!H157</f>
        <v>170</v>
      </c>
      <c r="BL22" s="855"/>
      <c r="BM22" s="855"/>
      <c r="BN22" s="855"/>
      <c r="BO22" s="848">
        <f t="shared" si="9"/>
        <v>170</v>
      </c>
      <c r="BP22" s="855"/>
      <c r="BQ22" s="855"/>
      <c r="BR22" s="855"/>
      <c r="BS22" s="855"/>
      <c r="BT22" s="855"/>
      <c r="BU22" s="855"/>
      <c r="BV22" s="855"/>
      <c r="BW22" s="855"/>
      <c r="BX22" s="855"/>
      <c r="BY22" s="855"/>
      <c r="BZ22" s="855"/>
      <c r="CA22" s="855">
        <f>'[10]bieu cu'!M157</f>
        <v>170</v>
      </c>
      <c r="CB22" s="855"/>
      <c r="CC22" s="855"/>
      <c r="CD22" s="855"/>
      <c r="CE22" s="855"/>
      <c r="CF22" s="848">
        <f t="shared" si="11"/>
        <v>100</v>
      </c>
      <c r="CG22" s="848"/>
      <c r="CH22" s="848"/>
      <c r="CI22" s="848"/>
      <c r="CJ22" s="848"/>
      <c r="CK22" s="848"/>
      <c r="CL22" s="848"/>
      <c r="CM22" s="848"/>
      <c r="CN22" s="848"/>
      <c r="CO22" s="848"/>
      <c r="CP22" s="848"/>
      <c r="CQ22" s="848"/>
      <c r="CR22" s="848">
        <f t="shared" si="3"/>
        <v>100</v>
      </c>
      <c r="CS22" s="848"/>
      <c r="CT22" s="848"/>
      <c r="CU22" s="848"/>
      <c r="CV22" s="848"/>
      <c r="CW22" s="848"/>
    </row>
    <row r="23" spans="1:101" ht="24.75" customHeight="1">
      <c r="A23" s="845"/>
      <c r="B23" s="852" t="s">
        <v>365</v>
      </c>
      <c r="C23" s="852" t="s">
        <v>374</v>
      </c>
      <c r="D23" s="846"/>
      <c r="E23" s="845"/>
      <c r="F23" s="847"/>
      <c r="G23" s="846" t="s">
        <v>375</v>
      </c>
      <c r="H23" s="850">
        <f t="shared" si="15"/>
        <v>4816</v>
      </c>
      <c r="I23" s="855"/>
      <c r="J23" s="848"/>
      <c r="K23" s="848"/>
      <c r="L23" s="848"/>
      <c r="M23" s="848"/>
      <c r="N23" s="848"/>
      <c r="O23" s="848"/>
      <c r="P23" s="855"/>
      <c r="Q23" s="855">
        <v>4816</v>
      </c>
      <c r="R23" s="855"/>
      <c r="S23" s="848"/>
      <c r="T23" s="855">
        <f>SUM(U23:AH23)</f>
        <v>0</v>
      </c>
      <c r="U23" s="848"/>
      <c r="V23" s="848"/>
      <c r="W23" s="855"/>
      <c r="X23" s="848"/>
      <c r="Y23" s="848"/>
      <c r="Z23" s="848"/>
      <c r="AA23" s="855"/>
      <c r="AB23" s="848"/>
      <c r="AC23" s="848"/>
      <c r="AD23" s="848"/>
      <c r="AE23" s="848"/>
      <c r="AF23" s="848"/>
      <c r="AG23" s="855"/>
      <c r="AH23" s="855"/>
      <c r="AI23" s="855">
        <f>SUM(AJ23:AX23)</f>
        <v>4968</v>
      </c>
      <c r="AJ23" s="855"/>
      <c r="AK23" s="855"/>
      <c r="AL23" s="855">
        <v>300</v>
      </c>
      <c r="AM23" s="855"/>
      <c r="AN23" s="855"/>
      <c r="AO23" s="855"/>
      <c r="AP23" s="855">
        <v>4498</v>
      </c>
      <c r="AQ23" s="855"/>
      <c r="AR23" s="855"/>
      <c r="AS23" s="855"/>
      <c r="AT23" s="855"/>
      <c r="AU23" s="855"/>
      <c r="AV23" s="855"/>
      <c r="AW23" s="855">
        <v>170</v>
      </c>
      <c r="AX23" s="855"/>
      <c r="AY23" s="855">
        <f t="shared" ref="AY23:AY36" si="31">SUM(AZ23:BN23)</f>
        <v>170</v>
      </c>
      <c r="AZ23" s="855"/>
      <c r="BA23" s="855"/>
      <c r="BB23" s="855"/>
      <c r="BC23" s="855"/>
      <c r="BD23" s="855"/>
      <c r="BE23" s="855"/>
      <c r="BF23" s="855"/>
      <c r="BG23" s="855"/>
      <c r="BH23" s="855"/>
      <c r="BI23" s="855"/>
      <c r="BJ23" s="855"/>
      <c r="BK23" s="855">
        <f>'[10]bieu cu'!H159</f>
        <v>170</v>
      </c>
      <c r="BL23" s="855"/>
      <c r="BM23" s="855"/>
      <c r="BN23" s="855"/>
      <c r="BO23" s="848">
        <f t="shared" si="9"/>
        <v>170</v>
      </c>
      <c r="BP23" s="855"/>
      <c r="BQ23" s="855"/>
      <c r="BR23" s="855"/>
      <c r="BS23" s="855"/>
      <c r="BT23" s="855"/>
      <c r="BU23" s="855"/>
      <c r="BV23" s="855"/>
      <c r="BW23" s="855"/>
      <c r="BX23" s="855"/>
      <c r="BY23" s="855"/>
      <c r="BZ23" s="855"/>
      <c r="CA23" s="855">
        <f>'[10]bieu cu'!M157</f>
        <v>170</v>
      </c>
      <c r="CB23" s="855"/>
      <c r="CC23" s="855"/>
      <c r="CD23" s="855"/>
      <c r="CE23" s="855"/>
      <c r="CF23" s="848">
        <f t="shared" si="11"/>
        <v>100</v>
      </c>
      <c r="CG23" s="848"/>
      <c r="CH23" s="848"/>
      <c r="CI23" s="848"/>
      <c r="CJ23" s="848"/>
      <c r="CK23" s="848"/>
      <c r="CL23" s="848"/>
      <c r="CM23" s="848"/>
      <c r="CN23" s="848"/>
      <c r="CO23" s="848"/>
      <c r="CP23" s="848"/>
      <c r="CQ23" s="848"/>
      <c r="CR23" s="848">
        <f t="shared" si="3"/>
        <v>100</v>
      </c>
      <c r="CS23" s="848"/>
      <c r="CT23" s="848"/>
      <c r="CU23" s="848"/>
      <c r="CV23" s="848"/>
      <c r="CW23" s="848"/>
    </row>
    <row r="24" spans="1:101" ht="24.75" customHeight="1">
      <c r="A24" s="845"/>
      <c r="B24" s="852" t="s">
        <v>365</v>
      </c>
      <c r="C24" s="852" t="s">
        <v>376</v>
      </c>
      <c r="D24" s="846"/>
      <c r="E24" s="845"/>
      <c r="F24" s="853" t="s">
        <v>377</v>
      </c>
      <c r="G24" s="846" t="s">
        <v>378</v>
      </c>
      <c r="H24" s="850">
        <f t="shared" si="15"/>
        <v>3090</v>
      </c>
      <c r="I24" s="855"/>
      <c r="J24" s="848"/>
      <c r="K24" s="848"/>
      <c r="L24" s="848"/>
      <c r="M24" s="848"/>
      <c r="N24" s="848"/>
      <c r="O24" s="848"/>
      <c r="P24" s="855"/>
      <c r="Q24" s="855">
        <v>3090</v>
      </c>
      <c r="R24" s="855"/>
      <c r="S24" s="848"/>
      <c r="T24" s="855">
        <f t="shared" si="19"/>
        <v>0</v>
      </c>
      <c r="U24" s="848"/>
      <c r="V24" s="848"/>
      <c r="W24" s="848"/>
      <c r="X24" s="848"/>
      <c r="Y24" s="848"/>
      <c r="Z24" s="848"/>
      <c r="AA24" s="848"/>
      <c r="AB24" s="848"/>
      <c r="AC24" s="848"/>
      <c r="AD24" s="848"/>
      <c r="AE24" s="848"/>
      <c r="AF24" s="848"/>
      <c r="AG24" s="855"/>
      <c r="AH24" s="855"/>
      <c r="AI24" s="855">
        <f t="shared" ref="AI24:AI26" si="32">SUM(AJ24:AX24)</f>
        <v>160</v>
      </c>
      <c r="AJ24" s="855"/>
      <c r="AK24" s="855"/>
      <c r="AL24" s="855"/>
      <c r="AM24" s="855"/>
      <c r="AN24" s="855"/>
      <c r="AO24" s="855"/>
      <c r="AP24" s="855"/>
      <c r="AQ24" s="855"/>
      <c r="AR24" s="855"/>
      <c r="AS24" s="855"/>
      <c r="AT24" s="855"/>
      <c r="AU24" s="855"/>
      <c r="AV24" s="855"/>
      <c r="AW24" s="855">
        <v>160</v>
      </c>
      <c r="AX24" s="855"/>
      <c r="AY24" s="855">
        <f t="shared" si="31"/>
        <v>160</v>
      </c>
      <c r="AZ24" s="855"/>
      <c r="BA24" s="855"/>
      <c r="BB24" s="855"/>
      <c r="BC24" s="855"/>
      <c r="BD24" s="855"/>
      <c r="BE24" s="855"/>
      <c r="BF24" s="855"/>
      <c r="BG24" s="855"/>
      <c r="BH24" s="855"/>
      <c r="BI24" s="855"/>
      <c r="BJ24" s="855"/>
      <c r="BK24" s="855">
        <f>'[10]bieu cu'!H163</f>
        <v>160</v>
      </c>
      <c r="BL24" s="855"/>
      <c r="BM24" s="855"/>
      <c r="BN24" s="855"/>
      <c r="BO24" s="848">
        <f t="shared" si="9"/>
        <v>160</v>
      </c>
      <c r="BP24" s="855"/>
      <c r="BQ24" s="855"/>
      <c r="BR24" s="855"/>
      <c r="BS24" s="855"/>
      <c r="BT24" s="855"/>
      <c r="BU24" s="855"/>
      <c r="BV24" s="855"/>
      <c r="BW24" s="855"/>
      <c r="BX24" s="855"/>
      <c r="BY24" s="855"/>
      <c r="BZ24" s="855"/>
      <c r="CA24" s="855">
        <f>'[10]bieu cu'!M163</f>
        <v>160</v>
      </c>
      <c r="CB24" s="855"/>
      <c r="CC24" s="855"/>
      <c r="CD24" s="855"/>
      <c r="CE24" s="855"/>
      <c r="CF24" s="848">
        <f t="shared" si="11"/>
        <v>100</v>
      </c>
      <c r="CG24" s="848"/>
      <c r="CH24" s="848"/>
      <c r="CI24" s="848"/>
      <c r="CJ24" s="848"/>
      <c r="CK24" s="848"/>
      <c r="CL24" s="848"/>
      <c r="CM24" s="848"/>
      <c r="CN24" s="848"/>
      <c r="CO24" s="848"/>
      <c r="CP24" s="848"/>
      <c r="CQ24" s="848"/>
      <c r="CR24" s="848">
        <f t="shared" si="3"/>
        <v>100</v>
      </c>
      <c r="CS24" s="848"/>
      <c r="CT24" s="848"/>
      <c r="CU24" s="848"/>
      <c r="CV24" s="848"/>
      <c r="CW24" s="848"/>
    </row>
    <row r="25" spans="1:101" ht="24.75" customHeight="1">
      <c r="A25" s="845"/>
      <c r="B25" s="852" t="s">
        <v>365</v>
      </c>
      <c r="C25" s="852" t="s">
        <v>379</v>
      </c>
      <c r="D25" s="846"/>
      <c r="E25" s="845"/>
      <c r="F25" s="847"/>
      <c r="G25" s="846" t="s">
        <v>380</v>
      </c>
      <c r="H25" s="850">
        <f t="shared" si="15"/>
        <v>14997</v>
      </c>
      <c r="I25" s="848"/>
      <c r="J25" s="848"/>
      <c r="K25" s="848"/>
      <c r="L25" s="848"/>
      <c r="M25" s="848"/>
      <c r="N25" s="848"/>
      <c r="O25" s="848"/>
      <c r="P25" s="855">
        <v>14997</v>
      </c>
      <c r="Q25" s="855"/>
      <c r="R25" s="855"/>
      <c r="S25" s="848"/>
      <c r="T25" s="855">
        <f t="shared" si="19"/>
        <v>0</v>
      </c>
      <c r="U25" s="848"/>
      <c r="V25" s="848"/>
      <c r="W25" s="848"/>
      <c r="X25" s="848"/>
      <c r="Y25" s="848"/>
      <c r="Z25" s="848"/>
      <c r="AA25" s="855"/>
      <c r="AB25" s="848"/>
      <c r="AC25" s="848"/>
      <c r="AD25" s="855"/>
      <c r="AE25" s="848"/>
      <c r="AF25" s="848"/>
      <c r="AG25" s="848"/>
      <c r="AH25" s="855"/>
      <c r="AI25" s="855">
        <f t="shared" si="32"/>
        <v>2113</v>
      </c>
      <c r="AJ25" s="855"/>
      <c r="AK25" s="855"/>
      <c r="AL25" s="855"/>
      <c r="AM25" s="855"/>
      <c r="AN25" s="855"/>
      <c r="AO25" s="855"/>
      <c r="AP25" s="855">
        <v>200</v>
      </c>
      <c r="AQ25" s="855"/>
      <c r="AR25" s="855"/>
      <c r="AS25" s="855"/>
      <c r="AT25" s="855"/>
      <c r="AU25" s="855"/>
      <c r="AV25" s="855">
        <v>1913</v>
      </c>
      <c r="AW25" s="855"/>
      <c r="AX25" s="859"/>
      <c r="AY25" s="855">
        <f t="shared" si="31"/>
        <v>1913</v>
      </c>
      <c r="AZ25" s="855"/>
      <c r="BA25" s="855"/>
      <c r="BB25" s="855"/>
      <c r="BC25" s="855"/>
      <c r="BD25" s="855"/>
      <c r="BE25" s="855"/>
      <c r="BF25" s="855">
        <f>'[10]bieu cu'!H312</f>
        <v>1700</v>
      </c>
      <c r="BG25" s="855"/>
      <c r="BH25" s="855"/>
      <c r="BI25" s="855"/>
      <c r="BJ25" s="855">
        <f>'[10]bieu cu'!H328</f>
        <v>213</v>
      </c>
      <c r="BK25" s="855"/>
      <c r="BL25" s="855"/>
      <c r="BM25" s="855"/>
      <c r="BN25" s="855"/>
      <c r="BO25" s="848">
        <f t="shared" si="9"/>
        <v>720.07399999999996</v>
      </c>
      <c r="BP25" s="855"/>
      <c r="BQ25" s="855"/>
      <c r="BR25" s="855"/>
      <c r="BS25" s="855"/>
      <c r="BT25" s="855"/>
      <c r="BU25" s="855"/>
      <c r="BV25" s="855"/>
      <c r="BW25" s="855"/>
      <c r="BX25" s="860">
        <f>720.074-BZ25</f>
        <v>640.06599999999992</v>
      </c>
      <c r="BY25" s="855"/>
      <c r="BZ25" s="855">
        <v>80.007999999999996</v>
      </c>
      <c r="CA25" s="855"/>
      <c r="CB25" s="855"/>
      <c r="CC25" s="855"/>
      <c r="CD25" s="855"/>
      <c r="CE25" s="855"/>
      <c r="CF25" s="848">
        <f t="shared" si="11"/>
        <v>37.641087297438581</v>
      </c>
      <c r="CG25" s="848"/>
      <c r="CH25" s="848"/>
      <c r="CI25" s="848"/>
      <c r="CJ25" s="848"/>
      <c r="CK25" s="848"/>
      <c r="CL25" s="848"/>
      <c r="CM25" s="848">
        <f t="shared" si="3"/>
        <v>0</v>
      </c>
      <c r="CN25" s="848"/>
      <c r="CO25" s="848"/>
      <c r="CP25" s="848"/>
      <c r="CQ25" s="848">
        <f t="shared" si="3"/>
        <v>37.562441314553993</v>
      </c>
      <c r="CR25" s="848"/>
      <c r="CS25" s="848"/>
      <c r="CT25" s="848"/>
      <c r="CU25" s="848"/>
      <c r="CV25" s="848"/>
      <c r="CW25" s="848"/>
    </row>
    <row r="26" spans="1:101" ht="24.75" customHeight="1">
      <c r="A26" s="845"/>
      <c r="B26" s="852" t="s">
        <v>365</v>
      </c>
      <c r="C26" s="852" t="s">
        <v>381</v>
      </c>
      <c r="D26" s="846"/>
      <c r="E26" s="845"/>
      <c r="F26" s="853" t="s">
        <v>382</v>
      </c>
      <c r="G26" s="846" t="s">
        <v>383</v>
      </c>
      <c r="H26" s="850">
        <f t="shared" si="15"/>
        <v>5409</v>
      </c>
      <c r="I26" s="848"/>
      <c r="J26" s="848"/>
      <c r="K26" s="848"/>
      <c r="L26" s="848"/>
      <c r="M26" s="848"/>
      <c r="N26" s="848"/>
      <c r="O26" s="848"/>
      <c r="P26" s="855">
        <v>5409</v>
      </c>
      <c r="Q26" s="855"/>
      <c r="R26" s="855"/>
      <c r="S26" s="848"/>
      <c r="T26" s="855">
        <f t="shared" si="19"/>
        <v>415</v>
      </c>
      <c r="U26" s="848"/>
      <c r="V26" s="848"/>
      <c r="W26" s="848"/>
      <c r="X26" s="848"/>
      <c r="Y26" s="848"/>
      <c r="Z26" s="848"/>
      <c r="AA26" s="848"/>
      <c r="AB26" s="848"/>
      <c r="AC26" s="848"/>
      <c r="AD26" s="855"/>
      <c r="AE26" s="855"/>
      <c r="AF26" s="848"/>
      <c r="AG26" s="848"/>
      <c r="AH26" s="855">
        <v>415</v>
      </c>
      <c r="AI26" s="855">
        <f t="shared" si="32"/>
        <v>2440</v>
      </c>
      <c r="AJ26" s="855"/>
      <c r="AK26" s="855"/>
      <c r="AL26" s="855"/>
      <c r="AM26" s="855"/>
      <c r="AN26" s="855"/>
      <c r="AO26" s="855"/>
      <c r="AP26" s="855"/>
      <c r="AQ26" s="855"/>
      <c r="AR26" s="855"/>
      <c r="AS26" s="855"/>
      <c r="AT26" s="855"/>
      <c r="AU26" s="855"/>
      <c r="AV26" s="855">
        <v>2025</v>
      </c>
      <c r="AW26" s="855"/>
      <c r="AX26" s="859">
        <v>415</v>
      </c>
      <c r="AY26" s="855">
        <f t="shared" si="31"/>
        <v>2025</v>
      </c>
      <c r="AZ26" s="855"/>
      <c r="BA26" s="855"/>
      <c r="BB26" s="855"/>
      <c r="BC26" s="855"/>
      <c r="BD26" s="855"/>
      <c r="BE26" s="855"/>
      <c r="BF26" s="855">
        <f>'[10]bieu cu'!H313</f>
        <v>1800</v>
      </c>
      <c r="BG26" s="855"/>
      <c r="BH26" s="855"/>
      <c r="BI26" s="855"/>
      <c r="BJ26" s="855">
        <f>'[10]bieu cu'!H329</f>
        <v>225</v>
      </c>
      <c r="BK26" s="855"/>
      <c r="BL26" s="855"/>
      <c r="BM26" s="855"/>
      <c r="BN26" s="855"/>
      <c r="BO26" s="848">
        <f t="shared" si="9"/>
        <v>274.803</v>
      </c>
      <c r="BP26" s="855"/>
      <c r="BQ26" s="855"/>
      <c r="BR26" s="855"/>
      <c r="BS26" s="855"/>
      <c r="BT26" s="855"/>
      <c r="BU26" s="855"/>
      <c r="BV26" s="855"/>
      <c r="BW26" s="855"/>
      <c r="BX26" s="860">
        <f>274.803-BZ26</f>
        <v>244.26900000000001</v>
      </c>
      <c r="BY26" s="855"/>
      <c r="BZ26" s="855">
        <v>30.533999999999999</v>
      </c>
      <c r="CA26" s="855"/>
      <c r="CB26" s="855"/>
      <c r="CC26" s="855"/>
      <c r="CD26" s="855"/>
      <c r="CE26" s="855"/>
      <c r="CF26" s="848">
        <f t="shared" si="11"/>
        <v>13.570518518518519</v>
      </c>
      <c r="CG26" s="848"/>
      <c r="CH26" s="848"/>
      <c r="CI26" s="848"/>
      <c r="CJ26" s="848"/>
      <c r="CK26" s="848"/>
      <c r="CL26" s="848"/>
      <c r="CM26" s="848">
        <f t="shared" si="3"/>
        <v>0</v>
      </c>
      <c r="CN26" s="848"/>
      <c r="CO26" s="848"/>
      <c r="CP26" s="848"/>
      <c r="CQ26" s="848">
        <f t="shared" si="3"/>
        <v>13.570666666666668</v>
      </c>
      <c r="CR26" s="848"/>
      <c r="CS26" s="848"/>
      <c r="CT26" s="848"/>
      <c r="CU26" s="848"/>
      <c r="CV26" s="848"/>
      <c r="CW26" s="848"/>
    </row>
    <row r="27" spans="1:101" ht="24.75" customHeight="1">
      <c r="A27" s="845"/>
      <c r="B27" s="852" t="s">
        <v>365</v>
      </c>
      <c r="C27" s="852" t="s">
        <v>384</v>
      </c>
      <c r="D27" s="846"/>
      <c r="E27" s="845"/>
      <c r="F27" s="853" t="s">
        <v>382</v>
      </c>
      <c r="G27" s="846" t="s">
        <v>385</v>
      </c>
      <c r="H27" s="850">
        <f t="shared" si="15"/>
        <v>0</v>
      </c>
      <c r="I27" s="848"/>
      <c r="J27" s="848"/>
      <c r="K27" s="848"/>
      <c r="L27" s="848"/>
      <c r="M27" s="848"/>
      <c r="N27" s="848"/>
      <c r="O27" s="848"/>
      <c r="P27" s="855"/>
      <c r="Q27" s="855"/>
      <c r="R27" s="855"/>
      <c r="S27" s="848"/>
      <c r="T27" s="855">
        <f t="shared" si="19"/>
        <v>0</v>
      </c>
      <c r="U27" s="848"/>
      <c r="V27" s="848"/>
      <c r="W27" s="848"/>
      <c r="X27" s="848"/>
      <c r="Y27" s="848"/>
      <c r="Z27" s="848"/>
      <c r="AA27" s="848"/>
      <c r="AB27" s="848"/>
      <c r="AC27" s="848"/>
      <c r="AD27" s="855"/>
      <c r="AE27" s="855"/>
      <c r="AF27" s="848"/>
      <c r="AG27" s="848"/>
      <c r="AH27" s="855"/>
      <c r="AI27" s="855">
        <f t="shared" ref="AI27:AI30" si="33">AV27</f>
        <v>468</v>
      </c>
      <c r="AJ27" s="855"/>
      <c r="AK27" s="855"/>
      <c r="AL27" s="855"/>
      <c r="AM27" s="855"/>
      <c r="AN27" s="855"/>
      <c r="AO27" s="855"/>
      <c r="AP27" s="855"/>
      <c r="AQ27" s="855"/>
      <c r="AR27" s="855"/>
      <c r="AS27" s="855"/>
      <c r="AT27" s="855"/>
      <c r="AU27" s="855"/>
      <c r="AV27" s="855">
        <v>468</v>
      </c>
      <c r="AW27" s="855"/>
      <c r="AX27" s="859"/>
      <c r="AY27" s="855">
        <f t="shared" si="31"/>
        <v>1125</v>
      </c>
      <c r="AZ27" s="855"/>
      <c r="BA27" s="855"/>
      <c r="BB27" s="855"/>
      <c r="BC27" s="855"/>
      <c r="BD27" s="855"/>
      <c r="BE27" s="855"/>
      <c r="BF27" s="855">
        <f>'[10]bieu cu'!H314</f>
        <v>1000</v>
      </c>
      <c r="BG27" s="855"/>
      <c r="BH27" s="855"/>
      <c r="BI27" s="855"/>
      <c r="BJ27" s="855">
        <f>'[10]bieu cu'!H330</f>
        <v>125</v>
      </c>
      <c r="BK27" s="855"/>
      <c r="BL27" s="855"/>
      <c r="BM27" s="855"/>
      <c r="BN27" s="855"/>
      <c r="BO27" s="848">
        <f t="shared" si="9"/>
        <v>468.15699999999998</v>
      </c>
      <c r="BP27" s="855"/>
      <c r="BQ27" s="855"/>
      <c r="BR27" s="855"/>
      <c r="BS27" s="855"/>
      <c r="BT27" s="855"/>
      <c r="BU27" s="855"/>
      <c r="BV27" s="855"/>
      <c r="BW27" s="855"/>
      <c r="BX27" s="860">
        <f>468.157-BZ27</f>
        <v>416.13959999999997</v>
      </c>
      <c r="BY27" s="855"/>
      <c r="BZ27" s="855">
        <v>52.017400000000002</v>
      </c>
      <c r="CA27" s="855"/>
      <c r="CB27" s="855"/>
      <c r="CC27" s="855"/>
      <c r="CD27" s="855"/>
      <c r="CE27" s="855"/>
      <c r="CF27" s="848">
        <f t="shared" si="11"/>
        <v>41.613955555555556</v>
      </c>
      <c r="CG27" s="848"/>
      <c r="CH27" s="848"/>
      <c r="CI27" s="848"/>
      <c r="CJ27" s="848"/>
      <c r="CK27" s="848"/>
      <c r="CL27" s="848"/>
      <c r="CM27" s="848">
        <f t="shared" ref="CM27:CM36" si="34">BV27/BF27*100</f>
        <v>0</v>
      </c>
      <c r="CN27" s="848"/>
      <c r="CO27" s="848"/>
      <c r="CP27" s="848"/>
      <c r="CQ27" s="848">
        <f t="shared" ref="CQ27:CR70" si="35">BZ27/BJ27*100</f>
        <v>41.613920000000007</v>
      </c>
      <c r="CR27" s="848"/>
      <c r="CS27" s="848"/>
      <c r="CT27" s="848"/>
      <c r="CU27" s="848"/>
      <c r="CV27" s="848"/>
      <c r="CW27" s="848"/>
    </row>
    <row r="28" spans="1:101" ht="24.75" customHeight="1">
      <c r="A28" s="845"/>
      <c r="B28" s="852" t="s">
        <v>365</v>
      </c>
      <c r="C28" s="852" t="s">
        <v>386</v>
      </c>
      <c r="D28" s="846"/>
      <c r="E28" s="845"/>
      <c r="F28" s="853" t="s">
        <v>382</v>
      </c>
      <c r="G28" s="846" t="s">
        <v>387</v>
      </c>
      <c r="H28" s="850">
        <f t="shared" si="15"/>
        <v>5854</v>
      </c>
      <c r="I28" s="848"/>
      <c r="J28" s="848"/>
      <c r="K28" s="848"/>
      <c r="L28" s="848"/>
      <c r="M28" s="848"/>
      <c r="N28" s="848"/>
      <c r="O28" s="848"/>
      <c r="P28" s="855">
        <v>5854</v>
      </c>
      <c r="Q28" s="855"/>
      <c r="R28" s="855"/>
      <c r="S28" s="848"/>
      <c r="T28" s="855">
        <f t="shared" si="19"/>
        <v>0</v>
      </c>
      <c r="U28" s="848"/>
      <c r="V28" s="848"/>
      <c r="W28" s="848"/>
      <c r="X28" s="848"/>
      <c r="Y28" s="848"/>
      <c r="Z28" s="848"/>
      <c r="AA28" s="848"/>
      <c r="AB28" s="848"/>
      <c r="AC28" s="848"/>
      <c r="AD28" s="855"/>
      <c r="AE28" s="855"/>
      <c r="AF28" s="848"/>
      <c r="AG28" s="848"/>
      <c r="AH28" s="855"/>
      <c r="AI28" s="855">
        <f t="shared" si="33"/>
        <v>1125</v>
      </c>
      <c r="AJ28" s="855"/>
      <c r="AK28" s="855"/>
      <c r="AL28" s="855"/>
      <c r="AM28" s="855"/>
      <c r="AN28" s="855"/>
      <c r="AO28" s="855"/>
      <c r="AP28" s="855"/>
      <c r="AQ28" s="855"/>
      <c r="AR28" s="855"/>
      <c r="AS28" s="855"/>
      <c r="AT28" s="855"/>
      <c r="AU28" s="855"/>
      <c r="AV28" s="855">
        <v>1125</v>
      </c>
      <c r="AW28" s="855"/>
      <c r="AX28" s="859"/>
      <c r="AY28" s="855">
        <f t="shared" si="31"/>
        <v>1125</v>
      </c>
      <c r="AZ28" s="855"/>
      <c r="BA28" s="855"/>
      <c r="BB28" s="855"/>
      <c r="BC28" s="855"/>
      <c r="BD28" s="855"/>
      <c r="BE28" s="855"/>
      <c r="BF28" s="855">
        <f>'[10]bieu cu'!H315</f>
        <v>1000</v>
      </c>
      <c r="BG28" s="855"/>
      <c r="BH28" s="855"/>
      <c r="BI28" s="855"/>
      <c r="BJ28" s="855">
        <f>'[10]bieu cu'!H331</f>
        <v>125</v>
      </c>
      <c r="BK28" s="855"/>
      <c r="BL28" s="855"/>
      <c r="BM28" s="855"/>
      <c r="BN28" s="855"/>
      <c r="BO28" s="848">
        <f t="shared" si="9"/>
        <v>359.69799999999998</v>
      </c>
      <c r="BP28" s="855"/>
      <c r="BQ28" s="855"/>
      <c r="BR28" s="855"/>
      <c r="BS28" s="855"/>
      <c r="BT28" s="855"/>
      <c r="BU28" s="855"/>
      <c r="BV28" s="855"/>
      <c r="BW28" s="855"/>
      <c r="BX28" s="860">
        <f>359.698-BZ28</f>
        <v>319.73099999999999</v>
      </c>
      <c r="BY28" s="855"/>
      <c r="BZ28" s="855">
        <v>39.966999999999999</v>
      </c>
      <c r="CA28" s="855"/>
      <c r="CB28" s="855"/>
      <c r="CC28" s="855"/>
      <c r="CD28" s="855"/>
      <c r="CE28" s="855"/>
      <c r="CF28" s="848">
        <f t="shared" si="11"/>
        <v>31.973155555555554</v>
      </c>
      <c r="CG28" s="848"/>
      <c r="CH28" s="848"/>
      <c r="CI28" s="848"/>
      <c r="CJ28" s="848"/>
      <c r="CK28" s="848"/>
      <c r="CL28" s="848"/>
      <c r="CM28" s="848">
        <f t="shared" si="34"/>
        <v>0</v>
      </c>
      <c r="CN28" s="848"/>
      <c r="CO28" s="848"/>
      <c r="CP28" s="848"/>
      <c r="CQ28" s="848">
        <f t="shared" si="35"/>
        <v>31.973599999999998</v>
      </c>
      <c r="CR28" s="848"/>
      <c r="CS28" s="848"/>
      <c r="CT28" s="848"/>
      <c r="CU28" s="848"/>
      <c r="CV28" s="848"/>
      <c r="CW28" s="848"/>
    </row>
    <row r="29" spans="1:101" ht="24.75" customHeight="1">
      <c r="A29" s="845"/>
      <c r="B29" s="852" t="s">
        <v>365</v>
      </c>
      <c r="C29" s="852" t="s">
        <v>388</v>
      </c>
      <c r="D29" s="846"/>
      <c r="E29" s="845"/>
      <c r="F29" s="853" t="s">
        <v>382</v>
      </c>
      <c r="G29" s="846" t="s">
        <v>389</v>
      </c>
      <c r="H29" s="850">
        <f t="shared" si="15"/>
        <v>5627</v>
      </c>
      <c r="I29" s="848"/>
      <c r="J29" s="848"/>
      <c r="K29" s="848"/>
      <c r="L29" s="848"/>
      <c r="M29" s="848"/>
      <c r="N29" s="848"/>
      <c r="O29" s="848"/>
      <c r="P29" s="855">
        <v>5627</v>
      </c>
      <c r="Q29" s="855"/>
      <c r="R29" s="855"/>
      <c r="S29" s="848"/>
      <c r="T29" s="855">
        <f t="shared" si="19"/>
        <v>40</v>
      </c>
      <c r="U29" s="848"/>
      <c r="V29" s="848"/>
      <c r="W29" s="848"/>
      <c r="X29" s="848"/>
      <c r="Y29" s="848"/>
      <c r="Z29" s="848"/>
      <c r="AA29" s="848"/>
      <c r="AB29" s="848"/>
      <c r="AC29" s="848"/>
      <c r="AD29" s="855"/>
      <c r="AE29" s="855"/>
      <c r="AF29" s="848"/>
      <c r="AG29" s="848"/>
      <c r="AH29" s="855">
        <v>40</v>
      </c>
      <c r="AI29" s="855">
        <f>AV29+AX29</f>
        <v>1278</v>
      </c>
      <c r="AJ29" s="855"/>
      <c r="AK29" s="855"/>
      <c r="AL29" s="855"/>
      <c r="AM29" s="855"/>
      <c r="AN29" s="855"/>
      <c r="AO29" s="855"/>
      <c r="AP29" s="855"/>
      <c r="AQ29" s="855"/>
      <c r="AR29" s="855"/>
      <c r="AS29" s="855"/>
      <c r="AT29" s="855"/>
      <c r="AU29" s="855"/>
      <c r="AV29" s="855">
        <v>1238</v>
      </c>
      <c r="AW29" s="855"/>
      <c r="AX29" s="859">
        <v>40</v>
      </c>
      <c r="AY29" s="855">
        <f t="shared" si="31"/>
        <v>1238</v>
      </c>
      <c r="AZ29" s="855"/>
      <c r="BA29" s="855"/>
      <c r="BB29" s="855"/>
      <c r="BC29" s="855"/>
      <c r="BD29" s="855"/>
      <c r="BE29" s="855"/>
      <c r="BF29" s="855">
        <f>'[10]bieu cu'!H316</f>
        <v>1100</v>
      </c>
      <c r="BG29" s="855"/>
      <c r="BH29" s="855"/>
      <c r="BI29" s="855"/>
      <c r="BJ29" s="855">
        <f>'[10]bieu cu'!H332</f>
        <v>138</v>
      </c>
      <c r="BK29" s="855"/>
      <c r="BL29" s="855"/>
      <c r="BM29" s="855"/>
      <c r="BN29" s="855"/>
      <c r="BO29" s="848">
        <f t="shared" si="9"/>
        <v>501.63400000000001</v>
      </c>
      <c r="BP29" s="855"/>
      <c r="BQ29" s="855"/>
      <c r="BR29" s="855"/>
      <c r="BS29" s="855"/>
      <c r="BT29" s="855"/>
      <c r="BU29" s="855"/>
      <c r="BV29" s="855"/>
      <c r="BW29" s="855"/>
      <c r="BX29" s="860">
        <f>501.634-BZ29</f>
        <v>445.89699999999999</v>
      </c>
      <c r="BY29" s="855"/>
      <c r="BZ29" s="855">
        <v>55.737000000000002</v>
      </c>
      <c r="CA29" s="855"/>
      <c r="CB29" s="855"/>
      <c r="CC29" s="855"/>
      <c r="CD29" s="855"/>
      <c r="CE29" s="855"/>
      <c r="CF29" s="848">
        <f t="shared" si="11"/>
        <v>40.519709208400641</v>
      </c>
      <c r="CG29" s="848"/>
      <c r="CH29" s="848"/>
      <c r="CI29" s="848"/>
      <c r="CJ29" s="848"/>
      <c r="CK29" s="848"/>
      <c r="CL29" s="848"/>
      <c r="CM29" s="848">
        <f t="shared" si="34"/>
        <v>0</v>
      </c>
      <c r="CN29" s="848"/>
      <c r="CO29" s="848"/>
      <c r="CP29" s="848"/>
      <c r="CQ29" s="848">
        <f t="shared" si="35"/>
        <v>40.389130434782608</v>
      </c>
      <c r="CR29" s="848"/>
      <c r="CS29" s="848"/>
      <c r="CT29" s="848"/>
      <c r="CU29" s="848"/>
      <c r="CV29" s="848"/>
      <c r="CW29" s="848"/>
    </row>
    <row r="30" spans="1:101" ht="24.75" customHeight="1">
      <c r="A30" s="845"/>
      <c r="B30" s="852" t="s">
        <v>365</v>
      </c>
      <c r="C30" s="852" t="s">
        <v>390</v>
      </c>
      <c r="D30" s="846"/>
      <c r="E30" s="845"/>
      <c r="F30" s="853" t="s">
        <v>382</v>
      </c>
      <c r="G30" s="846" t="s">
        <v>389</v>
      </c>
      <c r="H30" s="850">
        <f t="shared" si="15"/>
        <v>0</v>
      </c>
      <c r="I30" s="848"/>
      <c r="J30" s="848"/>
      <c r="K30" s="848"/>
      <c r="L30" s="848"/>
      <c r="M30" s="848"/>
      <c r="N30" s="848"/>
      <c r="O30" s="848"/>
      <c r="P30" s="855"/>
      <c r="Q30" s="855"/>
      <c r="R30" s="855"/>
      <c r="S30" s="848"/>
      <c r="T30" s="855">
        <f t="shared" si="19"/>
        <v>0</v>
      </c>
      <c r="U30" s="848"/>
      <c r="V30" s="848"/>
      <c r="W30" s="848"/>
      <c r="X30" s="848"/>
      <c r="Y30" s="848"/>
      <c r="Z30" s="848"/>
      <c r="AA30" s="848"/>
      <c r="AB30" s="848"/>
      <c r="AC30" s="848"/>
      <c r="AD30" s="855"/>
      <c r="AE30" s="855"/>
      <c r="AF30" s="848"/>
      <c r="AG30" s="848"/>
      <c r="AH30" s="855"/>
      <c r="AI30" s="855">
        <f t="shared" si="33"/>
        <v>367</v>
      </c>
      <c r="AJ30" s="855"/>
      <c r="AK30" s="855"/>
      <c r="AL30" s="855"/>
      <c r="AM30" s="855"/>
      <c r="AN30" s="855"/>
      <c r="AO30" s="855"/>
      <c r="AP30" s="855"/>
      <c r="AQ30" s="855"/>
      <c r="AR30" s="855"/>
      <c r="AS30" s="855"/>
      <c r="AT30" s="855"/>
      <c r="AU30" s="855"/>
      <c r="AV30" s="855">
        <v>367</v>
      </c>
      <c r="AW30" s="855"/>
      <c r="AX30" s="859"/>
      <c r="AY30" s="855">
        <f t="shared" si="31"/>
        <v>1463</v>
      </c>
      <c r="AZ30" s="855"/>
      <c r="BA30" s="855"/>
      <c r="BB30" s="855"/>
      <c r="BC30" s="855"/>
      <c r="BD30" s="855"/>
      <c r="BE30" s="855"/>
      <c r="BF30" s="855">
        <f>'[10]bieu cu'!H317</f>
        <v>1300</v>
      </c>
      <c r="BG30" s="855"/>
      <c r="BH30" s="855"/>
      <c r="BI30" s="855"/>
      <c r="BJ30" s="855">
        <f>'[10]bieu cu'!H333</f>
        <v>163</v>
      </c>
      <c r="BK30" s="855"/>
      <c r="BL30" s="855"/>
      <c r="BM30" s="855"/>
      <c r="BN30" s="855"/>
      <c r="BO30" s="848">
        <f t="shared" si="9"/>
        <v>366.71</v>
      </c>
      <c r="BP30" s="855"/>
      <c r="BQ30" s="855"/>
      <c r="BR30" s="855"/>
      <c r="BS30" s="855"/>
      <c r="BT30" s="855"/>
      <c r="BU30" s="855"/>
      <c r="BV30" s="855"/>
      <c r="BW30" s="855"/>
      <c r="BX30" s="860">
        <f>366.71-BZ30</f>
        <v>325.964</v>
      </c>
      <c r="BY30" s="855"/>
      <c r="BZ30" s="855">
        <v>40.746000000000002</v>
      </c>
      <c r="CA30" s="855"/>
      <c r="CB30" s="855"/>
      <c r="CC30" s="855"/>
      <c r="CD30" s="855"/>
      <c r="CE30" s="855"/>
      <c r="CF30" s="848">
        <f t="shared" si="11"/>
        <v>25.065618591934378</v>
      </c>
      <c r="CG30" s="848"/>
      <c r="CH30" s="848"/>
      <c r="CI30" s="848"/>
      <c r="CJ30" s="848"/>
      <c r="CK30" s="848"/>
      <c r="CL30" s="848"/>
      <c r="CM30" s="848">
        <f t="shared" si="34"/>
        <v>0</v>
      </c>
      <c r="CN30" s="848"/>
      <c r="CO30" s="848"/>
      <c r="CP30" s="848"/>
      <c r="CQ30" s="848">
        <f t="shared" si="35"/>
        <v>24.99754601226994</v>
      </c>
      <c r="CR30" s="848"/>
      <c r="CS30" s="848"/>
      <c r="CT30" s="848"/>
      <c r="CU30" s="848"/>
      <c r="CV30" s="848"/>
      <c r="CW30" s="848"/>
    </row>
    <row r="31" spans="1:101" ht="24.75" customHeight="1">
      <c r="A31" s="845"/>
      <c r="B31" s="852" t="s">
        <v>365</v>
      </c>
      <c r="C31" s="852" t="s">
        <v>391</v>
      </c>
      <c r="D31" s="846"/>
      <c r="E31" s="845"/>
      <c r="F31" s="853" t="s">
        <v>382</v>
      </c>
      <c r="G31" s="846" t="s">
        <v>392</v>
      </c>
      <c r="H31" s="850">
        <f t="shared" si="15"/>
        <v>7857</v>
      </c>
      <c r="I31" s="848"/>
      <c r="J31" s="848"/>
      <c r="K31" s="848"/>
      <c r="L31" s="848"/>
      <c r="M31" s="848"/>
      <c r="N31" s="848"/>
      <c r="O31" s="848"/>
      <c r="P31" s="855">
        <v>7857</v>
      </c>
      <c r="Q31" s="855"/>
      <c r="R31" s="855"/>
      <c r="S31" s="848"/>
      <c r="T31" s="855">
        <f t="shared" si="19"/>
        <v>0</v>
      </c>
      <c r="U31" s="848"/>
      <c r="V31" s="848"/>
      <c r="W31" s="848"/>
      <c r="X31" s="848"/>
      <c r="Y31" s="848"/>
      <c r="Z31" s="848"/>
      <c r="AA31" s="855"/>
      <c r="AB31" s="848"/>
      <c r="AC31" s="848"/>
      <c r="AD31" s="855"/>
      <c r="AE31" s="855"/>
      <c r="AF31" s="848"/>
      <c r="AG31" s="848"/>
      <c r="AH31" s="855"/>
      <c r="AI31" s="855">
        <f>AV31+AP31</f>
        <v>800</v>
      </c>
      <c r="AJ31" s="855"/>
      <c r="AK31" s="855"/>
      <c r="AL31" s="855"/>
      <c r="AM31" s="855"/>
      <c r="AN31" s="855"/>
      <c r="AO31" s="855"/>
      <c r="AP31" s="855">
        <v>381</v>
      </c>
      <c r="AQ31" s="855"/>
      <c r="AR31" s="855"/>
      <c r="AS31" s="855"/>
      <c r="AT31" s="855"/>
      <c r="AU31" s="855"/>
      <c r="AV31" s="855">
        <v>419</v>
      </c>
      <c r="AW31" s="855"/>
      <c r="AX31" s="859"/>
      <c r="AY31" s="855">
        <f t="shared" si="31"/>
        <v>1575</v>
      </c>
      <c r="AZ31" s="855"/>
      <c r="BA31" s="855"/>
      <c r="BB31" s="855"/>
      <c r="BC31" s="855"/>
      <c r="BD31" s="855"/>
      <c r="BE31" s="855"/>
      <c r="BF31" s="855">
        <f>'[10]bieu cu'!H318</f>
        <v>1400</v>
      </c>
      <c r="BG31" s="855"/>
      <c r="BH31" s="855"/>
      <c r="BI31" s="855"/>
      <c r="BJ31" s="855">
        <f>'[10]bieu cu'!H334</f>
        <v>175</v>
      </c>
      <c r="BK31" s="855"/>
      <c r="BL31" s="855"/>
      <c r="BM31" s="855"/>
      <c r="BN31" s="855"/>
      <c r="BO31" s="848">
        <f t="shared" si="9"/>
        <v>419.52100000000002</v>
      </c>
      <c r="BP31" s="855"/>
      <c r="BQ31" s="855"/>
      <c r="BR31" s="855"/>
      <c r="BS31" s="855"/>
      <c r="BT31" s="855"/>
      <c r="BU31" s="855"/>
      <c r="BV31" s="855"/>
      <c r="BW31" s="855"/>
      <c r="BX31" s="860">
        <f>419.521-BZ31</f>
        <v>372.90800000000002</v>
      </c>
      <c r="BY31" s="855"/>
      <c r="BZ31" s="855">
        <v>46.613</v>
      </c>
      <c r="CA31" s="855"/>
      <c r="CB31" s="855"/>
      <c r="CC31" s="855"/>
      <c r="CD31" s="855"/>
      <c r="CE31" s="855"/>
      <c r="CF31" s="848">
        <f t="shared" si="11"/>
        <v>26.636253968253968</v>
      </c>
      <c r="CG31" s="848"/>
      <c r="CH31" s="848"/>
      <c r="CI31" s="848"/>
      <c r="CJ31" s="848"/>
      <c r="CK31" s="848"/>
      <c r="CL31" s="848"/>
      <c r="CM31" s="848">
        <f t="shared" si="34"/>
        <v>0</v>
      </c>
      <c r="CN31" s="848"/>
      <c r="CO31" s="848"/>
      <c r="CP31" s="848"/>
      <c r="CQ31" s="848">
        <f t="shared" si="35"/>
        <v>26.635999999999999</v>
      </c>
      <c r="CR31" s="848"/>
      <c r="CS31" s="848"/>
      <c r="CT31" s="848"/>
      <c r="CU31" s="848"/>
      <c r="CV31" s="848"/>
      <c r="CW31" s="848"/>
    </row>
    <row r="32" spans="1:101" ht="24.75" customHeight="1">
      <c r="A32" s="845"/>
      <c r="B32" s="852" t="s">
        <v>365</v>
      </c>
      <c r="C32" s="852" t="s">
        <v>393</v>
      </c>
      <c r="D32" s="846"/>
      <c r="E32" s="845"/>
      <c r="F32" s="853" t="s">
        <v>382</v>
      </c>
      <c r="G32" s="846" t="s">
        <v>394</v>
      </c>
      <c r="H32" s="850">
        <f t="shared" si="15"/>
        <v>3673</v>
      </c>
      <c r="I32" s="848"/>
      <c r="J32" s="848"/>
      <c r="K32" s="848"/>
      <c r="L32" s="848"/>
      <c r="M32" s="848"/>
      <c r="N32" s="848"/>
      <c r="O32" s="848"/>
      <c r="P32" s="855">
        <v>3673</v>
      </c>
      <c r="Q32" s="855"/>
      <c r="R32" s="855"/>
      <c r="S32" s="848"/>
      <c r="T32" s="855">
        <f>SUM(U32:AH32)</f>
        <v>0</v>
      </c>
      <c r="U32" s="848"/>
      <c r="V32" s="848"/>
      <c r="W32" s="848"/>
      <c r="X32" s="848"/>
      <c r="Y32" s="848"/>
      <c r="Z32" s="848"/>
      <c r="AA32" s="855"/>
      <c r="AB32" s="848"/>
      <c r="AC32" s="848"/>
      <c r="AD32" s="855"/>
      <c r="AE32" s="855"/>
      <c r="AF32" s="848"/>
      <c r="AG32" s="848"/>
      <c r="AH32" s="855"/>
      <c r="AI32" s="855">
        <f t="shared" ref="AI32:AI33" si="36">AV32+AP32</f>
        <v>268</v>
      </c>
      <c r="AJ32" s="855"/>
      <c r="AK32" s="855"/>
      <c r="AL32" s="855"/>
      <c r="AM32" s="855"/>
      <c r="AN32" s="855"/>
      <c r="AO32" s="855"/>
      <c r="AP32" s="855"/>
      <c r="AQ32" s="855"/>
      <c r="AR32" s="855"/>
      <c r="AS32" s="855"/>
      <c r="AT32" s="855"/>
      <c r="AU32" s="855"/>
      <c r="AV32" s="855">
        <v>268</v>
      </c>
      <c r="AW32" s="855"/>
      <c r="AX32" s="859"/>
      <c r="AY32" s="855">
        <f t="shared" si="31"/>
        <v>821</v>
      </c>
      <c r="AZ32" s="855"/>
      <c r="BA32" s="855"/>
      <c r="BB32" s="855"/>
      <c r="BC32" s="855"/>
      <c r="BD32" s="855"/>
      <c r="BE32" s="855"/>
      <c r="BF32" s="855">
        <f>'[10]bieu cu'!H319</f>
        <v>730</v>
      </c>
      <c r="BG32" s="855"/>
      <c r="BH32" s="855"/>
      <c r="BI32" s="855"/>
      <c r="BJ32" s="855">
        <f>'[10]bieu cu'!H335</f>
        <v>91</v>
      </c>
      <c r="BK32" s="855"/>
      <c r="BL32" s="855"/>
      <c r="BM32" s="855"/>
      <c r="BN32" s="855"/>
      <c r="BO32" s="848">
        <f t="shared" si="9"/>
        <v>268.28399999999999</v>
      </c>
      <c r="BP32" s="855"/>
      <c r="BQ32" s="855"/>
      <c r="BR32" s="855"/>
      <c r="BS32" s="855"/>
      <c r="BT32" s="855"/>
      <c r="BU32" s="855"/>
      <c r="BV32" s="855"/>
      <c r="BW32" s="855"/>
      <c r="BX32" s="860">
        <f>268.284-BZ32</f>
        <v>238.47499999999999</v>
      </c>
      <c r="BY32" s="855"/>
      <c r="BZ32" s="855">
        <v>29.809000000000001</v>
      </c>
      <c r="CA32" s="855"/>
      <c r="CB32" s="855"/>
      <c r="CC32" s="855"/>
      <c r="CD32" s="855"/>
      <c r="CE32" s="855"/>
      <c r="CF32" s="848">
        <f t="shared" si="11"/>
        <v>32.67771010962241</v>
      </c>
      <c r="CG32" s="848"/>
      <c r="CH32" s="848"/>
      <c r="CI32" s="848"/>
      <c r="CJ32" s="848"/>
      <c r="CK32" s="848"/>
      <c r="CL32" s="848"/>
      <c r="CM32" s="848">
        <f t="shared" si="34"/>
        <v>0</v>
      </c>
      <c r="CN32" s="848"/>
      <c r="CO32" s="848"/>
      <c r="CP32" s="848"/>
      <c r="CQ32" s="848">
        <f t="shared" si="35"/>
        <v>32.75714285714286</v>
      </c>
      <c r="CR32" s="848"/>
      <c r="CS32" s="848"/>
      <c r="CT32" s="848"/>
      <c r="CU32" s="848"/>
      <c r="CV32" s="848"/>
      <c r="CW32" s="848"/>
    </row>
    <row r="33" spans="1:101" ht="24.75" customHeight="1">
      <c r="A33" s="845"/>
      <c r="B33" s="852" t="s">
        <v>365</v>
      </c>
      <c r="C33" s="852" t="s">
        <v>395</v>
      </c>
      <c r="D33" s="846"/>
      <c r="E33" s="845"/>
      <c r="F33" s="853" t="s">
        <v>382</v>
      </c>
      <c r="G33" s="846" t="s">
        <v>396</v>
      </c>
      <c r="H33" s="850">
        <f t="shared" si="15"/>
        <v>5334</v>
      </c>
      <c r="I33" s="848"/>
      <c r="J33" s="848"/>
      <c r="K33" s="848"/>
      <c r="L33" s="848"/>
      <c r="M33" s="848"/>
      <c r="N33" s="848"/>
      <c r="O33" s="848"/>
      <c r="P33" s="855">
        <v>5334</v>
      </c>
      <c r="Q33" s="855"/>
      <c r="R33" s="855"/>
      <c r="S33" s="848"/>
      <c r="T33" s="855">
        <f t="shared" si="19"/>
        <v>0</v>
      </c>
      <c r="U33" s="848"/>
      <c r="V33" s="848"/>
      <c r="W33" s="848"/>
      <c r="X33" s="848"/>
      <c r="Y33" s="848"/>
      <c r="Z33" s="848"/>
      <c r="AA33" s="855"/>
      <c r="AB33" s="848"/>
      <c r="AC33" s="848"/>
      <c r="AD33" s="855"/>
      <c r="AE33" s="855"/>
      <c r="AF33" s="848"/>
      <c r="AG33" s="848"/>
      <c r="AH33" s="855"/>
      <c r="AI33" s="855">
        <f t="shared" si="36"/>
        <v>350</v>
      </c>
      <c r="AJ33" s="855"/>
      <c r="AK33" s="855"/>
      <c r="AL33" s="855"/>
      <c r="AM33" s="855"/>
      <c r="AN33" s="855"/>
      <c r="AO33" s="855"/>
      <c r="AP33" s="855">
        <v>112</v>
      </c>
      <c r="AQ33" s="855"/>
      <c r="AR33" s="855"/>
      <c r="AS33" s="855"/>
      <c r="AT33" s="855"/>
      <c r="AU33" s="855"/>
      <c r="AV33" s="855">
        <v>238</v>
      </c>
      <c r="AW33" s="855"/>
      <c r="AX33" s="859"/>
      <c r="AY33" s="855">
        <f t="shared" si="31"/>
        <v>1125</v>
      </c>
      <c r="AZ33" s="855"/>
      <c r="BA33" s="855"/>
      <c r="BB33" s="855"/>
      <c r="BC33" s="855"/>
      <c r="BD33" s="855"/>
      <c r="BE33" s="855"/>
      <c r="BF33" s="855">
        <f>'[10]bieu cu'!H320</f>
        <v>1000</v>
      </c>
      <c r="BG33" s="855"/>
      <c r="BH33" s="855"/>
      <c r="BI33" s="855"/>
      <c r="BJ33" s="855">
        <f>'[10]bieu cu'!H336</f>
        <v>125</v>
      </c>
      <c r="BK33" s="855"/>
      <c r="BL33" s="855"/>
      <c r="BM33" s="855"/>
      <c r="BN33" s="855"/>
      <c r="BO33" s="848">
        <f t="shared" si="9"/>
        <v>327.74</v>
      </c>
      <c r="BP33" s="855"/>
      <c r="BQ33" s="855"/>
      <c r="BR33" s="855"/>
      <c r="BS33" s="855"/>
      <c r="BT33" s="855"/>
      <c r="BU33" s="855"/>
      <c r="BV33" s="855"/>
      <c r="BW33" s="855"/>
      <c r="BX33" s="860">
        <f>327.74-BZ33</f>
        <v>291.32400000000001</v>
      </c>
      <c r="BY33" s="855"/>
      <c r="BZ33" s="855">
        <v>36.415999999999997</v>
      </c>
      <c r="CA33" s="855"/>
      <c r="CB33" s="855"/>
      <c r="CC33" s="855"/>
      <c r="CD33" s="855"/>
      <c r="CE33" s="855"/>
      <c r="CF33" s="848">
        <f t="shared" si="11"/>
        <v>29.132444444444445</v>
      </c>
      <c r="CG33" s="848"/>
      <c r="CH33" s="848"/>
      <c r="CI33" s="848"/>
      <c r="CJ33" s="848"/>
      <c r="CK33" s="848"/>
      <c r="CL33" s="848"/>
      <c r="CM33" s="848">
        <f t="shared" si="34"/>
        <v>0</v>
      </c>
      <c r="CN33" s="848"/>
      <c r="CO33" s="848"/>
      <c r="CP33" s="848"/>
      <c r="CQ33" s="848">
        <f t="shared" si="35"/>
        <v>29.132799999999996</v>
      </c>
      <c r="CR33" s="848"/>
      <c r="CS33" s="848"/>
      <c r="CT33" s="848"/>
      <c r="CU33" s="848"/>
      <c r="CV33" s="848"/>
      <c r="CW33" s="848"/>
    </row>
    <row r="34" spans="1:101" ht="24.75" customHeight="1">
      <c r="A34" s="845"/>
      <c r="B34" s="852" t="s">
        <v>365</v>
      </c>
      <c r="C34" s="852" t="s">
        <v>397</v>
      </c>
      <c r="D34" s="846"/>
      <c r="E34" s="845"/>
      <c r="F34" s="853" t="s">
        <v>382</v>
      </c>
      <c r="G34" s="846" t="s">
        <v>398</v>
      </c>
      <c r="H34" s="850">
        <f t="shared" si="15"/>
        <v>8855</v>
      </c>
      <c r="I34" s="848"/>
      <c r="J34" s="848"/>
      <c r="K34" s="848"/>
      <c r="L34" s="848"/>
      <c r="M34" s="848"/>
      <c r="N34" s="848"/>
      <c r="O34" s="848"/>
      <c r="P34" s="855">
        <v>8855</v>
      </c>
      <c r="Q34" s="855"/>
      <c r="R34" s="855"/>
      <c r="S34" s="848"/>
      <c r="T34" s="855">
        <f t="shared" si="19"/>
        <v>0</v>
      </c>
      <c r="U34" s="848"/>
      <c r="V34" s="848"/>
      <c r="W34" s="855"/>
      <c r="X34" s="848"/>
      <c r="Y34" s="848"/>
      <c r="Z34" s="848"/>
      <c r="AA34" s="855"/>
      <c r="AB34" s="848"/>
      <c r="AC34" s="848"/>
      <c r="AD34" s="855"/>
      <c r="AE34" s="855"/>
      <c r="AF34" s="848"/>
      <c r="AG34" s="848"/>
      <c r="AH34" s="855"/>
      <c r="AI34" s="855">
        <f>AV34+AP34+AL34</f>
        <v>4719</v>
      </c>
      <c r="AJ34" s="855"/>
      <c r="AK34" s="855"/>
      <c r="AL34" s="855">
        <v>3600</v>
      </c>
      <c r="AM34" s="855"/>
      <c r="AN34" s="855"/>
      <c r="AO34" s="855"/>
      <c r="AP34" s="855">
        <v>500</v>
      </c>
      <c r="AQ34" s="855"/>
      <c r="AR34" s="855"/>
      <c r="AS34" s="855"/>
      <c r="AT34" s="855"/>
      <c r="AU34" s="855"/>
      <c r="AV34" s="855">
        <v>619</v>
      </c>
      <c r="AW34" s="855"/>
      <c r="AX34" s="859"/>
      <c r="AY34" s="855">
        <f t="shared" si="31"/>
        <v>1800</v>
      </c>
      <c r="AZ34" s="855"/>
      <c r="BA34" s="855"/>
      <c r="BB34" s="855"/>
      <c r="BC34" s="855"/>
      <c r="BD34" s="855"/>
      <c r="BE34" s="855"/>
      <c r="BF34" s="855">
        <f>'[10]bieu cu'!H321</f>
        <v>1600</v>
      </c>
      <c r="BG34" s="855"/>
      <c r="BH34" s="855"/>
      <c r="BI34" s="855"/>
      <c r="BJ34" s="855">
        <f>'[10]bieu cu'!H337</f>
        <v>200</v>
      </c>
      <c r="BK34" s="855"/>
      <c r="BL34" s="855"/>
      <c r="BM34" s="855"/>
      <c r="BN34" s="855"/>
      <c r="BO34" s="848">
        <f t="shared" si="9"/>
        <v>618.82299999999998</v>
      </c>
      <c r="BP34" s="855"/>
      <c r="BQ34" s="855"/>
      <c r="BR34" s="855"/>
      <c r="BS34" s="855"/>
      <c r="BT34" s="855"/>
      <c r="BU34" s="855"/>
      <c r="BV34" s="855"/>
      <c r="BW34" s="855"/>
      <c r="BX34" s="860">
        <f>618.823-BZ34</f>
        <v>550.06499999999994</v>
      </c>
      <c r="BY34" s="855"/>
      <c r="BZ34" s="855">
        <v>68.757999999999996</v>
      </c>
      <c r="CA34" s="855"/>
      <c r="CB34" s="855"/>
      <c r="CC34" s="855"/>
      <c r="CD34" s="855"/>
      <c r="CE34" s="855"/>
      <c r="CF34" s="848">
        <f t="shared" si="11"/>
        <v>34.379055555555553</v>
      </c>
      <c r="CG34" s="848"/>
      <c r="CH34" s="848"/>
      <c r="CI34" s="848"/>
      <c r="CJ34" s="848"/>
      <c r="CK34" s="848"/>
      <c r="CL34" s="848"/>
      <c r="CM34" s="848">
        <f t="shared" si="34"/>
        <v>0</v>
      </c>
      <c r="CN34" s="848"/>
      <c r="CO34" s="848"/>
      <c r="CP34" s="848"/>
      <c r="CQ34" s="848">
        <f t="shared" si="35"/>
        <v>34.378999999999998</v>
      </c>
      <c r="CR34" s="848"/>
      <c r="CS34" s="848"/>
      <c r="CT34" s="848"/>
      <c r="CU34" s="848"/>
      <c r="CV34" s="848"/>
      <c r="CW34" s="848"/>
    </row>
    <row r="35" spans="1:101" ht="24.75" customHeight="1">
      <c r="A35" s="845"/>
      <c r="B35" s="852" t="s">
        <v>365</v>
      </c>
      <c r="C35" s="852" t="s">
        <v>399</v>
      </c>
      <c r="D35" s="846"/>
      <c r="E35" s="845"/>
      <c r="F35" s="853" t="s">
        <v>382</v>
      </c>
      <c r="G35" s="846" t="s">
        <v>400</v>
      </c>
      <c r="H35" s="850">
        <f t="shared" si="15"/>
        <v>7627</v>
      </c>
      <c r="I35" s="848"/>
      <c r="J35" s="848"/>
      <c r="K35" s="848"/>
      <c r="L35" s="848"/>
      <c r="M35" s="848"/>
      <c r="N35" s="848"/>
      <c r="O35" s="848"/>
      <c r="P35" s="855">
        <v>7627</v>
      </c>
      <c r="Q35" s="855"/>
      <c r="R35" s="855"/>
      <c r="S35" s="848"/>
      <c r="T35" s="855">
        <f t="shared" si="19"/>
        <v>0</v>
      </c>
      <c r="U35" s="848"/>
      <c r="V35" s="848"/>
      <c r="W35" s="848"/>
      <c r="X35" s="848"/>
      <c r="Y35" s="848"/>
      <c r="Z35" s="848"/>
      <c r="AA35" s="848"/>
      <c r="AB35" s="848"/>
      <c r="AC35" s="848"/>
      <c r="AD35" s="855"/>
      <c r="AE35" s="855"/>
      <c r="AF35" s="848"/>
      <c r="AG35" s="848"/>
      <c r="AH35" s="855"/>
      <c r="AI35" s="855">
        <f t="shared" ref="AI35:AI36" si="37">AV35</f>
        <v>697</v>
      </c>
      <c r="AJ35" s="855"/>
      <c r="AK35" s="855"/>
      <c r="AL35" s="855"/>
      <c r="AM35" s="855"/>
      <c r="AN35" s="855"/>
      <c r="AO35" s="855"/>
      <c r="AP35" s="855"/>
      <c r="AQ35" s="855"/>
      <c r="AR35" s="855"/>
      <c r="AS35" s="855"/>
      <c r="AT35" s="855"/>
      <c r="AU35" s="855"/>
      <c r="AV35" s="855">
        <v>697</v>
      </c>
      <c r="AW35" s="855"/>
      <c r="AX35" s="859"/>
      <c r="AY35" s="855">
        <f t="shared" si="31"/>
        <v>1540</v>
      </c>
      <c r="AZ35" s="855"/>
      <c r="BA35" s="855"/>
      <c r="BB35" s="855"/>
      <c r="BC35" s="855"/>
      <c r="BD35" s="855"/>
      <c r="BE35" s="855"/>
      <c r="BF35" s="855">
        <f>'[10]bieu cu'!H322</f>
        <v>1370</v>
      </c>
      <c r="BG35" s="855"/>
      <c r="BH35" s="855"/>
      <c r="BI35" s="855"/>
      <c r="BJ35" s="855">
        <f>'[10]bieu cu'!H338</f>
        <v>170</v>
      </c>
      <c r="BK35" s="855"/>
      <c r="BL35" s="855"/>
      <c r="BM35" s="855"/>
      <c r="BN35" s="855"/>
      <c r="BO35" s="848">
        <f t="shared" si="9"/>
        <v>697.51379999999995</v>
      </c>
      <c r="BP35" s="855"/>
      <c r="BQ35" s="855"/>
      <c r="BR35" s="855"/>
      <c r="BS35" s="855"/>
      <c r="BT35" s="855"/>
      <c r="BU35" s="855"/>
      <c r="BV35" s="855"/>
      <c r="BW35" s="855"/>
      <c r="BX35" s="860">
        <f>697.5138-BZ35</f>
        <v>620.01279999999997</v>
      </c>
      <c r="BY35" s="855"/>
      <c r="BZ35" s="855">
        <v>77.501000000000005</v>
      </c>
      <c r="CA35" s="855"/>
      <c r="CB35" s="855"/>
      <c r="CC35" s="855"/>
      <c r="CD35" s="855"/>
      <c r="CE35" s="855"/>
      <c r="CF35" s="848">
        <f t="shared" si="11"/>
        <v>45.293103896103894</v>
      </c>
      <c r="CG35" s="848"/>
      <c r="CH35" s="848"/>
      <c r="CI35" s="848"/>
      <c r="CJ35" s="848"/>
      <c r="CK35" s="848"/>
      <c r="CL35" s="848"/>
      <c r="CM35" s="848">
        <f t="shared" si="34"/>
        <v>0</v>
      </c>
      <c r="CN35" s="848"/>
      <c r="CO35" s="848"/>
      <c r="CP35" s="848"/>
      <c r="CQ35" s="848">
        <f t="shared" si="35"/>
        <v>45.588823529411762</v>
      </c>
      <c r="CR35" s="848"/>
      <c r="CS35" s="848"/>
      <c r="CT35" s="848"/>
      <c r="CU35" s="848"/>
      <c r="CV35" s="848"/>
      <c r="CW35" s="848"/>
    </row>
    <row r="36" spans="1:101" ht="24.75" customHeight="1">
      <c r="A36" s="845"/>
      <c r="B36" s="852" t="s">
        <v>365</v>
      </c>
      <c r="C36" s="852" t="s">
        <v>401</v>
      </c>
      <c r="D36" s="846"/>
      <c r="E36" s="845"/>
      <c r="F36" s="853" t="s">
        <v>382</v>
      </c>
      <c r="G36" s="846" t="s">
        <v>402</v>
      </c>
      <c r="H36" s="850">
        <f t="shared" si="15"/>
        <v>5409</v>
      </c>
      <c r="I36" s="848"/>
      <c r="J36" s="848"/>
      <c r="K36" s="848"/>
      <c r="L36" s="848"/>
      <c r="M36" s="848"/>
      <c r="N36" s="848"/>
      <c r="O36" s="848"/>
      <c r="P36" s="855">
        <v>5409</v>
      </c>
      <c r="Q36" s="855"/>
      <c r="R36" s="855"/>
      <c r="S36" s="848"/>
      <c r="T36" s="855">
        <f t="shared" si="19"/>
        <v>0</v>
      </c>
      <c r="U36" s="848"/>
      <c r="V36" s="848"/>
      <c r="W36" s="848"/>
      <c r="X36" s="848"/>
      <c r="Y36" s="848"/>
      <c r="Z36" s="848"/>
      <c r="AA36" s="848"/>
      <c r="AB36" s="848"/>
      <c r="AC36" s="848"/>
      <c r="AD36" s="855"/>
      <c r="AE36" s="848"/>
      <c r="AF36" s="848"/>
      <c r="AG36" s="848"/>
      <c r="AH36" s="855"/>
      <c r="AI36" s="855">
        <f t="shared" si="37"/>
        <v>341</v>
      </c>
      <c r="AJ36" s="855"/>
      <c r="AK36" s="855"/>
      <c r="AL36" s="855"/>
      <c r="AM36" s="855"/>
      <c r="AN36" s="855"/>
      <c r="AO36" s="855"/>
      <c r="AP36" s="855"/>
      <c r="AQ36" s="855"/>
      <c r="AR36" s="855"/>
      <c r="AS36" s="855"/>
      <c r="AT36" s="855"/>
      <c r="AU36" s="855"/>
      <c r="AV36" s="855">
        <v>341</v>
      </c>
      <c r="AW36" s="855"/>
      <c r="AX36" s="859"/>
      <c r="AY36" s="855">
        <f t="shared" si="31"/>
        <v>1125</v>
      </c>
      <c r="AZ36" s="855"/>
      <c r="BA36" s="855"/>
      <c r="BB36" s="855"/>
      <c r="BC36" s="855"/>
      <c r="BD36" s="855"/>
      <c r="BE36" s="855"/>
      <c r="BF36" s="855">
        <f>'[10]bieu cu'!H323</f>
        <v>1000</v>
      </c>
      <c r="BG36" s="855"/>
      <c r="BH36" s="855"/>
      <c r="BI36" s="855"/>
      <c r="BJ36" s="855">
        <f>'[10]bieu cu'!H339</f>
        <v>125</v>
      </c>
      <c r="BK36" s="855"/>
      <c r="BL36" s="855"/>
      <c r="BM36" s="855"/>
      <c r="BN36" s="855"/>
      <c r="BO36" s="848">
        <f t="shared" si="9"/>
        <v>340.96800000000002</v>
      </c>
      <c r="BP36" s="855"/>
      <c r="BQ36" s="855"/>
      <c r="BR36" s="855"/>
      <c r="BS36" s="855"/>
      <c r="BT36" s="855"/>
      <c r="BU36" s="855"/>
      <c r="BV36" s="855"/>
      <c r="BW36" s="855"/>
      <c r="BX36" s="860">
        <f>340.968-BZ36</f>
        <v>303.08300000000003</v>
      </c>
      <c r="BY36" s="855"/>
      <c r="BZ36" s="855">
        <v>37.884999999999998</v>
      </c>
      <c r="CA36" s="855"/>
      <c r="CB36" s="855"/>
      <c r="CC36" s="855"/>
      <c r="CD36" s="855"/>
      <c r="CE36" s="855"/>
      <c r="CF36" s="848">
        <f t="shared" si="11"/>
        <v>30.308266666666668</v>
      </c>
      <c r="CG36" s="848"/>
      <c r="CH36" s="848"/>
      <c r="CI36" s="848"/>
      <c r="CJ36" s="848"/>
      <c r="CK36" s="848"/>
      <c r="CL36" s="848"/>
      <c r="CM36" s="848">
        <f t="shared" si="34"/>
        <v>0</v>
      </c>
      <c r="CN36" s="848"/>
      <c r="CO36" s="848"/>
      <c r="CP36" s="848"/>
      <c r="CQ36" s="848">
        <f t="shared" si="35"/>
        <v>30.307999999999996</v>
      </c>
      <c r="CR36" s="848"/>
      <c r="CS36" s="848"/>
      <c r="CT36" s="848"/>
      <c r="CU36" s="848"/>
      <c r="CV36" s="848"/>
      <c r="CW36" s="848"/>
    </row>
    <row r="37" spans="1:101" ht="24.75" customHeight="1">
      <c r="A37" s="845" t="s">
        <v>8</v>
      </c>
      <c r="B37" s="845"/>
      <c r="C37" s="857" t="s">
        <v>403</v>
      </c>
      <c r="D37" s="846">
        <f>D38+D40</f>
        <v>0</v>
      </c>
      <c r="E37" s="845">
        <f t="shared" ref="E37" si="38">E38+E40</f>
        <v>0</v>
      </c>
      <c r="F37" s="847"/>
      <c r="G37" s="845"/>
      <c r="H37" s="850">
        <f t="shared" si="15"/>
        <v>148667</v>
      </c>
      <c r="I37" s="848">
        <f t="shared" ref="I37:BT37" si="39">I38+I40</f>
        <v>0</v>
      </c>
      <c r="J37" s="848">
        <f t="shared" si="39"/>
        <v>14997</v>
      </c>
      <c r="K37" s="848">
        <f t="shared" si="39"/>
        <v>0</v>
      </c>
      <c r="L37" s="848">
        <f t="shared" si="39"/>
        <v>0</v>
      </c>
      <c r="M37" s="848">
        <f t="shared" si="39"/>
        <v>0</v>
      </c>
      <c r="N37" s="848">
        <f t="shared" si="39"/>
        <v>133670</v>
      </c>
      <c r="O37" s="848">
        <f t="shared" si="39"/>
        <v>0</v>
      </c>
      <c r="P37" s="848">
        <f t="shared" si="39"/>
        <v>0</v>
      </c>
      <c r="Q37" s="848">
        <f t="shared" si="39"/>
        <v>0</v>
      </c>
      <c r="R37" s="848">
        <v>0</v>
      </c>
      <c r="S37" s="848">
        <f t="shared" si="39"/>
        <v>0</v>
      </c>
      <c r="T37" s="848">
        <f t="shared" si="39"/>
        <v>47902.840405000003</v>
      </c>
      <c r="U37" s="848">
        <f t="shared" si="39"/>
        <v>6000</v>
      </c>
      <c r="V37" s="848">
        <f t="shared" si="39"/>
        <v>0</v>
      </c>
      <c r="W37" s="848">
        <f t="shared" si="39"/>
        <v>269</v>
      </c>
      <c r="X37" s="848">
        <f t="shared" si="39"/>
        <v>0</v>
      </c>
      <c r="Y37" s="848">
        <f t="shared" si="39"/>
        <v>0</v>
      </c>
      <c r="Z37" s="848">
        <f t="shared" si="39"/>
        <v>0</v>
      </c>
      <c r="AA37" s="848">
        <f t="shared" si="39"/>
        <v>0</v>
      </c>
      <c r="AB37" s="848">
        <f t="shared" si="39"/>
        <v>0</v>
      </c>
      <c r="AC37" s="848">
        <f t="shared" si="39"/>
        <v>36633.840405000003</v>
      </c>
      <c r="AD37" s="848">
        <f t="shared" si="39"/>
        <v>0</v>
      </c>
      <c r="AE37" s="848">
        <f t="shared" si="39"/>
        <v>0</v>
      </c>
      <c r="AF37" s="848">
        <f t="shared" si="39"/>
        <v>0</v>
      </c>
      <c r="AG37" s="848">
        <f t="shared" si="39"/>
        <v>0</v>
      </c>
      <c r="AH37" s="848">
        <f t="shared" si="39"/>
        <v>5000</v>
      </c>
      <c r="AI37" s="848">
        <f t="shared" si="39"/>
        <v>37314</v>
      </c>
      <c r="AJ37" s="848">
        <f t="shared" si="39"/>
        <v>8000</v>
      </c>
      <c r="AK37" s="848">
        <f t="shared" si="39"/>
        <v>0</v>
      </c>
      <c r="AL37" s="848">
        <f t="shared" si="39"/>
        <v>4269</v>
      </c>
      <c r="AM37" s="848">
        <f t="shared" si="39"/>
        <v>0</v>
      </c>
      <c r="AN37" s="848">
        <f t="shared" si="39"/>
        <v>0</v>
      </c>
      <c r="AO37" s="848">
        <f t="shared" si="39"/>
        <v>0</v>
      </c>
      <c r="AP37" s="848">
        <f t="shared" si="39"/>
        <v>0</v>
      </c>
      <c r="AQ37" s="848">
        <f t="shared" si="39"/>
        <v>0</v>
      </c>
      <c r="AR37" s="848">
        <f t="shared" si="39"/>
        <v>0</v>
      </c>
      <c r="AS37" s="848">
        <f t="shared" si="39"/>
        <v>0</v>
      </c>
      <c r="AT37" s="848">
        <f t="shared" si="39"/>
        <v>0</v>
      </c>
      <c r="AU37" s="848">
        <f t="shared" si="39"/>
        <v>0</v>
      </c>
      <c r="AV37" s="848">
        <f t="shared" si="39"/>
        <v>0</v>
      </c>
      <c r="AW37" s="848">
        <f t="shared" si="39"/>
        <v>17522</v>
      </c>
      <c r="AX37" s="848">
        <f t="shared" si="39"/>
        <v>7523</v>
      </c>
      <c r="AY37" s="848">
        <f t="shared" si="39"/>
        <v>8523</v>
      </c>
      <c r="AZ37" s="848">
        <f t="shared" si="39"/>
        <v>0</v>
      </c>
      <c r="BA37" s="848">
        <f t="shared" si="39"/>
        <v>0</v>
      </c>
      <c r="BB37" s="848">
        <f t="shared" si="39"/>
        <v>0</v>
      </c>
      <c r="BC37" s="848">
        <f t="shared" si="39"/>
        <v>6000</v>
      </c>
      <c r="BD37" s="848">
        <f t="shared" si="39"/>
        <v>0</v>
      </c>
      <c r="BE37" s="848">
        <f t="shared" si="39"/>
        <v>0</v>
      </c>
      <c r="BF37" s="848">
        <f t="shared" si="39"/>
        <v>0</v>
      </c>
      <c r="BG37" s="848">
        <f t="shared" si="39"/>
        <v>0</v>
      </c>
      <c r="BH37" s="848">
        <f t="shared" si="39"/>
        <v>0</v>
      </c>
      <c r="BI37" s="848">
        <f t="shared" si="39"/>
        <v>0</v>
      </c>
      <c r="BJ37" s="848">
        <f t="shared" si="39"/>
        <v>0</v>
      </c>
      <c r="BK37" s="848">
        <f t="shared" si="39"/>
        <v>2523</v>
      </c>
      <c r="BL37" s="848">
        <f t="shared" si="39"/>
        <v>0</v>
      </c>
      <c r="BM37" s="848">
        <f t="shared" si="39"/>
        <v>0</v>
      </c>
      <c r="BN37" s="848">
        <f t="shared" si="39"/>
        <v>0</v>
      </c>
      <c r="BO37" s="848">
        <f t="shared" si="9"/>
        <v>8523</v>
      </c>
      <c r="BP37" s="848">
        <f t="shared" si="39"/>
        <v>0</v>
      </c>
      <c r="BQ37" s="848">
        <f t="shared" si="39"/>
        <v>0</v>
      </c>
      <c r="BR37" s="848">
        <f t="shared" si="39"/>
        <v>0</v>
      </c>
      <c r="BS37" s="848">
        <f t="shared" si="39"/>
        <v>6000</v>
      </c>
      <c r="BT37" s="848">
        <f t="shared" si="39"/>
        <v>0</v>
      </c>
      <c r="BU37" s="848">
        <f t="shared" ref="BU37:CS37" si="40">BU38+BU40</f>
        <v>0</v>
      </c>
      <c r="BV37" s="848">
        <f t="shared" si="40"/>
        <v>0</v>
      </c>
      <c r="BW37" s="848">
        <f t="shared" si="40"/>
        <v>0</v>
      </c>
      <c r="BX37" s="848">
        <f t="shared" si="40"/>
        <v>0</v>
      </c>
      <c r="BY37" s="848">
        <f t="shared" si="40"/>
        <v>0</v>
      </c>
      <c r="BZ37" s="848">
        <f t="shared" si="40"/>
        <v>0</v>
      </c>
      <c r="CA37" s="848">
        <f t="shared" si="40"/>
        <v>2523</v>
      </c>
      <c r="CB37" s="848">
        <f t="shared" si="40"/>
        <v>0</v>
      </c>
      <c r="CC37" s="848">
        <f t="shared" si="40"/>
        <v>0</v>
      </c>
      <c r="CD37" s="848">
        <f t="shared" si="40"/>
        <v>0</v>
      </c>
      <c r="CE37" s="848">
        <f t="shared" si="40"/>
        <v>0</v>
      </c>
      <c r="CF37" s="848">
        <f t="shared" si="40"/>
        <v>200</v>
      </c>
      <c r="CG37" s="848"/>
      <c r="CH37" s="848"/>
      <c r="CI37" s="848"/>
      <c r="CJ37" s="848"/>
      <c r="CK37" s="848"/>
      <c r="CL37" s="848"/>
      <c r="CM37" s="848"/>
      <c r="CN37" s="848"/>
      <c r="CO37" s="848"/>
      <c r="CP37" s="848"/>
      <c r="CQ37" s="848"/>
      <c r="CR37" s="848">
        <f t="shared" si="35"/>
        <v>100</v>
      </c>
      <c r="CS37" s="848">
        <f t="shared" si="40"/>
        <v>0</v>
      </c>
      <c r="CT37" s="848"/>
      <c r="CU37" s="848"/>
      <c r="CV37" s="848"/>
      <c r="CW37" s="848"/>
    </row>
    <row r="38" spans="1:101" ht="24.75" customHeight="1">
      <c r="A38" s="845" t="s">
        <v>30</v>
      </c>
      <c r="B38" s="845"/>
      <c r="C38" s="857" t="s">
        <v>371</v>
      </c>
      <c r="D38" s="846">
        <f>D39</f>
        <v>0</v>
      </c>
      <c r="E38" s="845">
        <f t="shared" ref="E38" si="41">E39</f>
        <v>0</v>
      </c>
      <c r="F38" s="847"/>
      <c r="G38" s="845"/>
      <c r="H38" s="850">
        <f t="shared" si="15"/>
        <v>133670</v>
      </c>
      <c r="I38" s="848">
        <f t="shared" ref="I38:BT38" si="42">I39</f>
        <v>0</v>
      </c>
      <c r="J38" s="848">
        <f t="shared" si="42"/>
        <v>0</v>
      </c>
      <c r="K38" s="848">
        <f t="shared" si="42"/>
        <v>0</v>
      </c>
      <c r="L38" s="848">
        <f t="shared" si="42"/>
        <v>0</v>
      </c>
      <c r="M38" s="848">
        <f t="shared" si="42"/>
        <v>0</v>
      </c>
      <c r="N38" s="848">
        <f t="shared" si="42"/>
        <v>133670</v>
      </c>
      <c r="O38" s="848">
        <f t="shared" si="42"/>
        <v>0</v>
      </c>
      <c r="P38" s="848">
        <f t="shared" si="42"/>
        <v>0</v>
      </c>
      <c r="Q38" s="848">
        <f t="shared" si="42"/>
        <v>0</v>
      </c>
      <c r="R38" s="848">
        <v>0</v>
      </c>
      <c r="S38" s="848">
        <f t="shared" si="42"/>
        <v>0</v>
      </c>
      <c r="T38" s="848">
        <f t="shared" si="42"/>
        <v>0</v>
      </c>
      <c r="U38" s="848">
        <f t="shared" si="42"/>
        <v>0</v>
      </c>
      <c r="V38" s="848">
        <f t="shared" si="42"/>
        <v>0</v>
      </c>
      <c r="W38" s="848">
        <f t="shared" si="42"/>
        <v>0</v>
      </c>
      <c r="X38" s="848">
        <f t="shared" si="42"/>
        <v>0</v>
      </c>
      <c r="Y38" s="848">
        <f t="shared" si="42"/>
        <v>0</v>
      </c>
      <c r="Z38" s="848">
        <f t="shared" si="42"/>
        <v>0</v>
      </c>
      <c r="AA38" s="848">
        <f t="shared" si="42"/>
        <v>0</v>
      </c>
      <c r="AB38" s="848">
        <f t="shared" si="42"/>
        <v>0</v>
      </c>
      <c r="AC38" s="848">
        <f t="shared" si="42"/>
        <v>0</v>
      </c>
      <c r="AD38" s="848">
        <f t="shared" si="42"/>
        <v>0</v>
      </c>
      <c r="AE38" s="848">
        <f t="shared" si="42"/>
        <v>0</v>
      </c>
      <c r="AF38" s="848">
        <f t="shared" si="42"/>
        <v>0</v>
      </c>
      <c r="AG38" s="848">
        <f t="shared" si="42"/>
        <v>0</v>
      </c>
      <c r="AH38" s="848">
        <f t="shared" si="42"/>
        <v>0</v>
      </c>
      <c r="AI38" s="848">
        <f t="shared" si="42"/>
        <v>2523</v>
      </c>
      <c r="AJ38" s="848">
        <f t="shared" si="42"/>
        <v>0</v>
      </c>
      <c r="AK38" s="848">
        <f t="shared" si="42"/>
        <v>0</v>
      </c>
      <c r="AL38" s="848">
        <f t="shared" si="42"/>
        <v>0</v>
      </c>
      <c r="AM38" s="848">
        <f t="shared" si="42"/>
        <v>0</v>
      </c>
      <c r="AN38" s="848">
        <f t="shared" si="42"/>
        <v>0</v>
      </c>
      <c r="AO38" s="848">
        <f t="shared" si="42"/>
        <v>0</v>
      </c>
      <c r="AP38" s="848">
        <f t="shared" si="42"/>
        <v>0</v>
      </c>
      <c r="AQ38" s="848">
        <f t="shared" si="42"/>
        <v>0</v>
      </c>
      <c r="AR38" s="848">
        <f t="shared" si="42"/>
        <v>0</v>
      </c>
      <c r="AS38" s="848">
        <f t="shared" si="42"/>
        <v>0</v>
      </c>
      <c r="AT38" s="848">
        <f t="shared" si="42"/>
        <v>0</v>
      </c>
      <c r="AU38" s="848">
        <f t="shared" si="42"/>
        <v>0</v>
      </c>
      <c r="AV38" s="848">
        <f t="shared" si="42"/>
        <v>0</v>
      </c>
      <c r="AW38" s="848">
        <f t="shared" si="42"/>
        <v>0</v>
      </c>
      <c r="AX38" s="848">
        <f t="shared" si="42"/>
        <v>2523</v>
      </c>
      <c r="AY38" s="848">
        <f t="shared" si="42"/>
        <v>2523</v>
      </c>
      <c r="AZ38" s="848">
        <f t="shared" si="42"/>
        <v>0</v>
      </c>
      <c r="BA38" s="848">
        <f t="shared" si="42"/>
        <v>0</v>
      </c>
      <c r="BB38" s="848">
        <f t="shared" si="42"/>
        <v>0</v>
      </c>
      <c r="BC38" s="848">
        <f t="shared" si="42"/>
        <v>0</v>
      </c>
      <c r="BD38" s="848">
        <f t="shared" si="42"/>
        <v>0</v>
      </c>
      <c r="BE38" s="848">
        <f t="shared" si="42"/>
        <v>0</v>
      </c>
      <c r="BF38" s="848">
        <f t="shared" si="42"/>
        <v>0</v>
      </c>
      <c r="BG38" s="848">
        <f t="shared" si="42"/>
        <v>0</v>
      </c>
      <c r="BH38" s="848">
        <f t="shared" si="42"/>
        <v>0</v>
      </c>
      <c r="BI38" s="848">
        <f t="shared" si="42"/>
        <v>0</v>
      </c>
      <c r="BJ38" s="848">
        <f t="shared" si="42"/>
        <v>0</v>
      </c>
      <c r="BK38" s="848">
        <f t="shared" si="42"/>
        <v>2523</v>
      </c>
      <c r="BL38" s="848">
        <f t="shared" si="42"/>
        <v>0</v>
      </c>
      <c r="BM38" s="848">
        <f t="shared" si="42"/>
        <v>0</v>
      </c>
      <c r="BN38" s="848">
        <f t="shared" si="42"/>
        <v>0</v>
      </c>
      <c r="BO38" s="848">
        <f t="shared" si="9"/>
        <v>2523</v>
      </c>
      <c r="BP38" s="848">
        <f t="shared" si="42"/>
        <v>0</v>
      </c>
      <c r="BQ38" s="848">
        <f t="shared" si="42"/>
        <v>0</v>
      </c>
      <c r="BR38" s="848">
        <f t="shared" si="42"/>
        <v>0</v>
      </c>
      <c r="BS38" s="848">
        <f t="shared" si="42"/>
        <v>0</v>
      </c>
      <c r="BT38" s="848">
        <f t="shared" si="42"/>
        <v>0</v>
      </c>
      <c r="BU38" s="848">
        <f t="shared" ref="BU38:CS38" si="43">BU39</f>
        <v>0</v>
      </c>
      <c r="BV38" s="848">
        <f t="shared" si="43"/>
        <v>0</v>
      </c>
      <c r="BW38" s="848">
        <f t="shared" si="43"/>
        <v>0</v>
      </c>
      <c r="BX38" s="848">
        <f t="shared" si="43"/>
        <v>0</v>
      </c>
      <c r="BY38" s="848">
        <f t="shared" si="43"/>
        <v>0</v>
      </c>
      <c r="BZ38" s="848">
        <f t="shared" si="43"/>
        <v>0</v>
      </c>
      <c r="CA38" s="848">
        <f t="shared" si="43"/>
        <v>2523</v>
      </c>
      <c r="CB38" s="848">
        <f t="shared" si="43"/>
        <v>0</v>
      </c>
      <c r="CC38" s="848">
        <f t="shared" si="43"/>
        <v>0</v>
      </c>
      <c r="CD38" s="848">
        <f t="shared" si="43"/>
        <v>0</v>
      </c>
      <c r="CE38" s="848">
        <f t="shared" si="43"/>
        <v>0</v>
      </c>
      <c r="CF38" s="848">
        <f t="shared" si="43"/>
        <v>100</v>
      </c>
      <c r="CG38" s="848"/>
      <c r="CH38" s="848"/>
      <c r="CI38" s="848"/>
      <c r="CJ38" s="848"/>
      <c r="CK38" s="848"/>
      <c r="CL38" s="848"/>
      <c r="CM38" s="848"/>
      <c r="CN38" s="848"/>
      <c r="CO38" s="848"/>
      <c r="CP38" s="848"/>
      <c r="CQ38" s="848"/>
      <c r="CR38" s="848">
        <f t="shared" si="35"/>
        <v>100</v>
      </c>
      <c r="CS38" s="848">
        <f t="shared" si="43"/>
        <v>0</v>
      </c>
      <c r="CT38" s="848"/>
      <c r="CU38" s="848"/>
      <c r="CV38" s="848"/>
      <c r="CW38" s="848"/>
    </row>
    <row r="39" spans="1:101" ht="40.15" customHeight="1">
      <c r="A39" s="845"/>
      <c r="B39" s="857" t="s">
        <v>403</v>
      </c>
      <c r="C39" s="852" t="s">
        <v>404</v>
      </c>
      <c r="D39" s="846"/>
      <c r="E39" s="845"/>
      <c r="F39" s="853">
        <v>2016</v>
      </c>
      <c r="G39" s="846" t="s">
        <v>405</v>
      </c>
      <c r="H39" s="850">
        <f t="shared" si="15"/>
        <v>133670</v>
      </c>
      <c r="I39" s="855"/>
      <c r="J39" s="848"/>
      <c r="K39" s="848"/>
      <c r="L39" s="848"/>
      <c r="M39" s="848"/>
      <c r="N39" s="855">
        <v>133670</v>
      </c>
      <c r="O39" s="848"/>
      <c r="P39" s="848"/>
      <c r="Q39" s="848"/>
      <c r="R39" s="848"/>
      <c r="S39" s="848"/>
      <c r="T39" s="855">
        <f>SUM(U39:AH39)</f>
        <v>0</v>
      </c>
      <c r="U39" s="848"/>
      <c r="V39" s="848"/>
      <c r="W39" s="848"/>
      <c r="X39" s="848"/>
      <c r="Y39" s="848"/>
      <c r="Z39" s="848"/>
      <c r="AA39" s="848"/>
      <c r="AB39" s="848"/>
      <c r="AC39" s="848"/>
      <c r="AD39" s="848"/>
      <c r="AE39" s="848"/>
      <c r="AF39" s="848"/>
      <c r="AG39" s="848"/>
      <c r="AH39" s="855"/>
      <c r="AI39" s="855">
        <f>AX39</f>
        <v>2523</v>
      </c>
      <c r="AJ39" s="855"/>
      <c r="AK39" s="855"/>
      <c r="AL39" s="855"/>
      <c r="AM39" s="855"/>
      <c r="AN39" s="855"/>
      <c r="AO39" s="855"/>
      <c r="AP39" s="855"/>
      <c r="AQ39" s="855"/>
      <c r="AR39" s="855"/>
      <c r="AS39" s="855"/>
      <c r="AT39" s="855"/>
      <c r="AU39" s="855"/>
      <c r="AV39" s="855"/>
      <c r="AW39" s="855"/>
      <c r="AX39" s="855">
        <v>2523</v>
      </c>
      <c r="AY39" s="855">
        <f t="shared" ref="AY39" si="44">SUM(AZ39:BN39)</f>
        <v>2523</v>
      </c>
      <c r="AZ39" s="855"/>
      <c r="BA39" s="855"/>
      <c r="BB39" s="855"/>
      <c r="BC39" s="855"/>
      <c r="BD39" s="855"/>
      <c r="BE39" s="855"/>
      <c r="BF39" s="855"/>
      <c r="BG39" s="855"/>
      <c r="BH39" s="855"/>
      <c r="BI39" s="855"/>
      <c r="BJ39" s="855"/>
      <c r="BK39" s="855">
        <f>'[10]bieu cu'!H172</f>
        <v>2523</v>
      </c>
      <c r="BL39" s="855"/>
      <c r="BM39" s="855"/>
      <c r="BN39" s="855"/>
      <c r="BO39" s="848">
        <f t="shared" si="9"/>
        <v>2523</v>
      </c>
      <c r="BP39" s="855"/>
      <c r="BQ39" s="855"/>
      <c r="BR39" s="855"/>
      <c r="BS39" s="855"/>
      <c r="BT39" s="855"/>
      <c r="BU39" s="855"/>
      <c r="BV39" s="855"/>
      <c r="BW39" s="855"/>
      <c r="BX39" s="855"/>
      <c r="BY39" s="855"/>
      <c r="BZ39" s="855"/>
      <c r="CA39" s="855">
        <f>'[10]bieu cu'!M172</f>
        <v>2523</v>
      </c>
      <c r="CB39" s="855"/>
      <c r="CC39" s="855"/>
      <c r="CD39" s="855"/>
      <c r="CE39" s="855"/>
      <c r="CF39" s="848">
        <f t="shared" si="11"/>
        <v>100</v>
      </c>
      <c r="CG39" s="848"/>
      <c r="CH39" s="848"/>
      <c r="CI39" s="848"/>
      <c r="CJ39" s="848"/>
      <c r="CK39" s="848"/>
      <c r="CL39" s="848"/>
      <c r="CM39" s="848"/>
      <c r="CN39" s="848"/>
      <c r="CO39" s="848"/>
      <c r="CP39" s="848"/>
      <c r="CQ39" s="848"/>
      <c r="CR39" s="848">
        <f t="shared" si="35"/>
        <v>100</v>
      </c>
      <c r="CS39" s="848"/>
      <c r="CT39" s="848"/>
      <c r="CU39" s="848"/>
      <c r="CV39" s="848"/>
      <c r="CW39" s="848"/>
    </row>
    <row r="40" spans="1:101" s="851" customFormat="1" ht="34.9" customHeight="1">
      <c r="A40" s="845" t="s">
        <v>31</v>
      </c>
      <c r="B40" s="845"/>
      <c r="C40" s="857" t="s">
        <v>406</v>
      </c>
      <c r="D40" s="846">
        <f>D41</f>
        <v>0</v>
      </c>
      <c r="E40" s="845">
        <f t="shared" ref="E40" si="45">E41</f>
        <v>0</v>
      </c>
      <c r="F40" s="847"/>
      <c r="G40" s="845"/>
      <c r="H40" s="850">
        <f t="shared" si="15"/>
        <v>14997</v>
      </c>
      <c r="I40" s="848">
        <f t="shared" ref="I40:CE40" si="46">I41</f>
        <v>0</v>
      </c>
      <c r="J40" s="848">
        <f t="shared" si="46"/>
        <v>14997</v>
      </c>
      <c r="K40" s="848">
        <f t="shared" si="46"/>
        <v>0</v>
      </c>
      <c r="L40" s="848">
        <f t="shared" si="46"/>
        <v>0</v>
      </c>
      <c r="M40" s="848">
        <f t="shared" si="46"/>
        <v>0</v>
      </c>
      <c r="N40" s="848">
        <f t="shared" si="46"/>
        <v>0</v>
      </c>
      <c r="O40" s="848">
        <f t="shared" si="46"/>
        <v>0</v>
      </c>
      <c r="P40" s="848">
        <f t="shared" si="46"/>
        <v>0</v>
      </c>
      <c r="Q40" s="848">
        <f t="shared" si="46"/>
        <v>0</v>
      </c>
      <c r="R40" s="848">
        <v>0</v>
      </c>
      <c r="S40" s="848">
        <f t="shared" si="46"/>
        <v>0</v>
      </c>
      <c r="T40" s="848">
        <f t="shared" si="46"/>
        <v>47902.840405000003</v>
      </c>
      <c r="U40" s="848">
        <f t="shared" si="46"/>
        <v>6000</v>
      </c>
      <c r="V40" s="848">
        <f t="shared" si="46"/>
        <v>0</v>
      </c>
      <c r="W40" s="848">
        <f t="shared" si="46"/>
        <v>269</v>
      </c>
      <c r="X40" s="848">
        <f t="shared" si="46"/>
        <v>0</v>
      </c>
      <c r="Y40" s="848">
        <f t="shared" si="46"/>
        <v>0</v>
      </c>
      <c r="Z40" s="848">
        <f t="shared" si="46"/>
        <v>0</v>
      </c>
      <c r="AA40" s="848">
        <f t="shared" si="46"/>
        <v>0</v>
      </c>
      <c r="AB40" s="848">
        <f t="shared" si="46"/>
        <v>0</v>
      </c>
      <c r="AC40" s="848">
        <f t="shared" si="46"/>
        <v>36633.840405000003</v>
      </c>
      <c r="AD40" s="848">
        <f t="shared" si="46"/>
        <v>0</v>
      </c>
      <c r="AE40" s="848">
        <f t="shared" si="46"/>
        <v>0</v>
      </c>
      <c r="AF40" s="848">
        <f t="shared" si="46"/>
        <v>0</v>
      </c>
      <c r="AG40" s="848">
        <f t="shared" si="46"/>
        <v>0</v>
      </c>
      <c r="AH40" s="848">
        <f t="shared" si="46"/>
        <v>5000</v>
      </c>
      <c r="AI40" s="848">
        <f t="shared" si="46"/>
        <v>34791</v>
      </c>
      <c r="AJ40" s="848">
        <f t="shared" si="46"/>
        <v>8000</v>
      </c>
      <c r="AK40" s="848">
        <f t="shared" si="46"/>
        <v>0</v>
      </c>
      <c r="AL40" s="848">
        <f t="shared" si="46"/>
        <v>4269</v>
      </c>
      <c r="AM40" s="848">
        <f t="shared" si="46"/>
        <v>0</v>
      </c>
      <c r="AN40" s="848">
        <f t="shared" si="46"/>
        <v>0</v>
      </c>
      <c r="AO40" s="848">
        <f t="shared" si="46"/>
        <v>0</v>
      </c>
      <c r="AP40" s="848">
        <f t="shared" si="46"/>
        <v>0</v>
      </c>
      <c r="AQ40" s="848">
        <f t="shared" si="46"/>
        <v>0</v>
      </c>
      <c r="AR40" s="848">
        <f t="shared" si="46"/>
        <v>0</v>
      </c>
      <c r="AS40" s="848">
        <f t="shared" si="46"/>
        <v>0</v>
      </c>
      <c r="AT40" s="848">
        <f t="shared" si="46"/>
        <v>0</v>
      </c>
      <c r="AU40" s="848">
        <f t="shared" si="46"/>
        <v>0</v>
      </c>
      <c r="AV40" s="848">
        <f t="shared" si="46"/>
        <v>0</v>
      </c>
      <c r="AW40" s="848">
        <f t="shared" si="46"/>
        <v>17522</v>
      </c>
      <c r="AX40" s="848">
        <f t="shared" si="46"/>
        <v>5000</v>
      </c>
      <c r="AY40" s="848">
        <f t="shared" si="46"/>
        <v>6000</v>
      </c>
      <c r="AZ40" s="848">
        <f t="shared" si="46"/>
        <v>0</v>
      </c>
      <c r="BA40" s="848">
        <f t="shared" si="46"/>
        <v>0</v>
      </c>
      <c r="BB40" s="848">
        <f t="shared" si="46"/>
        <v>0</v>
      </c>
      <c r="BC40" s="848">
        <f t="shared" si="46"/>
        <v>6000</v>
      </c>
      <c r="BD40" s="848">
        <f t="shared" si="46"/>
        <v>0</v>
      </c>
      <c r="BE40" s="848">
        <f t="shared" si="46"/>
        <v>0</v>
      </c>
      <c r="BF40" s="848">
        <f t="shared" si="46"/>
        <v>0</v>
      </c>
      <c r="BG40" s="848">
        <f t="shared" si="46"/>
        <v>0</v>
      </c>
      <c r="BH40" s="848">
        <f t="shared" si="46"/>
        <v>0</v>
      </c>
      <c r="BI40" s="848">
        <f t="shared" si="46"/>
        <v>0</v>
      </c>
      <c r="BJ40" s="848">
        <f t="shared" si="46"/>
        <v>0</v>
      </c>
      <c r="BK40" s="848">
        <f t="shared" si="46"/>
        <v>0</v>
      </c>
      <c r="BL40" s="848">
        <f t="shared" si="46"/>
        <v>0</v>
      </c>
      <c r="BM40" s="848">
        <f t="shared" si="46"/>
        <v>0</v>
      </c>
      <c r="BN40" s="848">
        <f t="shared" si="46"/>
        <v>0</v>
      </c>
      <c r="BO40" s="848">
        <f t="shared" si="9"/>
        <v>6000</v>
      </c>
      <c r="BP40" s="848">
        <f t="shared" si="46"/>
        <v>0</v>
      </c>
      <c r="BQ40" s="848">
        <f t="shared" si="46"/>
        <v>0</v>
      </c>
      <c r="BR40" s="848">
        <f t="shared" si="46"/>
        <v>0</v>
      </c>
      <c r="BS40" s="848">
        <f t="shared" si="46"/>
        <v>6000</v>
      </c>
      <c r="BT40" s="848">
        <f t="shared" si="46"/>
        <v>0</v>
      </c>
      <c r="BU40" s="848">
        <f t="shared" si="46"/>
        <v>0</v>
      </c>
      <c r="BV40" s="848">
        <f t="shared" si="46"/>
        <v>0</v>
      </c>
      <c r="BW40" s="848">
        <f t="shared" si="46"/>
        <v>0</v>
      </c>
      <c r="BX40" s="848">
        <f t="shared" si="46"/>
        <v>0</v>
      </c>
      <c r="BY40" s="848">
        <f t="shared" si="46"/>
        <v>0</v>
      </c>
      <c r="BZ40" s="848">
        <f t="shared" si="46"/>
        <v>0</v>
      </c>
      <c r="CA40" s="848">
        <f t="shared" si="46"/>
        <v>0</v>
      </c>
      <c r="CB40" s="848">
        <f t="shared" si="46"/>
        <v>0</v>
      </c>
      <c r="CC40" s="848">
        <f t="shared" si="46"/>
        <v>0</v>
      </c>
      <c r="CD40" s="848">
        <f t="shared" si="46"/>
        <v>0</v>
      </c>
      <c r="CE40" s="848">
        <f t="shared" si="46"/>
        <v>0</v>
      </c>
      <c r="CF40" s="848">
        <f t="shared" ref="CF40:CS40" si="47">CF41</f>
        <v>100</v>
      </c>
      <c r="CG40" s="848"/>
      <c r="CH40" s="848"/>
      <c r="CI40" s="848"/>
      <c r="CJ40" s="848">
        <f t="shared" ref="CJ40:CJ44" si="48">BS40/BC40*100</f>
        <v>100</v>
      </c>
      <c r="CK40" s="848"/>
      <c r="CL40" s="848"/>
      <c r="CM40" s="848"/>
      <c r="CN40" s="848"/>
      <c r="CO40" s="848"/>
      <c r="CP40" s="848"/>
      <c r="CQ40" s="848"/>
      <c r="CR40" s="848"/>
      <c r="CS40" s="848">
        <f t="shared" si="47"/>
        <v>0</v>
      </c>
      <c r="CT40" s="848"/>
      <c r="CU40" s="848"/>
      <c r="CV40" s="848"/>
      <c r="CW40" s="848"/>
    </row>
    <row r="41" spans="1:101" ht="49.9" customHeight="1">
      <c r="A41" s="845"/>
      <c r="B41" s="857" t="s">
        <v>403</v>
      </c>
      <c r="C41" s="852" t="s">
        <v>407</v>
      </c>
      <c r="D41" s="846"/>
      <c r="E41" s="845"/>
      <c r="F41" s="853">
        <v>2016</v>
      </c>
      <c r="G41" s="846" t="s">
        <v>408</v>
      </c>
      <c r="H41" s="850">
        <f t="shared" si="15"/>
        <v>14997</v>
      </c>
      <c r="I41" s="860"/>
      <c r="J41" s="855">
        <v>14997</v>
      </c>
      <c r="K41" s="848"/>
      <c r="L41" s="848"/>
      <c r="M41" s="848"/>
      <c r="N41" s="848"/>
      <c r="O41" s="848"/>
      <c r="P41" s="848"/>
      <c r="Q41" s="848"/>
      <c r="R41" s="848"/>
      <c r="S41" s="848"/>
      <c r="T41" s="855">
        <f t="shared" si="19"/>
        <v>47902.840405000003</v>
      </c>
      <c r="U41" s="855">
        <v>6000</v>
      </c>
      <c r="V41" s="848"/>
      <c r="W41" s="855">
        <v>269</v>
      </c>
      <c r="X41" s="848"/>
      <c r="Y41" s="848"/>
      <c r="Z41" s="848"/>
      <c r="AA41" s="848"/>
      <c r="AB41" s="848"/>
      <c r="AC41" s="855">
        <v>36633.840405000003</v>
      </c>
      <c r="AD41" s="848"/>
      <c r="AE41" s="848"/>
      <c r="AF41" s="848"/>
      <c r="AG41" s="855"/>
      <c r="AH41" s="855">
        <v>5000</v>
      </c>
      <c r="AI41" s="855">
        <f>SUM(AJ41:AX41)</f>
        <v>34791</v>
      </c>
      <c r="AJ41" s="855">
        <v>8000</v>
      </c>
      <c r="AK41" s="855"/>
      <c r="AL41" s="855">
        <v>4269</v>
      </c>
      <c r="AM41" s="855"/>
      <c r="AN41" s="855"/>
      <c r="AO41" s="855"/>
      <c r="AP41" s="855"/>
      <c r="AQ41" s="855"/>
      <c r="AR41" s="855"/>
      <c r="AS41" s="855"/>
      <c r="AT41" s="855"/>
      <c r="AU41" s="855"/>
      <c r="AV41" s="855"/>
      <c r="AW41" s="855">
        <v>17522</v>
      </c>
      <c r="AX41" s="855">
        <v>5000</v>
      </c>
      <c r="AY41" s="855">
        <f t="shared" ref="AY41" si="49">SUM(AZ41:BN41)</f>
        <v>6000</v>
      </c>
      <c r="AZ41" s="855"/>
      <c r="BA41" s="855"/>
      <c r="BB41" s="855"/>
      <c r="BC41" s="855">
        <f>'[10]bieu cu'!H294</f>
        <v>6000</v>
      </c>
      <c r="BD41" s="855"/>
      <c r="BE41" s="855"/>
      <c r="BF41" s="855"/>
      <c r="BG41" s="855"/>
      <c r="BH41" s="855"/>
      <c r="BI41" s="855"/>
      <c r="BJ41" s="855"/>
      <c r="BK41" s="855"/>
      <c r="BL41" s="855"/>
      <c r="BM41" s="855"/>
      <c r="BN41" s="855"/>
      <c r="BO41" s="848">
        <f t="shared" si="9"/>
        <v>6000</v>
      </c>
      <c r="BP41" s="855"/>
      <c r="BQ41" s="855"/>
      <c r="BR41" s="855"/>
      <c r="BS41" s="855">
        <f>'[10]bieu cu'!M294</f>
        <v>6000</v>
      </c>
      <c r="BT41" s="855"/>
      <c r="BU41" s="855"/>
      <c r="BV41" s="855"/>
      <c r="BW41" s="855"/>
      <c r="BX41" s="855"/>
      <c r="BY41" s="855"/>
      <c r="BZ41" s="855"/>
      <c r="CA41" s="855"/>
      <c r="CB41" s="855"/>
      <c r="CC41" s="855"/>
      <c r="CD41" s="855"/>
      <c r="CE41" s="855"/>
      <c r="CF41" s="848">
        <f t="shared" si="11"/>
        <v>100</v>
      </c>
      <c r="CG41" s="848"/>
      <c r="CH41" s="848"/>
      <c r="CI41" s="848"/>
      <c r="CJ41" s="848">
        <f t="shared" si="48"/>
        <v>100</v>
      </c>
      <c r="CK41" s="848"/>
      <c r="CL41" s="848"/>
      <c r="CM41" s="848"/>
      <c r="CN41" s="848"/>
      <c r="CO41" s="848"/>
      <c r="CP41" s="848"/>
      <c r="CQ41" s="848"/>
      <c r="CR41" s="848"/>
      <c r="CS41" s="848"/>
      <c r="CT41" s="848"/>
      <c r="CU41" s="848"/>
      <c r="CV41" s="848"/>
      <c r="CW41" s="848"/>
    </row>
    <row r="42" spans="1:101" s="851" customFormat="1" ht="24.75" customHeight="1">
      <c r="A42" s="845" t="s">
        <v>9</v>
      </c>
      <c r="B42" s="845"/>
      <c r="C42" s="857" t="s">
        <v>409</v>
      </c>
      <c r="D42" s="846">
        <f>D43</f>
        <v>0</v>
      </c>
      <c r="E42" s="845">
        <f t="shared" ref="E42:CE42" si="50">E43</f>
        <v>0</v>
      </c>
      <c r="F42" s="847"/>
      <c r="G42" s="845"/>
      <c r="H42" s="850">
        <f t="shared" si="15"/>
        <v>40322</v>
      </c>
      <c r="I42" s="848">
        <f t="shared" ref="I42:AX42" si="51">I43</f>
        <v>0</v>
      </c>
      <c r="J42" s="848">
        <f t="shared" si="51"/>
        <v>0</v>
      </c>
      <c r="K42" s="848">
        <f t="shared" si="51"/>
        <v>0</v>
      </c>
      <c r="L42" s="848">
        <f t="shared" si="51"/>
        <v>0</v>
      </c>
      <c r="M42" s="848">
        <f t="shared" si="51"/>
        <v>0</v>
      </c>
      <c r="N42" s="848">
        <f t="shared" si="51"/>
        <v>0</v>
      </c>
      <c r="O42" s="848">
        <f t="shared" si="51"/>
        <v>0</v>
      </c>
      <c r="P42" s="848">
        <f t="shared" si="51"/>
        <v>0</v>
      </c>
      <c r="Q42" s="848">
        <f t="shared" si="51"/>
        <v>0</v>
      </c>
      <c r="R42" s="848">
        <v>0</v>
      </c>
      <c r="S42" s="848">
        <f t="shared" si="51"/>
        <v>40322</v>
      </c>
      <c r="T42" s="848">
        <f t="shared" si="51"/>
        <v>13068.483833999997</v>
      </c>
      <c r="U42" s="848">
        <f t="shared" si="51"/>
        <v>2234.8281339999999</v>
      </c>
      <c r="V42" s="848">
        <f t="shared" si="51"/>
        <v>0</v>
      </c>
      <c r="W42" s="848">
        <f t="shared" si="51"/>
        <v>0</v>
      </c>
      <c r="X42" s="848">
        <f t="shared" si="51"/>
        <v>0</v>
      </c>
      <c r="Y42" s="848">
        <f t="shared" si="51"/>
        <v>0</v>
      </c>
      <c r="Z42" s="848">
        <f t="shared" si="51"/>
        <v>0</v>
      </c>
      <c r="AA42" s="848">
        <f t="shared" si="51"/>
        <v>0</v>
      </c>
      <c r="AB42" s="848">
        <f t="shared" si="51"/>
        <v>0</v>
      </c>
      <c r="AC42" s="848">
        <f t="shared" si="51"/>
        <v>10833.655699999999</v>
      </c>
      <c r="AD42" s="848">
        <f t="shared" si="51"/>
        <v>0</v>
      </c>
      <c r="AE42" s="848">
        <f t="shared" si="51"/>
        <v>0</v>
      </c>
      <c r="AF42" s="848">
        <f t="shared" si="51"/>
        <v>0</v>
      </c>
      <c r="AG42" s="848">
        <f t="shared" si="51"/>
        <v>0</v>
      </c>
      <c r="AH42" s="848">
        <f t="shared" si="51"/>
        <v>0</v>
      </c>
      <c r="AI42" s="848">
        <f t="shared" si="51"/>
        <v>21328</v>
      </c>
      <c r="AJ42" s="848">
        <f t="shared" si="51"/>
        <v>6428</v>
      </c>
      <c r="AK42" s="848">
        <f t="shared" si="51"/>
        <v>0</v>
      </c>
      <c r="AL42" s="848">
        <f t="shared" si="51"/>
        <v>2500</v>
      </c>
      <c r="AM42" s="848">
        <f t="shared" si="51"/>
        <v>0</v>
      </c>
      <c r="AN42" s="848">
        <f t="shared" si="51"/>
        <v>0</v>
      </c>
      <c r="AO42" s="848">
        <f t="shared" si="51"/>
        <v>0</v>
      </c>
      <c r="AP42" s="848">
        <f t="shared" si="51"/>
        <v>0</v>
      </c>
      <c r="AQ42" s="848">
        <f t="shared" si="51"/>
        <v>0</v>
      </c>
      <c r="AR42" s="848">
        <f t="shared" si="51"/>
        <v>10834</v>
      </c>
      <c r="AS42" s="848">
        <f t="shared" si="51"/>
        <v>0</v>
      </c>
      <c r="AT42" s="848">
        <f t="shared" si="51"/>
        <v>0</v>
      </c>
      <c r="AU42" s="848">
        <f t="shared" si="51"/>
        <v>0</v>
      </c>
      <c r="AV42" s="848">
        <f t="shared" si="51"/>
        <v>0</v>
      </c>
      <c r="AW42" s="848">
        <f t="shared" si="51"/>
        <v>0</v>
      </c>
      <c r="AX42" s="848">
        <f t="shared" si="51"/>
        <v>1566</v>
      </c>
      <c r="AY42" s="848">
        <f t="shared" si="50"/>
        <v>2064</v>
      </c>
      <c r="AZ42" s="848">
        <f t="shared" si="50"/>
        <v>0</v>
      </c>
      <c r="BA42" s="848">
        <f t="shared" si="50"/>
        <v>0</v>
      </c>
      <c r="BB42" s="848">
        <f t="shared" si="50"/>
        <v>0</v>
      </c>
      <c r="BC42" s="848">
        <f t="shared" si="50"/>
        <v>498</v>
      </c>
      <c r="BD42" s="848">
        <f t="shared" si="50"/>
        <v>0</v>
      </c>
      <c r="BE42" s="848">
        <f t="shared" si="50"/>
        <v>0</v>
      </c>
      <c r="BF42" s="848">
        <f t="shared" si="50"/>
        <v>0</v>
      </c>
      <c r="BG42" s="848">
        <f t="shared" si="50"/>
        <v>0</v>
      </c>
      <c r="BH42" s="848">
        <f t="shared" si="50"/>
        <v>0</v>
      </c>
      <c r="BI42" s="848">
        <f t="shared" si="50"/>
        <v>0</v>
      </c>
      <c r="BJ42" s="848">
        <f t="shared" si="50"/>
        <v>0</v>
      </c>
      <c r="BK42" s="848">
        <f t="shared" si="50"/>
        <v>0</v>
      </c>
      <c r="BL42" s="848">
        <f t="shared" si="50"/>
        <v>0</v>
      </c>
      <c r="BM42" s="848">
        <f t="shared" si="50"/>
        <v>0</v>
      </c>
      <c r="BN42" s="848">
        <f t="shared" si="50"/>
        <v>1566</v>
      </c>
      <c r="BO42" s="848">
        <f t="shared" si="9"/>
        <v>3141.6315370000002</v>
      </c>
      <c r="BP42" s="848">
        <f t="shared" si="50"/>
        <v>1575.631537</v>
      </c>
      <c r="BQ42" s="848">
        <f t="shared" si="50"/>
        <v>0</v>
      </c>
      <c r="BR42" s="848">
        <f t="shared" si="50"/>
        <v>0</v>
      </c>
      <c r="BS42" s="848">
        <f>BS43</f>
        <v>0</v>
      </c>
      <c r="BT42" s="848">
        <f t="shared" si="50"/>
        <v>0</v>
      </c>
      <c r="BU42" s="848">
        <f t="shared" si="50"/>
        <v>0</v>
      </c>
      <c r="BV42" s="848">
        <f t="shared" si="50"/>
        <v>0</v>
      </c>
      <c r="BW42" s="848">
        <f t="shared" si="50"/>
        <v>0</v>
      </c>
      <c r="BX42" s="848">
        <f t="shared" si="50"/>
        <v>0</v>
      </c>
      <c r="BY42" s="848">
        <f t="shared" si="50"/>
        <v>0</v>
      </c>
      <c r="BZ42" s="848">
        <f t="shared" si="50"/>
        <v>0</v>
      </c>
      <c r="CA42" s="848">
        <f>CA43</f>
        <v>0</v>
      </c>
      <c r="CB42" s="848">
        <f t="shared" si="50"/>
        <v>0</v>
      </c>
      <c r="CC42" s="848">
        <f t="shared" si="50"/>
        <v>0</v>
      </c>
      <c r="CD42" s="848">
        <f t="shared" si="50"/>
        <v>0</v>
      </c>
      <c r="CE42" s="848">
        <f t="shared" si="50"/>
        <v>1566</v>
      </c>
      <c r="CF42" s="848">
        <f t="shared" si="11"/>
        <v>152.21083028100776</v>
      </c>
      <c r="CG42" s="848"/>
      <c r="CH42" s="848"/>
      <c r="CI42" s="848"/>
      <c r="CJ42" s="848">
        <f t="shared" si="48"/>
        <v>0</v>
      </c>
      <c r="CK42" s="848"/>
      <c r="CL42" s="848"/>
      <c r="CM42" s="848"/>
      <c r="CN42" s="848"/>
      <c r="CO42" s="848"/>
      <c r="CP42" s="848"/>
      <c r="CQ42" s="848"/>
      <c r="CR42" s="848"/>
      <c r="CS42" s="848"/>
      <c r="CT42" s="848"/>
      <c r="CU42" s="848"/>
      <c r="CV42" s="848"/>
      <c r="CW42" s="848">
        <f t="shared" ref="CW42:CW74" si="52">CE42/BN42*100</f>
        <v>100</v>
      </c>
    </row>
    <row r="43" spans="1:101" s="851" customFormat="1" ht="42" customHeight="1">
      <c r="A43" s="845"/>
      <c r="B43" s="845"/>
      <c r="C43" s="857" t="s">
        <v>410</v>
      </c>
      <c r="D43" s="846">
        <f>D45</f>
        <v>0</v>
      </c>
      <c r="E43" s="845">
        <f t="shared" ref="E43" si="53">E45</f>
        <v>0</v>
      </c>
      <c r="F43" s="847"/>
      <c r="G43" s="845"/>
      <c r="H43" s="850">
        <f t="shared" si="15"/>
        <v>40322</v>
      </c>
      <c r="I43" s="848">
        <f t="shared" ref="I43:BT43" si="54">SUM(I44:I61)</f>
        <v>0</v>
      </c>
      <c r="J43" s="848">
        <f t="shared" si="54"/>
        <v>0</v>
      </c>
      <c r="K43" s="848">
        <f t="shared" si="54"/>
        <v>0</v>
      </c>
      <c r="L43" s="848">
        <f t="shared" si="54"/>
        <v>0</v>
      </c>
      <c r="M43" s="848">
        <f t="shared" si="54"/>
        <v>0</v>
      </c>
      <c r="N43" s="848">
        <f t="shared" si="54"/>
        <v>0</v>
      </c>
      <c r="O43" s="848">
        <f t="shared" si="54"/>
        <v>0</v>
      </c>
      <c r="P43" s="848">
        <f t="shared" si="54"/>
        <v>0</v>
      </c>
      <c r="Q43" s="848">
        <f t="shared" si="54"/>
        <v>0</v>
      </c>
      <c r="R43" s="848">
        <v>0</v>
      </c>
      <c r="S43" s="848">
        <f t="shared" si="54"/>
        <v>40322</v>
      </c>
      <c r="T43" s="848">
        <f t="shared" si="54"/>
        <v>13068.483833999997</v>
      </c>
      <c r="U43" s="848">
        <f t="shared" si="54"/>
        <v>2234.8281339999999</v>
      </c>
      <c r="V43" s="848">
        <f t="shared" si="54"/>
        <v>0</v>
      </c>
      <c r="W43" s="848">
        <f t="shared" si="54"/>
        <v>0</v>
      </c>
      <c r="X43" s="848">
        <f t="shared" si="54"/>
        <v>0</v>
      </c>
      <c r="Y43" s="848">
        <f t="shared" si="54"/>
        <v>0</v>
      </c>
      <c r="Z43" s="848">
        <f t="shared" si="54"/>
        <v>0</v>
      </c>
      <c r="AA43" s="848">
        <f t="shared" si="54"/>
        <v>0</v>
      </c>
      <c r="AB43" s="848">
        <f t="shared" si="54"/>
        <v>0</v>
      </c>
      <c r="AC43" s="848">
        <f t="shared" si="54"/>
        <v>10833.655699999999</v>
      </c>
      <c r="AD43" s="848">
        <f t="shared" si="54"/>
        <v>0</v>
      </c>
      <c r="AE43" s="848">
        <f t="shared" si="54"/>
        <v>0</v>
      </c>
      <c r="AF43" s="848">
        <f t="shared" si="54"/>
        <v>0</v>
      </c>
      <c r="AG43" s="848">
        <f t="shared" si="54"/>
        <v>0</v>
      </c>
      <c r="AH43" s="848">
        <f t="shared" si="54"/>
        <v>0</v>
      </c>
      <c r="AI43" s="848">
        <f>SUM(AI44:AI61)</f>
        <v>21328</v>
      </c>
      <c r="AJ43" s="848">
        <f>SUM(AJ44:AJ61)</f>
        <v>6428</v>
      </c>
      <c r="AK43" s="848">
        <f t="shared" si="54"/>
        <v>0</v>
      </c>
      <c r="AL43" s="848">
        <f t="shared" si="54"/>
        <v>2500</v>
      </c>
      <c r="AM43" s="848">
        <f t="shared" si="54"/>
        <v>0</v>
      </c>
      <c r="AN43" s="848">
        <f t="shared" si="54"/>
        <v>0</v>
      </c>
      <c r="AO43" s="848">
        <f t="shared" si="54"/>
        <v>0</v>
      </c>
      <c r="AP43" s="848">
        <f t="shared" si="54"/>
        <v>0</v>
      </c>
      <c r="AQ43" s="848">
        <f t="shared" si="54"/>
        <v>0</v>
      </c>
      <c r="AR43" s="848">
        <f t="shared" si="54"/>
        <v>10834</v>
      </c>
      <c r="AS43" s="848">
        <f t="shared" si="54"/>
        <v>0</v>
      </c>
      <c r="AT43" s="848">
        <f t="shared" si="54"/>
        <v>0</v>
      </c>
      <c r="AU43" s="848">
        <f t="shared" si="54"/>
        <v>0</v>
      </c>
      <c r="AV43" s="848">
        <f t="shared" si="54"/>
        <v>0</v>
      </c>
      <c r="AW43" s="848">
        <f t="shared" si="54"/>
        <v>0</v>
      </c>
      <c r="AX43" s="848">
        <f t="shared" si="54"/>
        <v>1566</v>
      </c>
      <c r="AY43" s="848">
        <f t="shared" si="54"/>
        <v>2064</v>
      </c>
      <c r="AZ43" s="848">
        <f t="shared" si="54"/>
        <v>0</v>
      </c>
      <c r="BA43" s="848">
        <f t="shared" si="54"/>
        <v>0</v>
      </c>
      <c r="BB43" s="848">
        <f t="shared" si="54"/>
        <v>0</v>
      </c>
      <c r="BC43" s="848">
        <f t="shared" si="54"/>
        <v>498</v>
      </c>
      <c r="BD43" s="848">
        <f t="shared" si="54"/>
        <v>0</v>
      </c>
      <c r="BE43" s="848">
        <f t="shared" si="54"/>
        <v>0</v>
      </c>
      <c r="BF43" s="848">
        <f t="shared" si="54"/>
        <v>0</v>
      </c>
      <c r="BG43" s="848">
        <f t="shared" si="54"/>
        <v>0</v>
      </c>
      <c r="BH43" s="848">
        <f t="shared" si="54"/>
        <v>0</v>
      </c>
      <c r="BI43" s="848">
        <f t="shared" si="54"/>
        <v>0</v>
      </c>
      <c r="BJ43" s="848">
        <f t="shared" si="54"/>
        <v>0</v>
      </c>
      <c r="BK43" s="848">
        <f t="shared" si="54"/>
        <v>0</v>
      </c>
      <c r="BL43" s="848">
        <f t="shared" si="54"/>
        <v>0</v>
      </c>
      <c r="BM43" s="848">
        <f t="shared" si="54"/>
        <v>0</v>
      </c>
      <c r="BN43" s="848">
        <f t="shared" si="54"/>
        <v>1566</v>
      </c>
      <c r="BO43" s="848">
        <f t="shared" si="9"/>
        <v>3141.6315370000002</v>
      </c>
      <c r="BP43" s="848">
        <f t="shared" si="54"/>
        <v>1575.631537</v>
      </c>
      <c r="BQ43" s="848">
        <f t="shared" si="54"/>
        <v>0</v>
      </c>
      <c r="BR43" s="848">
        <f t="shared" si="54"/>
        <v>0</v>
      </c>
      <c r="BS43" s="848">
        <f>SUM(BS44:BS61)</f>
        <v>0</v>
      </c>
      <c r="BT43" s="848">
        <f t="shared" si="54"/>
        <v>0</v>
      </c>
      <c r="BU43" s="848">
        <f t="shared" ref="BU43:CS43" si="55">SUM(BU44:BU61)</f>
        <v>0</v>
      </c>
      <c r="BV43" s="848">
        <f t="shared" si="55"/>
        <v>0</v>
      </c>
      <c r="BW43" s="848">
        <f t="shared" si="55"/>
        <v>0</v>
      </c>
      <c r="BX43" s="848">
        <f t="shared" si="55"/>
        <v>0</v>
      </c>
      <c r="BY43" s="848">
        <f t="shared" si="55"/>
        <v>0</v>
      </c>
      <c r="BZ43" s="848">
        <f t="shared" si="55"/>
        <v>0</v>
      </c>
      <c r="CA43" s="848">
        <f t="shared" si="55"/>
        <v>0</v>
      </c>
      <c r="CB43" s="848">
        <f t="shared" si="55"/>
        <v>0</v>
      </c>
      <c r="CC43" s="848">
        <f t="shared" si="55"/>
        <v>0</v>
      </c>
      <c r="CD43" s="848">
        <f t="shared" si="55"/>
        <v>0</v>
      </c>
      <c r="CE43" s="848">
        <f t="shared" si="55"/>
        <v>1566</v>
      </c>
      <c r="CF43" s="848">
        <f t="shared" si="55"/>
        <v>100</v>
      </c>
      <c r="CG43" s="848"/>
      <c r="CH43" s="848"/>
      <c r="CI43" s="848"/>
      <c r="CJ43" s="848">
        <f t="shared" si="48"/>
        <v>0</v>
      </c>
      <c r="CK43" s="848"/>
      <c r="CL43" s="848"/>
      <c r="CM43" s="848"/>
      <c r="CN43" s="848"/>
      <c r="CO43" s="848"/>
      <c r="CP43" s="848"/>
      <c r="CQ43" s="848"/>
      <c r="CR43" s="848"/>
      <c r="CS43" s="848">
        <f t="shared" si="55"/>
        <v>0</v>
      </c>
      <c r="CT43" s="848"/>
      <c r="CU43" s="848"/>
      <c r="CV43" s="848"/>
      <c r="CW43" s="848">
        <f t="shared" si="52"/>
        <v>100</v>
      </c>
    </row>
    <row r="44" spans="1:101" s="851" customFormat="1" ht="41.45" customHeight="1">
      <c r="A44" s="845"/>
      <c r="B44" s="857" t="s">
        <v>409</v>
      </c>
      <c r="C44" s="852" t="s">
        <v>411</v>
      </c>
      <c r="D44" s="846"/>
      <c r="E44" s="845"/>
      <c r="F44" s="853" t="s">
        <v>412</v>
      </c>
      <c r="G44" s="846" t="s">
        <v>413</v>
      </c>
      <c r="H44" s="850">
        <f t="shared" si="15"/>
        <v>29999</v>
      </c>
      <c r="I44" s="860"/>
      <c r="J44" s="848"/>
      <c r="K44" s="848"/>
      <c r="L44" s="848"/>
      <c r="M44" s="848"/>
      <c r="N44" s="848"/>
      <c r="O44" s="848"/>
      <c r="P44" s="848"/>
      <c r="Q44" s="848"/>
      <c r="R44" s="848"/>
      <c r="S44" s="855">
        <v>29999</v>
      </c>
      <c r="T44" s="855">
        <f t="shared" si="19"/>
        <v>10833.655699999999</v>
      </c>
      <c r="U44" s="855"/>
      <c r="V44" s="848"/>
      <c r="W44" s="848"/>
      <c r="X44" s="848"/>
      <c r="Y44" s="848"/>
      <c r="Z44" s="848"/>
      <c r="AA44" s="848"/>
      <c r="AB44" s="848"/>
      <c r="AC44" s="855">
        <v>10833.655699999999</v>
      </c>
      <c r="AD44" s="848"/>
      <c r="AE44" s="848"/>
      <c r="AF44" s="848"/>
      <c r="AG44" s="855"/>
      <c r="AH44" s="855"/>
      <c r="AI44" s="855">
        <f>AJ44+AL44+AW44+AR44</f>
        <v>15834</v>
      </c>
      <c r="AJ44" s="855">
        <f>AL44+AW44</f>
        <v>2500</v>
      </c>
      <c r="AK44" s="855"/>
      <c r="AL44" s="855">
        <v>2500</v>
      </c>
      <c r="AM44" s="848"/>
      <c r="AN44" s="848"/>
      <c r="AO44" s="848"/>
      <c r="AP44" s="848"/>
      <c r="AQ44" s="848"/>
      <c r="AR44" s="855">
        <v>10834</v>
      </c>
      <c r="AS44" s="848"/>
      <c r="AT44" s="848"/>
      <c r="AU44" s="848"/>
      <c r="AV44" s="848"/>
      <c r="AW44" s="855"/>
      <c r="AX44" s="848"/>
      <c r="AY44" s="855">
        <f t="shared" ref="AY44:AY61" si="56">SUM(AZ44:BN44)</f>
        <v>498</v>
      </c>
      <c r="AZ44" s="848"/>
      <c r="BA44" s="848"/>
      <c r="BB44" s="848"/>
      <c r="BC44" s="855">
        <v>498</v>
      </c>
      <c r="BD44" s="848"/>
      <c r="BE44" s="848"/>
      <c r="BF44" s="848"/>
      <c r="BG44" s="848"/>
      <c r="BH44" s="848"/>
      <c r="BI44" s="848"/>
      <c r="BJ44" s="848"/>
      <c r="BK44" s="848"/>
      <c r="BL44" s="848"/>
      <c r="BM44" s="848"/>
      <c r="BN44" s="848"/>
      <c r="BO44" s="848">
        <f t="shared" si="9"/>
        <v>0</v>
      </c>
      <c r="BP44" s="848"/>
      <c r="BQ44" s="848"/>
      <c r="BR44" s="848"/>
      <c r="BS44" s="848"/>
      <c r="BT44" s="848"/>
      <c r="BU44" s="848"/>
      <c r="BV44" s="848"/>
      <c r="BW44" s="848"/>
      <c r="BX44" s="848"/>
      <c r="BY44" s="848"/>
      <c r="BZ44" s="848"/>
      <c r="CA44" s="848"/>
      <c r="CB44" s="848"/>
      <c r="CC44" s="848"/>
      <c r="CD44" s="848"/>
      <c r="CE44" s="848"/>
      <c r="CF44" s="848">
        <f t="shared" si="11"/>
        <v>0</v>
      </c>
      <c r="CG44" s="848"/>
      <c r="CH44" s="848"/>
      <c r="CI44" s="848"/>
      <c r="CJ44" s="848">
        <f t="shared" si="48"/>
        <v>0</v>
      </c>
      <c r="CK44" s="848"/>
      <c r="CL44" s="848"/>
      <c r="CM44" s="848"/>
      <c r="CN44" s="848"/>
      <c r="CO44" s="848"/>
      <c r="CP44" s="848"/>
      <c r="CQ44" s="848"/>
      <c r="CR44" s="848"/>
      <c r="CS44" s="848"/>
      <c r="CT44" s="848"/>
      <c r="CU44" s="848"/>
      <c r="CV44" s="848"/>
      <c r="CW44" s="848"/>
    </row>
    <row r="45" spans="1:101" s="851" customFormat="1" ht="31.9" customHeight="1">
      <c r="A45" s="845"/>
      <c r="B45" s="857" t="s">
        <v>409</v>
      </c>
      <c r="C45" s="852" t="s">
        <v>414</v>
      </c>
      <c r="D45" s="846"/>
      <c r="E45" s="845"/>
      <c r="F45" s="853" t="s">
        <v>415</v>
      </c>
      <c r="G45" s="846" t="s">
        <v>416</v>
      </c>
      <c r="H45" s="850">
        <f>SUM(I45:S45)</f>
        <v>10323</v>
      </c>
      <c r="I45" s="860"/>
      <c r="J45" s="848"/>
      <c r="K45" s="848"/>
      <c r="L45" s="848"/>
      <c r="M45" s="848"/>
      <c r="N45" s="848"/>
      <c r="O45" s="848"/>
      <c r="P45" s="848"/>
      <c r="Q45" s="848"/>
      <c r="R45" s="848"/>
      <c r="S45" s="855">
        <v>10323</v>
      </c>
      <c r="T45" s="855">
        <f t="shared" si="19"/>
        <v>0</v>
      </c>
      <c r="U45" s="848"/>
      <c r="V45" s="848"/>
      <c r="W45" s="848"/>
      <c r="X45" s="848"/>
      <c r="Y45" s="848"/>
      <c r="Z45" s="848"/>
      <c r="AA45" s="848"/>
      <c r="AB45" s="848"/>
      <c r="AC45" s="848"/>
      <c r="AD45" s="848"/>
      <c r="AE45" s="848"/>
      <c r="AF45" s="848"/>
      <c r="AG45" s="848"/>
      <c r="AH45" s="855"/>
      <c r="AI45" s="855">
        <f>AX45</f>
        <v>1566</v>
      </c>
      <c r="AJ45" s="848"/>
      <c r="AK45" s="848"/>
      <c r="AL45" s="848"/>
      <c r="AM45" s="848"/>
      <c r="AN45" s="848"/>
      <c r="AO45" s="848"/>
      <c r="AP45" s="848"/>
      <c r="AQ45" s="848"/>
      <c r="AR45" s="848"/>
      <c r="AS45" s="848"/>
      <c r="AT45" s="848"/>
      <c r="AU45" s="848"/>
      <c r="AV45" s="848"/>
      <c r="AW45" s="848"/>
      <c r="AX45" s="855">
        <v>1566</v>
      </c>
      <c r="AY45" s="855">
        <f t="shared" si="56"/>
        <v>1566</v>
      </c>
      <c r="AZ45" s="848"/>
      <c r="BA45" s="848"/>
      <c r="BB45" s="848"/>
      <c r="BC45" s="848"/>
      <c r="BD45" s="848"/>
      <c r="BE45" s="848"/>
      <c r="BF45" s="848"/>
      <c r="BG45" s="848"/>
      <c r="BH45" s="848"/>
      <c r="BI45" s="848"/>
      <c r="BJ45" s="848"/>
      <c r="BK45" s="848"/>
      <c r="BL45" s="848"/>
      <c r="BM45" s="848"/>
      <c r="BN45" s="855">
        <f>'[10]bieu cu'!H100</f>
        <v>1566</v>
      </c>
      <c r="BO45" s="848">
        <f t="shared" si="9"/>
        <v>1566</v>
      </c>
      <c r="BP45" s="848"/>
      <c r="BQ45" s="848"/>
      <c r="BR45" s="848"/>
      <c r="BS45" s="848"/>
      <c r="BT45" s="848"/>
      <c r="BU45" s="848"/>
      <c r="BV45" s="848"/>
      <c r="BW45" s="848"/>
      <c r="BX45" s="848"/>
      <c r="BY45" s="848"/>
      <c r="BZ45" s="848"/>
      <c r="CA45" s="855"/>
      <c r="CB45" s="855"/>
      <c r="CC45" s="855"/>
      <c r="CD45" s="855"/>
      <c r="CE45" s="855">
        <f>'[10]bieu cu'!M100</f>
        <v>1566</v>
      </c>
      <c r="CF45" s="848">
        <f t="shared" si="11"/>
        <v>100</v>
      </c>
      <c r="CG45" s="848"/>
      <c r="CH45" s="848"/>
      <c r="CI45" s="848"/>
      <c r="CJ45" s="848"/>
      <c r="CK45" s="848"/>
      <c r="CL45" s="848"/>
      <c r="CM45" s="848"/>
      <c r="CN45" s="848"/>
      <c r="CO45" s="848"/>
      <c r="CP45" s="848"/>
      <c r="CQ45" s="848"/>
      <c r="CR45" s="848"/>
      <c r="CS45" s="848"/>
      <c r="CT45" s="848"/>
      <c r="CU45" s="848"/>
      <c r="CV45" s="848"/>
      <c r="CW45" s="848">
        <f t="shared" si="52"/>
        <v>100</v>
      </c>
    </row>
    <row r="46" spans="1:101" s="851" customFormat="1" ht="31.9" customHeight="1">
      <c r="A46" s="845"/>
      <c r="B46" s="857" t="s">
        <v>409</v>
      </c>
      <c r="C46" s="852" t="s">
        <v>417</v>
      </c>
      <c r="D46" s="846"/>
      <c r="E46" s="845"/>
      <c r="F46" s="861">
        <v>2015</v>
      </c>
      <c r="G46" s="861" t="s">
        <v>418</v>
      </c>
      <c r="H46" s="850">
        <f t="shared" si="15"/>
        <v>0</v>
      </c>
      <c r="I46" s="848"/>
      <c r="J46" s="848"/>
      <c r="K46" s="848"/>
      <c r="L46" s="848"/>
      <c r="M46" s="848"/>
      <c r="N46" s="848"/>
      <c r="O46" s="848"/>
      <c r="P46" s="848"/>
      <c r="Q46" s="848"/>
      <c r="R46" s="848"/>
      <c r="S46" s="848"/>
      <c r="T46" s="855">
        <f>SUM(U46:AH46)</f>
        <v>99.807108999999997</v>
      </c>
      <c r="U46" s="855">
        <v>99.807108999999997</v>
      </c>
      <c r="V46" s="848"/>
      <c r="W46" s="848"/>
      <c r="X46" s="848"/>
      <c r="Y46" s="848"/>
      <c r="Z46" s="848"/>
      <c r="AA46" s="862"/>
      <c r="AB46" s="848"/>
      <c r="AC46" s="848"/>
      <c r="AD46" s="848"/>
      <c r="AE46" s="848"/>
      <c r="AF46" s="848"/>
      <c r="AG46" s="848"/>
      <c r="AH46" s="848"/>
      <c r="AI46" s="848">
        <f>AJ46</f>
        <v>160</v>
      </c>
      <c r="AJ46" s="855">
        <f>100+60</f>
        <v>160</v>
      </c>
      <c r="AK46" s="848"/>
      <c r="AL46" s="848"/>
      <c r="AM46" s="848"/>
      <c r="AN46" s="848"/>
      <c r="AO46" s="848"/>
      <c r="AP46" s="848"/>
      <c r="AQ46" s="848"/>
      <c r="AR46" s="848"/>
      <c r="AS46" s="848"/>
      <c r="AT46" s="848"/>
      <c r="AU46" s="848"/>
      <c r="AV46" s="848"/>
      <c r="AW46" s="848"/>
      <c r="AX46" s="848"/>
      <c r="AY46" s="855">
        <f t="shared" si="56"/>
        <v>0</v>
      </c>
      <c r="AZ46" s="848"/>
      <c r="BA46" s="848"/>
      <c r="BB46" s="848"/>
      <c r="BC46" s="848"/>
      <c r="BD46" s="848"/>
      <c r="BE46" s="848"/>
      <c r="BF46" s="848"/>
      <c r="BG46" s="848"/>
      <c r="BH46" s="848"/>
      <c r="BI46" s="848"/>
      <c r="BJ46" s="848"/>
      <c r="BK46" s="848"/>
      <c r="BL46" s="848"/>
      <c r="BM46" s="848"/>
      <c r="BN46" s="848"/>
      <c r="BO46" s="848">
        <f t="shared" si="9"/>
        <v>58</v>
      </c>
      <c r="BP46" s="848">
        <v>58</v>
      </c>
      <c r="BQ46" s="848"/>
      <c r="BR46" s="848"/>
      <c r="BS46" s="848"/>
      <c r="BT46" s="848"/>
      <c r="BU46" s="848"/>
      <c r="BV46" s="848"/>
      <c r="BW46" s="848"/>
      <c r="BX46" s="848"/>
      <c r="BY46" s="848"/>
      <c r="BZ46" s="848"/>
      <c r="CA46" s="848"/>
      <c r="CB46" s="848"/>
      <c r="CC46" s="848"/>
      <c r="CD46" s="848"/>
      <c r="CE46" s="848"/>
      <c r="CF46" s="848"/>
      <c r="CG46" s="848"/>
      <c r="CH46" s="848"/>
      <c r="CI46" s="848"/>
      <c r="CJ46" s="848"/>
      <c r="CK46" s="848"/>
      <c r="CL46" s="848"/>
      <c r="CM46" s="848"/>
      <c r="CN46" s="848"/>
      <c r="CO46" s="848"/>
      <c r="CP46" s="848"/>
      <c r="CQ46" s="848"/>
      <c r="CR46" s="848"/>
      <c r="CS46" s="848"/>
      <c r="CT46" s="848"/>
      <c r="CU46" s="848"/>
      <c r="CV46" s="848"/>
      <c r="CW46" s="848"/>
    </row>
    <row r="47" spans="1:101" s="851" customFormat="1" ht="31.9" customHeight="1">
      <c r="A47" s="845"/>
      <c r="B47" s="857" t="s">
        <v>409</v>
      </c>
      <c r="C47" s="852" t="s">
        <v>419</v>
      </c>
      <c r="D47" s="846"/>
      <c r="E47" s="845"/>
      <c r="F47" s="861" t="s">
        <v>420</v>
      </c>
      <c r="G47" s="861" t="s">
        <v>421</v>
      </c>
      <c r="H47" s="850">
        <f t="shared" si="15"/>
        <v>0</v>
      </c>
      <c r="I47" s="848"/>
      <c r="J47" s="848"/>
      <c r="K47" s="848"/>
      <c r="L47" s="848"/>
      <c r="M47" s="848"/>
      <c r="N47" s="848"/>
      <c r="O47" s="848"/>
      <c r="P47" s="848"/>
      <c r="Q47" s="848"/>
      <c r="R47" s="848"/>
      <c r="S47" s="848"/>
      <c r="T47" s="855">
        <f>SUM(U47:AH47)</f>
        <v>212.66090600000001</v>
      </c>
      <c r="U47" s="855">
        <v>212.66090600000001</v>
      </c>
      <c r="V47" s="848"/>
      <c r="W47" s="848"/>
      <c r="X47" s="848"/>
      <c r="Y47" s="848"/>
      <c r="Z47" s="848"/>
      <c r="AA47" s="862"/>
      <c r="AB47" s="848"/>
      <c r="AC47" s="848"/>
      <c r="AD47" s="848"/>
      <c r="AE47" s="848"/>
      <c r="AF47" s="848"/>
      <c r="AG47" s="848"/>
      <c r="AH47" s="848"/>
      <c r="AI47" s="848">
        <f t="shared" ref="AI47:AI61" si="57">AJ47</f>
        <v>220</v>
      </c>
      <c r="AJ47" s="855">
        <v>220</v>
      </c>
      <c r="AK47" s="848"/>
      <c r="AL47" s="848"/>
      <c r="AM47" s="848"/>
      <c r="AN47" s="848"/>
      <c r="AO47" s="848"/>
      <c r="AP47" s="848"/>
      <c r="AQ47" s="848"/>
      <c r="AR47" s="848"/>
      <c r="AS47" s="848"/>
      <c r="AT47" s="848"/>
      <c r="AU47" s="848"/>
      <c r="AV47" s="848"/>
      <c r="AW47" s="848"/>
      <c r="AX47" s="848"/>
      <c r="AY47" s="855">
        <f t="shared" si="56"/>
        <v>0</v>
      </c>
      <c r="AZ47" s="848"/>
      <c r="BA47" s="848"/>
      <c r="BB47" s="848"/>
      <c r="BC47" s="848"/>
      <c r="BD47" s="848"/>
      <c r="BE47" s="848"/>
      <c r="BF47" s="848"/>
      <c r="BG47" s="848"/>
      <c r="BH47" s="848"/>
      <c r="BI47" s="848"/>
      <c r="BJ47" s="848"/>
      <c r="BK47" s="848"/>
      <c r="BL47" s="848"/>
      <c r="BM47" s="848"/>
      <c r="BN47" s="848"/>
      <c r="BO47" s="848">
        <f t="shared" si="9"/>
        <v>5.137365</v>
      </c>
      <c r="BP47" s="848">
        <v>5.137365</v>
      </c>
      <c r="BQ47" s="848"/>
      <c r="BR47" s="848"/>
      <c r="BS47" s="848"/>
      <c r="BT47" s="848"/>
      <c r="BU47" s="848"/>
      <c r="BV47" s="848"/>
      <c r="BW47" s="848"/>
      <c r="BX47" s="848"/>
      <c r="BY47" s="848"/>
      <c r="BZ47" s="848"/>
      <c r="CA47" s="848"/>
      <c r="CB47" s="848"/>
      <c r="CC47" s="848"/>
      <c r="CD47" s="848"/>
      <c r="CE47" s="848"/>
      <c r="CF47" s="848"/>
      <c r="CG47" s="848"/>
      <c r="CH47" s="848"/>
      <c r="CI47" s="848"/>
      <c r="CJ47" s="848"/>
      <c r="CK47" s="848"/>
      <c r="CL47" s="848"/>
      <c r="CM47" s="848"/>
      <c r="CN47" s="848"/>
      <c r="CO47" s="848"/>
      <c r="CP47" s="848"/>
      <c r="CQ47" s="848"/>
      <c r="CR47" s="848"/>
      <c r="CS47" s="848"/>
      <c r="CT47" s="848"/>
      <c r="CU47" s="848"/>
      <c r="CV47" s="848"/>
      <c r="CW47" s="848"/>
    </row>
    <row r="48" spans="1:101" s="851" customFormat="1" ht="31.9" customHeight="1">
      <c r="A48" s="845"/>
      <c r="B48" s="857" t="s">
        <v>409</v>
      </c>
      <c r="C48" s="852" t="s">
        <v>422</v>
      </c>
      <c r="D48" s="846"/>
      <c r="E48" s="845"/>
      <c r="F48" s="861" t="s">
        <v>423</v>
      </c>
      <c r="G48" s="861" t="s">
        <v>424</v>
      </c>
      <c r="H48" s="850">
        <f t="shared" si="15"/>
        <v>0</v>
      </c>
      <c r="I48" s="848"/>
      <c r="J48" s="848"/>
      <c r="K48" s="848"/>
      <c r="L48" s="848"/>
      <c r="M48" s="848"/>
      <c r="N48" s="848"/>
      <c r="O48" s="848"/>
      <c r="P48" s="848"/>
      <c r="Q48" s="848"/>
      <c r="R48" s="848"/>
      <c r="S48" s="848"/>
      <c r="T48" s="855">
        <f t="shared" si="19"/>
        <v>77.331237999999999</v>
      </c>
      <c r="U48" s="855">
        <v>77.331237999999999</v>
      </c>
      <c r="V48" s="848"/>
      <c r="W48" s="848"/>
      <c r="X48" s="848"/>
      <c r="Y48" s="848"/>
      <c r="Z48" s="848"/>
      <c r="AA48" s="848"/>
      <c r="AB48" s="848"/>
      <c r="AC48" s="848"/>
      <c r="AD48" s="848"/>
      <c r="AE48" s="848"/>
      <c r="AF48" s="848"/>
      <c r="AG48" s="848"/>
      <c r="AH48" s="848"/>
      <c r="AI48" s="848">
        <f t="shared" si="57"/>
        <v>80</v>
      </c>
      <c r="AJ48" s="855">
        <v>80</v>
      </c>
      <c r="AK48" s="848"/>
      <c r="AL48" s="848"/>
      <c r="AM48" s="848"/>
      <c r="AN48" s="848"/>
      <c r="AO48" s="848"/>
      <c r="AP48" s="848"/>
      <c r="AQ48" s="848"/>
      <c r="AR48" s="848"/>
      <c r="AS48" s="848"/>
      <c r="AT48" s="848"/>
      <c r="AU48" s="848"/>
      <c r="AV48" s="848"/>
      <c r="AW48" s="848"/>
      <c r="AX48" s="848"/>
      <c r="AY48" s="855">
        <f t="shared" si="56"/>
        <v>0</v>
      </c>
      <c r="AZ48" s="848"/>
      <c r="BA48" s="848"/>
      <c r="BB48" s="848"/>
      <c r="BC48" s="848"/>
      <c r="BD48" s="848"/>
      <c r="BE48" s="848"/>
      <c r="BF48" s="848"/>
      <c r="BG48" s="848"/>
      <c r="BH48" s="848"/>
      <c r="BI48" s="848"/>
      <c r="BJ48" s="848"/>
      <c r="BK48" s="848"/>
      <c r="BL48" s="848"/>
      <c r="BM48" s="848"/>
      <c r="BN48" s="848"/>
      <c r="BO48" s="848">
        <f t="shared" si="9"/>
        <v>1.8681319999999999</v>
      </c>
      <c r="BP48" s="848">
        <v>1.8681319999999999</v>
      </c>
      <c r="BQ48" s="848"/>
      <c r="BR48" s="848"/>
      <c r="BS48" s="848"/>
      <c r="BT48" s="848"/>
      <c r="BU48" s="848"/>
      <c r="BV48" s="848"/>
      <c r="BW48" s="848"/>
      <c r="BX48" s="848"/>
      <c r="BY48" s="848"/>
      <c r="BZ48" s="848"/>
      <c r="CA48" s="848"/>
      <c r="CB48" s="848"/>
      <c r="CC48" s="848"/>
      <c r="CD48" s="848"/>
      <c r="CE48" s="848"/>
      <c r="CF48" s="848"/>
      <c r="CG48" s="848"/>
      <c r="CH48" s="848"/>
      <c r="CI48" s="848"/>
      <c r="CJ48" s="848"/>
      <c r="CK48" s="848"/>
      <c r="CL48" s="848"/>
      <c r="CM48" s="848"/>
      <c r="CN48" s="848"/>
      <c r="CO48" s="848"/>
      <c r="CP48" s="848"/>
      <c r="CQ48" s="848"/>
      <c r="CR48" s="848"/>
      <c r="CS48" s="848"/>
      <c r="CT48" s="848"/>
      <c r="CU48" s="848"/>
      <c r="CV48" s="848"/>
      <c r="CW48" s="848"/>
    </row>
    <row r="49" spans="1:101" s="851" customFormat="1" ht="31.9" customHeight="1">
      <c r="A49" s="845"/>
      <c r="B49" s="857" t="s">
        <v>409</v>
      </c>
      <c r="C49" s="852" t="s">
        <v>425</v>
      </c>
      <c r="D49" s="846"/>
      <c r="E49" s="845"/>
      <c r="F49" s="861" t="s">
        <v>420</v>
      </c>
      <c r="G49" s="861" t="s">
        <v>426</v>
      </c>
      <c r="H49" s="850">
        <f t="shared" si="15"/>
        <v>0</v>
      </c>
      <c r="I49" s="848"/>
      <c r="J49" s="848"/>
      <c r="K49" s="848"/>
      <c r="L49" s="848"/>
      <c r="M49" s="848"/>
      <c r="N49" s="848"/>
      <c r="O49" s="848"/>
      <c r="P49" s="848"/>
      <c r="Q49" s="848"/>
      <c r="R49" s="848"/>
      <c r="S49" s="848"/>
      <c r="T49" s="855">
        <f t="shared" si="19"/>
        <v>135.329668</v>
      </c>
      <c r="U49" s="855">
        <v>135.329668</v>
      </c>
      <c r="V49" s="848"/>
      <c r="W49" s="848"/>
      <c r="X49" s="848"/>
      <c r="Y49" s="848"/>
      <c r="Z49" s="848"/>
      <c r="AA49" s="848"/>
      <c r="AB49" s="848"/>
      <c r="AC49" s="848"/>
      <c r="AD49" s="848"/>
      <c r="AE49" s="848"/>
      <c r="AF49" s="848"/>
      <c r="AG49" s="848"/>
      <c r="AH49" s="848"/>
      <c r="AI49" s="848">
        <f t="shared" si="57"/>
        <v>140</v>
      </c>
      <c r="AJ49" s="855">
        <v>140</v>
      </c>
      <c r="AK49" s="848"/>
      <c r="AL49" s="848"/>
      <c r="AM49" s="848"/>
      <c r="AN49" s="848"/>
      <c r="AO49" s="848"/>
      <c r="AP49" s="848"/>
      <c r="AQ49" s="848"/>
      <c r="AR49" s="848"/>
      <c r="AS49" s="848"/>
      <c r="AT49" s="848"/>
      <c r="AU49" s="848"/>
      <c r="AV49" s="848"/>
      <c r="AW49" s="848"/>
      <c r="AX49" s="848"/>
      <c r="AY49" s="855">
        <f t="shared" si="56"/>
        <v>0</v>
      </c>
      <c r="AZ49" s="848"/>
      <c r="BA49" s="848"/>
      <c r="BB49" s="848"/>
      <c r="BC49" s="848"/>
      <c r="BD49" s="848"/>
      <c r="BE49" s="848"/>
      <c r="BF49" s="848"/>
      <c r="BG49" s="848"/>
      <c r="BH49" s="848"/>
      <c r="BI49" s="848"/>
      <c r="BJ49" s="848"/>
      <c r="BK49" s="848"/>
      <c r="BL49" s="848"/>
      <c r="BM49" s="848"/>
      <c r="BN49" s="848"/>
      <c r="BO49" s="848">
        <f t="shared" si="9"/>
        <v>3.2692320000000001</v>
      </c>
      <c r="BP49" s="848">
        <v>3.2692320000000001</v>
      </c>
      <c r="BQ49" s="848"/>
      <c r="BR49" s="848"/>
      <c r="BS49" s="848"/>
      <c r="BT49" s="848"/>
      <c r="BU49" s="848"/>
      <c r="BV49" s="848"/>
      <c r="BW49" s="848"/>
      <c r="BX49" s="848"/>
      <c r="BY49" s="848"/>
      <c r="BZ49" s="848"/>
      <c r="CA49" s="848"/>
      <c r="CB49" s="848"/>
      <c r="CC49" s="848"/>
      <c r="CD49" s="848"/>
      <c r="CE49" s="848"/>
      <c r="CF49" s="848"/>
      <c r="CG49" s="848"/>
      <c r="CH49" s="848"/>
      <c r="CI49" s="848"/>
      <c r="CJ49" s="848"/>
      <c r="CK49" s="848"/>
      <c r="CL49" s="848"/>
      <c r="CM49" s="848"/>
      <c r="CN49" s="848"/>
      <c r="CO49" s="848"/>
      <c r="CP49" s="848"/>
      <c r="CQ49" s="848"/>
      <c r="CR49" s="848"/>
      <c r="CS49" s="848"/>
      <c r="CT49" s="848"/>
      <c r="CU49" s="848"/>
      <c r="CV49" s="848"/>
      <c r="CW49" s="848"/>
    </row>
    <row r="50" spans="1:101" s="851" customFormat="1" ht="31.9" customHeight="1">
      <c r="A50" s="845"/>
      <c r="B50" s="857" t="s">
        <v>409</v>
      </c>
      <c r="C50" s="852" t="s">
        <v>427</v>
      </c>
      <c r="D50" s="846"/>
      <c r="E50" s="845"/>
      <c r="F50" s="861" t="s">
        <v>420</v>
      </c>
      <c r="G50" s="861" t="s">
        <v>428</v>
      </c>
      <c r="H50" s="850">
        <f t="shared" si="15"/>
        <v>0</v>
      </c>
      <c r="I50" s="848"/>
      <c r="J50" s="848"/>
      <c r="K50" s="848"/>
      <c r="L50" s="848"/>
      <c r="M50" s="848"/>
      <c r="N50" s="848"/>
      <c r="O50" s="848"/>
      <c r="P50" s="848"/>
      <c r="Q50" s="848"/>
      <c r="R50" s="848"/>
      <c r="S50" s="848"/>
      <c r="T50" s="855">
        <f t="shared" si="19"/>
        <v>215.03020000000001</v>
      </c>
      <c r="U50" s="855">
        <v>215.03020000000001</v>
      </c>
      <c r="V50" s="848"/>
      <c r="W50" s="848"/>
      <c r="X50" s="848"/>
      <c r="Y50" s="848"/>
      <c r="Z50" s="848"/>
      <c r="AA50" s="848"/>
      <c r="AB50" s="848"/>
      <c r="AC50" s="848"/>
      <c r="AD50" s="848"/>
      <c r="AE50" s="848"/>
      <c r="AF50" s="848"/>
      <c r="AG50" s="848"/>
      <c r="AH50" s="848"/>
      <c r="AI50" s="848">
        <f t="shared" si="57"/>
        <v>220</v>
      </c>
      <c r="AJ50" s="855">
        <v>220</v>
      </c>
      <c r="AK50" s="848"/>
      <c r="AL50" s="848"/>
      <c r="AM50" s="848"/>
      <c r="AN50" s="848"/>
      <c r="AO50" s="848"/>
      <c r="AP50" s="848"/>
      <c r="AQ50" s="848"/>
      <c r="AR50" s="848"/>
      <c r="AS50" s="848"/>
      <c r="AT50" s="848"/>
      <c r="AU50" s="848"/>
      <c r="AV50" s="848"/>
      <c r="AW50" s="848"/>
      <c r="AX50" s="848"/>
      <c r="AY50" s="855">
        <f t="shared" si="56"/>
        <v>0</v>
      </c>
      <c r="AZ50" s="848"/>
      <c r="BA50" s="848"/>
      <c r="BB50" s="848"/>
      <c r="BC50" s="848"/>
      <c r="BD50" s="848"/>
      <c r="BE50" s="848"/>
      <c r="BF50" s="848"/>
      <c r="BG50" s="848"/>
      <c r="BH50" s="848"/>
      <c r="BI50" s="848"/>
      <c r="BJ50" s="848"/>
      <c r="BK50" s="848"/>
      <c r="BL50" s="848"/>
      <c r="BM50" s="848"/>
      <c r="BN50" s="848"/>
      <c r="BO50" s="848">
        <f t="shared" si="9"/>
        <v>4.9698000000000002</v>
      </c>
      <c r="BP50" s="848">
        <v>4.9698000000000002</v>
      </c>
      <c r="BQ50" s="848"/>
      <c r="BR50" s="848"/>
      <c r="BS50" s="848"/>
      <c r="BT50" s="848"/>
      <c r="BU50" s="848"/>
      <c r="BV50" s="848"/>
      <c r="BW50" s="848"/>
      <c r="BX50" s="848"/>
      <c r="BY50" s="848"/>
      <c r="BZ50" s="848"/>
      <c r="CA50" s="848"/>
      <c r="CB50" s="848"/>
      <c r="CC50" s="848"/>
      <c r="CD50" s="848"/>
      <c r="CE50" s="848"/>
      <c r="CF50" s="848"/>
      <c r="CG50" s="848"/>
      <c r="CH50" s="848"/>
      <c r="CI50" s="848"/>
      <c r="CJ50" s="848"/>
      <c r="CK50" s="848"/>
      <c r="CL50" s="848"/>
      <c r="CM50" s="848"/>
      <c r="CN50" s="848"/>
      <c r="CO50" s="848"/>
      <c r="CP50" s="848"/>
      <c r="CQ50" s="848"/>
      <c r="CR50" s="848"/>
      <c r="CS50" s="848"/>
      <c r="CT50" s="848"/>
      <c r="CU50" s="848"/>
      <c r="CV50" s="848"/>
      <c r="CW50" s="848"/>
    </row>
    <row r="51" spans="1:101" s="851" customFormat="1" ht="31.9" customHeight="1">
      <c r="A51" s="845"/>
      <c r="B51" s="857" t="s">
        <v>409</v>
      </c>
      <c r="C51" s="852" t="s">
        <v>429</v>
      </c>
      <c r="D51" s="846"/>
      <c r="E51" s="845"/>
      <c r="F51" s="861">
        <v>2016</v>
      </c>
      <c r="G51" s="861" t="s">
        <v>430</v>
      </c>
      <c r="H51" s="850">
        <f t="shared" si="15"/>
        <v>0</v>
      </c>
      <c r="I51" s="848"/>
      <c r="J51" s="848"/>
      <c r="K51" s="848"/>
      <c r="L51" s="848"/>
      <c r="M51" s="848"/>
      <c r="N51" s="848"/>
      <c r="O51" s="848"/>
      <c r="P51" s="848"/>
      <c r="Q51" s="848"/>
      <c r="R51" s="848"/>
      <c r="S51" s="848"/>
      <c r="T51" s="855">
        <f t="shared" si="19"/>
        <v>0</v>
      </c>
      <c r="U51" s="848"/>
      <c r="V51" s="848"/>
      <c r="W51" s="848"/>
      <c r="X51" s="848"/>
      <c r="Y51" s="848"/>
      <c r="Z51" s="848"/>
      <c r="AA51" s="848"/>
      <c r="AB51" s="848"/>
      <c r="AC51" s="848"/>
      <c r="AD51" s="848"/>
      <c r="AE51" s="848"/>
      <c r="AF51" s="848"/>
      <c r="AG51" s="848"/>
      <c r="AH51" s="848"/>
      <c r="AI51" s="848">
        <f t="shared" si="57"/>
        <v>220</v>
      </c>
      <c r="AJ51" s="855">
        <v>220</v>
      </c>
      <c r="AK51" s="848"/>
      <c r="AL51" s="848"/>
      <c r="AM51" s="848"/>
      <c r="AN51" s="848"/>
      <c r="AO51" s="848"/>
      <c r="AP51" s="848"/>
      <c r="AQ51" s="848"/>
      <c r="AR51" s="848"/>
      <c r="AS51" s="848"/>
      <c r="AT51" s="848"/>
      <c r="AU51" s="848"/>
      <c r="AV51" s="848"/>
      <c r="AW51" s="848"/>
      <c r="AX51" s="848"/>
      <c r="AY51" s="855">
        <f t="shared" si="56"/>
        <v>0</v>
      </c>
      <c r="AZ51" s="848"/>
      <c r="BA51" s="848"/>
      <c r="BB51" s="848"/>
      <c r="BC51" s="848"/>
      <c r="BD51" s="848"/>
      <c r="BE51" s="848"/>
      <c r="BF51" s="848"/>
      <c r="BG51" s="848"/>
      <c r="BH51" s="848"/>
      <c r="BI51" s="848"/>
      <c r="BJ51" s="848"/>
      <c r="BK51" s="848"/>
      <c r="BL51" s="848"/>
      <c r="BM51" s="848"/>
      <c r="BN51" s="848"/>
      <c r="BO51" s="848">
        <f t="shared" si="9"/>
        <v>220</v>
      </c>
      <c r="BP51" s="848">
        <v>220</v>
      </c>
      <c r="BQ51" s="848"/>
      <c r="BR51" s="848"/>
      <c r="BS51" s="848"/>
      <c r="BT51" s="848"/>
      <c r="BU51" s="848"/>
      <c r="BV51" s="848"/>
      <c r="BW51" s="848"/>
      <c r="BX51" s="848"/>
      <c r="BY51" s="848"/>
      <c r="BZ51" s="848"/>
      <c r="CA51" s="848"/>
      <c r="CB51" s="848"/>
      <c r="CC51" s="848"/>
      <c r="CD51" s="848"/>
      <c r="CE51" s="848"/>
      <c r="CF51" s="848"/>
      <c r="CG51" s="848"/>
      <c r="CH51" s="848"/>
      <c r="CI51" s="848"/>
      <c r="CJ51" s="848"/>
      <c r="CK51" s="848"/>
      <c r="CL51" s="848"/>
      <c r="CM51" s="848"/>
      <c r="CN51" s="848"/>
      <c r="CO51" s="848"/>
      <c r="CP51" s="848"/>
      <c r="CQ51" s="848"/>
      <c r="CR51" s="848"/>
      <c r="CS51" s="848"/>
      <c r="CT51" s="848"/>
      <c r="CU51" s="848"/>
      <c r="CV51" s="848"/>
      <c r="CW51" s="848"/>
    </row>
    <row r="52" spans="1:101" s="851" customFormat="1" ht="31.9" customHeight="1">
      <c r="A52" s="845"/>
      <c r="B52" s="857" t="s">
        <v>409</v>
      </c>
      <c r="C52" s="852" t="s">
        <v>431</v>
      </c>
      <c r="D52" s="846"/>
      <c r="E52" s="845"/>
      <c r="F52" s="861" t="s">
        <v>432</v>
      </c>
      <c r="G52" s="861" t="s">
        <v>430</v>
      </c>
      <c r="H52" s="850">
        <f t="shared" si="15"/>
        <v>0</v>
      </c>
      <c r="I52" s="848"/>
      <c r="J52" s="848"/>
      <c r="K52" s="848"/>
      <c r="L52" s="848"/>
      <c r="M52" s="848"/>
      <c r="N52" s="848"/>
      <c r="O52" s="848"/>
      <c r="P52" s="848"/>
      <c r="Q52" s="848"/>
      <c r="R52" s="848"/>
      <c r="S52" s="848"/>
      <c r="T52" s="855">
        <f t="shared" si="19"/>
        <v>215.06849299999999</v>
      </c>
      <c r="U52" s="855">
        <v>215.06849299999999</v>
      </c>
      <c r="V52" s="848"/>
      <c r="W52" s="848"/>
      <c r="X52" s="848"/>
      <c r="Y52" s="848"/>
      <c r="Z52" s="848"/>
      <c r="AA52" s="848"/>
      <c r="AB52" s="848"/>
      <c r="AC52" s="848"/>
      <c r="AD52" s="848"/>
      <c r="AE52" s="848"/>
      <c r="AF52" s="848"/>
      <c r="AG52" s="848"/>
      <c r="AH52" s="848"/>
      <c r="AI52" s="848">
        <f t="shared" si="57"/>
        <v>220</v>
      </c>
      <c r="AJ52" s="855">
        <v>220</v>
      </c>
      <c r="AK52" s="848"/>
      <c r="AL52" s="848"/>
      <c r="AM52" s="848"/>
      <c r="AN52" s="848"/>
      <c r="AO52" s="848"/>
      <c r="AP52" s="848"/>
      <c r="AQ52" s="848"/>
      <c r="AR52" s="848"/>
      <c r="AS52" s="848"/>
      <c r="AT52" s="848"/>
      <c r="AU52" s="848"/>
      <c r="AV52" s="848"/>
      <c r="AW52" s="848"/>
      <c r="AX52" s="848"/>
      <c r="AY52" s="855">
        <f t="shared" si="56"/>
        <v>0</v>
      </c>
      <c r="AZ52" s="848"/>
      <c r="BA52" s="848"/>
      <c r="BB52" s="848"/>
      <c r="BC52" s="848"/>
      <c r="BD52" s="848"/>
      <c r="BE52" s="848"/>
      <c r="BF52" s="848"/>
      <c r="BG52" s="848"/>
      <c r="BH52" s="848"/>
      <c r="BI52" s="848"/>
      <c r="BJ52" s="848"/>
      <c r="BK52" s="848"/>
      <c r="BL52" s="848"/>
      <c r="BM52" s="848"/>
      <c r="BN52" s="848"/>
      <c r="BO52" s="848">
        <f t="shared" si="9"/>
        <v>4.7314999999999996</v>
      </c>
      <c r="BP52" s="848">
        <v>4.7314999999999996</v>
      </c>
      <c r="BQ52" s="848"/>
      <c r="BR52" s="848"/>
      <c r="BS52" s="848"/>
      <c r="BT52" s="848"/>
      <c r="BU52" s="848"/>
      <c r="BV52" s="848"/>
      <c r="BW52" s="848"/>
      <c r="BX52" s="848"/>
      <c r="BY52" s="848"/>
      <c r="BZ52" s="848"/>
      <c r="CA52" s="848"/>
      <c r="CB52" s="848"/>
      <c r="CC52" s="848"/>
      <c r="CD52" s="848"/>
      <c r="CE52" s="848"/>
      <c r="CF52" s="848"/>
      <c r="CG52" s="848"/>
      <c r="CH52" s="848"/>
      <c r="CI52" s="848"/>
      <c r="CJ52" s="848"/>
      <c r="CK52" s="848"/>
      <c r="CL52" s="848"/>
      <c r="CM52" s="848"/>
      <c r="CN52" s="848"/>
      <c r="CO52" s="848"/>
      <c r="CP52" s="848"/>
      <c r="CQ52" s="848"/>
      <c r="CR52" s="848"/>
      <c r="CS52" s="848"/>
      <c r="CT52" s="848"/>
      <c r="CU52" s="848"/>
      <c r="CV52" s="848"/>
      <c r="CW52" s="848"/>
    </row>
    <row r="53" spans="1:101" s="851" customFormat="1" ht="52.15" customHeight="1">
      <c r="A53" s="845"/>
      <c r="B53" s="857" t="s">
        <v>409</v>
      </c>
      <c r="C53" s="852" t="s">
        <v>433</v>
      </c>
      <c r="D53" s="846"/>
      <c r="E53" s="845"/>
      <c r="F53" s="861" t="s">
        <v>434</v>
      </c>
      <c r="G53" s="861" t="s">
        <v>435</v>
      </c>
      <c r="H53" s="850">
        <f t="shared" si="15"/>
        <v>0</v>
      </c>
      <c r="I53" s="848"/>
      <c r="J53" s="848"/>
      <c r="K53" s="848"/>
      <c r="L53" s="848"/>
      <c r="M53" s="848"/>
      <c r="N53" s="848"/>
      <c r="O53" s="848"/>
      <c r="P53" s="848"/>
      <c r="Q53" s="848"/>
      <c r="R53" s="848"/>
      <c r="S53" s="848"/>
      <c r="T53" s="855">
        <f t="shared" si="19"/>
        <v>0</v>
      </c>
      <c r="U53" s="855"/>
      <c r="V53" s="848"/>
      <c r="W53" s="848"/>
      <c r="X53" s="848"/>
      <c r="Y53" s="848"/>
      <c r="Z53" s="848"/>
      <c r="AA53" s="848"/>
      <c r="AB53" s="848"/>
      <c r="AC53" s="848"/>
      <c r="AD53" s="848"/>
      <c r="AE53" s="848"/>
      <c r="AF53" s="848"/>
      <c r="AG53" s="848"/>
      <c r="AH53" s="848"/>
      <c r="AI53" s="848">
        <f t="shared" si="57"/>
        <v>220</v>
      </c>
      <c r="AJ53" s="855">
        <v>220</v>
      </c>
      <c r="AK53" s="848"/>
      <c r="AL53" s="848"/>
      <c r="AM53" s="848"/>
      <c r="AN53" s="848"/>
      <c r="AO53" s="848"/>
      <c r="AP53" s="848"/>
      <c r="AQ53" s="848"/>
      <c r="AR53" s="848"/>
      <c r="AS53" s="848"/>
      <c r="AT53" s="848"/>
      <c r="AU53" s="848"/>
      <c r="AV53" s="848"/>
      <c r="AW53" s="848"/>
      <c r="AX53" s="848"/>
      <c r="AY53" s="855">
        <f t="shared" si="56"/>
        <v>0</v>
      </c>
      <c r="AZ53" s="848"/>
      <c r="BA53" s="848"/>
      <c r="BB53" s="848"/>
      <c r="BC53" s="848"/>
      <c r="BD53" s="848"/>
      <c r="BE53" s="848"/>
      <c r="BF53" s="848"/>
      <c r="BG53" s="848"/>
      <c r="BH53" s="848"/>
      <c r="BI53" s="848"/>
      <c r="BJ53" s="848"/>
      <c r="BK53" s="848"/>
      <c r="BL53" s="848"/>
      <c r="BM53" s="848"/>
      <c r="BN53" s="848"/>
      <c r="BO53" s="848">
        <f t="shared" si="9"/>
        <v>218.1139</v>
      </c>
      <c r="BP53" s="848">
        <v>218.1139</v>
      </c>
      <c r="BQ53" s="848"/>
      <c r="BR53" s="848"/>
      <c r="BS53" s="848"/>
      <c r="BT53" s="848"/>
      <c r="BU53" s="848"/>
      <c r="BV53" s="848"/>
      <c r="BW53" s="848"/>
      <c r="BX53" s="848"/>
      <c r="BY53" s="848"/>
      <c r="BZ53" s="848"/>
      <c r="CA53" s="848"/>
      <c r="CB53" s="848"/>
      <c r="CC53" s="848"/>
      <c r="CD53" s="848"/>
      <c r="CE53" s="848"/>
      <c r="CF53" s="848"/>
      <c r="CG53" s="848"/>
      <c r="CH53" s="848"/>
      <c r="CI53" s="848"/>
      <c r="CJ53" s="848"/>
      <c r="CK53" s="848"/>
      <c r="CL53" s="848"/>
      <c r="CM53" s="848"/>
      <c r="CN53" s="848"/>
      <c r="CO53" s="848"/>
      <c r="CP53" s="848"/>
      <c r="CQ53" s="848"/>
      <c r="CR53" s="848"/>
      <c r="CS53" s="848"/>
      <c r="CT53" s="848"/>
      <c r="CU53" s="848"/>
      <c r="CV53" s="848"/>
      <c r="CW53" s="848"/>
    </row>
    <row r="54" spans="1:101" s="851" customFormat="1" ht="31.9" customHeight="1">
      <c r="A54" s="845"/>
      <c r="B54" s="857" t="s">
        <v>409</v>
      </c>
      <c r="C54" s="852" t="s">
        <v>436</v>
      </c>
      <c r="D54" s="846"/>
      <c r="E54" s="845"/>
      <c r="F54" s="861" t="s">
        <v>437</v>
      </c>
      <c r="G54" s="861" t="s">
        <v>438</v>
      </c>
      <c r="H54" s="850">
        <f>SUM(I54:S54)</f>
        <v>0</v>
      </c>
      <c r="I54" s="848"/>
      <c r="J54" s="848"/>
      <c r="K54" s="848"/>
      <c r="L54" s="848"/>
      <c r="M54" s="848"/>
      <c r="N54" s="848"/>
      <c r="O54" s="848"/>
      <c r="P54" s="848"/>
      <c r="Q54" s="848"/>
      <c r="R54" s="848"/>
      <c r="S54" s="848"/>
      <c r="T54" s="855">
        <f t="shared" si="19"/>
        <v>193.53926000000001</v>
      </c>
      <c r="U54" s="855">
        <v>193.53926000000001</v>
      </c>
      <c r="V54" s="848"/>
      <c r="W54" s="848"/>
      <c r="X54" s="848"/>
      <c r="Y54" s="848"/>
      <c r="Z54" s="848"/>
      <c r="AA54" s="848"/>
      <c r="AB54" s="848"/>
      <c r="AC54" s="848"/>
      <c r="AD54" s="848"/>
      <c r="AE54" s="848"/>
      <c r="AF54" s="848"/>
      <c r="AG54" s="848"/>
      <c r="AH54" s="848"/>
      <c r="AI54" s="848">
        <f t="shared" si="57"/>
        <v>200</v>
      </c>
      <c r="AJ54" s="855">
        <v>200</v>
      </c>
      <c r="AK54" s="848"/>
      <c r="AL54" s="848"/>
      <c r="AM54" s="848"/>
      <c r="AN54" s="848"/>
      <c r="AO54" s="848"/>
      <c r="AP54" s="848"/>
      <c r="AQ54" s="848"/>
      <c r="AR54" s="848"/>
      <c r="AS54" s="848"/>
      <c r="AT54" s="848"/>
      <c r="AU54" s="848"/>
      <c r="AV54" s="848"/>
      <c r="AW54" s="848"/>
      <c r="AX54" s="848"/>
      <c r="AY54" s="855">
        <f t="shared" si="56"/>
        <v>0</v>
      </c>
      <c r="AZ54" s="848"/>
      <c r="BA54" s="848"/>
      <c r="BB54" s="848"/>
      <c r="BC54" s="848"/>
      <c r="BD54" s="848"/>
      <c r="BE54" s="848"/>
      <c r="BF54" s="848"/>
      <c r="BG54" s="848"/>
      <c r="BH54" s="848"/>
      <c r="BI54" s="848"/>
      <c r="BJ54" s="848"/>
      <c r="BK54" s="848"/>
      <c r="BL54" s="848"/>
      <c r="BM54" s="848"/>
      <c r="BN54" s="848"/>
      <c r="BO54" s="848">
        <f t="shared" si="9"/>
        <v>4.5224000000000002</v>
      </c>
      <c r="BP54" s="848">
        <v>4.5224000000000002</v>
      </c>
      <c r="BQ54" s="848"/>
      <c r="BR54" s="848"/>
      <c r="BS54" s="848"/>
      <c r="BT54" s="848"/>
      <c r="BU54" s="848"/>
      <c r="BV54" s="848"/>
      <c r="BW54" s="848"/>
      <c r="BX54" s="848"/>
      <c r="BY54" s="848"/>
      <c r="BZ54" s="848"/>
      <c r="CA54" s="848"/>
      <c r="CB54" s="848"/>
      <c r="CC54" s="848"/>
      <c r="CD54" s="848"/>
      <c r="CE54" s="848"/>
      <c r="CF54" s="848"/>
      <c r="CG54" s="848"/>
      <c r="CH54" s="848"/>
      <c r="CI54" s="848"/>
      <c r="CJ54" s="848"/>
      <c r="CK54" s="848"/>
      <c r="CL54" s="848"/>
      <c r="CM54" s="848"/>
      <c r="CN54" s="848"/>
      <c r="CO54" s="848"/>
      <c r="CP54" s="848"/>
      <c r="CQ54" s="848"/>
      <c r="CR54" s="848"/>
      <c r="CS54" s="848"/>
      <c r="CT54" s="848"/>
      <c r="CU54" s="848"/>
      <c r="CV54" s="848"/>
      <c r="CW54" s="848"/>
    </row>
    <row r="55" spans="1:101" s="851" customFormat="1" ht="31.9" customHeight="1">
      <c r="A55" s="845"/>
      <c r="B55" s="857" t="s">
        <v>409</v>
      </c>
      <c r="C55" s="852" t="s">
        <v>439</v>
      </c>
      <c r="D55" s="846"/>
      <c r="E55" s="845"/>
      <c r="F55" s="861" t="s">
        <v>437</v>
      </c>
      <c r="G55" s="861" t="s">
        <v>440</v>
      </c>
      <c r="H55" s="850">
        <f t="shared" si="15"/>
        <v>0</v>
      </c>
      <c r="I55" s="848"/>
      <c r="J55" s="848"/>
      <c r="K55" s="848"/>
      <c r="L55" s="848"/>
      <c r="M55" s="848"/>
      <c r="N55" s="848"/>
      <c r="O55" s="848"/>
      <c r="P55" s="848"/>
      <c r="Q55" s="848"/>
      <c r="R55" s="848"/>
      <c r="S55" s="848"/>
      <c r="T55" s="855">
        <f t="shared" si="19"/>
        <v>193.53926000000001</v>
      </c>
      <c r="U55" s="855">
        <v>193.53926000000001</v>
      </c>
      <c r="V55" s="848"/>
      <c r="W55" s="848"/>
      <c r="X55" s="848"/>
      <c r="Y55" s="848"/>
      <c r="Z55" s="848"/>
      <c r="AA55" s="848"/>
      <c r="AB55" s="848"/>
      <c r="AC55" s="848"/>
      <c r="AD55" s="848"/>
      <c r="AE55" s="848"/>
      <c r="AF55" s="848"/>
      <c r="AG55" s="848"/>
      <c r="AH55" s="848"/>
      <c r="AI55" s="848">
        <f t="shared" si="57"/>
        <v>200</v>
      </c>
      <c r="AJ55" s="855">
        <v>200</v>
      </c>
      <c r="AK55" s="848"/>
      <c r="AL55" s="848"/>
      <c r="AM55" s="848"/>
      <c r="AN55" s="848"/>
      <c r="AO55" s="848"/>
      <c r="AP55" s="848"/>
      <c r="AQ55" s="848"/>
      <c r="AR55" s="848"/>
      <c r="AS55" s="848"/>
      <c r="AT55" s="848"/>
      <c r="AU55" s="848"/>
      <c r="AV55" s="848"/>
      <c r="AW55" s="848"/>
      <c r="AX55" s="848"/>
      <c r="AY55" s="855">
        <f t="shared" si="56"/>
        <v>0</v>
      </c>
      <c r="AZ55" s="848"/>
      <c r="BA55" s="848"/>
      <c r="BB55" s="848"/>
      <c r="BC55" s="848"/>
      <c r="BD55" s="848"/>
      <c r="BE55" s="848"/>
      <c r="BF55" s="848"/>
      <c r="BG55" s="848"/>
      <c r="BH55" s="848"/>
      <c r="BI55" s="848"/>
      <c r="BJ55" s="848"/>
      <c r="BK55" s="848"/>
      <c r="BL55" s="848"/>
      <c r="BM55" s="848"/>
      <c r="BN55" s="848"/>
      <c r="BO55" s="848">
        <f t="shared" si="9"/>
        <v>4.5224000000000002</v>
      </c>
      <c r="BP55" s="848">
        <v>4.5224000000000002</v>
      </c>
      <c r="BQ55" s="848"/>
      <c r="BR55" s="848"/>
      <c r="BS55" s="848"/>
      <c r="BT55" s="848"/>
      <c r="BU55" s="848"/>
      <c r="BV55" s="848"/>
      <c r="BW55" s="848"/>
      <c r="BX55" s="848"/>
      <c r="BY55" s="848"/>
      <c r="BZ55" s="848"/>
      <c r="CA55" s="848"/>
      <c r="CB55" s="848"/>
      <c r="CC55" s="848"/>
      <c r="CD55" s="848"/>
      <c r="CE55" s="848"/>
      <c r="CF55" s="848"/>
      <c r="CG55" s="848"/>
      <c r="CH55" s="848"/>
      <c r="CI55" s="848"/>
      <c r="CJ55" s="848"/>
      <c r="CK55" s="848"/>
      <c r="CL55" s="848"/>
      <c r="CM55" s="848"/>
      <c r="CN55" s="848"/>
      <c r="CO55" s="848"/>
      <c r="CP55" s="848"/>
      <c r="CQ55" s="848"/>
      <c r="CR55" s="848"/>
      <c r="CS55" s="848"/>
      <c r="CT55" s="848"/>
      <c r="CU55" s="848"/>
      <c r="CV55" s="848"/>
      <c r="CW55" s="848"/>
    </row>
    <row r="56" spans="1:101" s="851" customFormat="1" ht="31.9" customHeight="1">
      <c r="A56" s="845"/>
      <c r="B56" s="857" t="s">
        <v>409</v>
      </c>
      <c r="C56" s="852" t="s">
        <v>441</v>
      </c>
      <c r="D56" s="846"/>
      <c r="E56" s="845"/>
      <c r="F56" s="861" t="s">
        <v>437</v>
      </c>
      <c r="G56" s="861" t="s">
        <v>442</v>
      </c>
      <c r="H56" s="850">
        <f t="shared" si="15"/>
        <v>0</v>
      </c>
      <c r="I56" s="848"/>
      <c r="J56" s="848"/>
      <c r="K56" s="848"/>
      <c r="L56" s="848"/>
      <c r="M56" s="848"/>
      <c r="N56" s="848"/>
      <c r="O56" s="848"/>
      <c r="P56" s="848"/>
      <c r="Q56" s="848"/>
      <c r="R56" s="848"/>
      <c r="S56" s="848"/>
      <c r="T56" s="855">
        <f t="shared" si="19"/>
        <v>677.41</v>
      </c>
      <c r="U56" s="855">
        <v>677.41</v>
      </c>
      <c r="V56" s="848"/>
      <c r="W56" s="848"/>
      <c r="X56" s="848"/>
      <c r="Y56" s="848"/>
      <c r="Z56" s="848"/>
      <c r="AA56" s="848"/>
      <c r="AB56" s="848"/>
      <c r="AC56" s="848"/>
      <c r="AD56" s="848"/>
      <c r="AE56" s="848"/>
      <c r="AF56" s="848"/>
      <c r="AG56" s="848"/>
      <c r="AH56" s="848"/>
      <c r="AI56" s="848">
        <f t="shared" si="57"/>
        <v>700</v>
      </c>
      <c r="AJ56" s="855">
        <v>700</v>
      </c>
      <c r="AK56" s="848"/>
      <c r="AL56" s="848"/>
      <c r="AM56" s="848"/>
      <c r="AN56" s="848"/>
      <c r="AO56" s="848"/>
      <c r="AP56" s="848"/>
      <c r="AQ56" s="848"/>
      <c r="AR56" s="848"/>
      <c r="AS56" s="848"/>
      <c r="AT56" s="848"/>
      <c r="AU56" s="848"/>
      <c r="AV56" s="848"/>
      <c r="AW56" s="848"/>
      <c r="AX56" s="848"/>
      <c r="AY56" s="855">
        <f t="shared" si="56"/>
        <v>0</v>
      </c>
      <c r="AZ56" s="848"/>
      <c r="BA56" s="848"/>
      <c r="BB56" s="848"/>
      <c r="BC56" s="848"/>
      <c r="BD56" s="848"/>
      <c r="BE56" s="848"/>
      <c r="BF56" s="848"/>
      <c r="BG56" s="848"/>
      <c r="BH56" s="848"/>
      <c r="BI56" s="848"/>
      <c r="BJ56" s="848"/>
      <c r="BK56" s="848"/>
      <c r="BL56" s="848"/>
      <c r="BM56" s="848"/>
      <c r="BN56" s="848"/>
      <c r="BO56" s="848">
        <f t="shared" si="9"/>
        <v>15.812900000000001</v>
      </c>
      <c r="BP56" s="848">
        <v>15.812900000000001</v>
      </c>
      <c r="BQ56" s="848"/>
      <c r="BR56" s="848"/>
      <c r="BS56" s="848"/>
      <c r="BT56" s="848"/>
      <c r="BU56" s="848"/>
      <c r="BV56" s="848"/>
      <c r="BW56" s="848"/>
      <c r="BX56" s="848"/>
      <c r="BY56" s="848"/>
      <c r="BZ56" s="848"/>
      <c r="CA56" s="848"/>
      <c r="CB56" s="848"/>
      <c r="CC56" s="848"/>
      <c r="CD56" s="848"/>
      <c r="CE56" s="848"/>
      <c r="CF56" s="848"/>
      <c r="CG56" s="848"/>
      <c r="CH56" s="848"/>
      <c r="CI56" s="848"/>
      <c r="CJ56" s="848"/>
      <c r="CK56" s="848"/>
      <c r="CL56" s="848"/>
      <c r="CM56" s="848"/>
      <c r="CN56" s="848"/>
      <c r="CO56" s="848"/>
      <c r="CP56" s="848"/>
      <c r="CQ56" s="848"/>
      <c r="CR56" s="848"/>
      <c r="CS56" s="848"/>
      <c r="CT56" s="848"/>
      <c r="CU56" s="848"/>
      <c r="CV56" s="848"/>
      <c r="CW56" s="848"/>
    </row>
    <row r="57" spans="1:101" s="851" customFormat="1" ht="31.9" customHeight="1">
      <c r="A57" s="845"/>
      <c r="B57" s="857" t="s">
        <v>409</v>
      </c>
      <c r="C57" s="852" t="s">
        <v>443</v>
      </c>
      <c r="D57" s="846"/>
      <c r="E57" s="845"/>
      <c r="F57" s="861" t="s">
        <v>444</v>
      </c>
      <c r="G57" s="861" t="s">
        <v>445</v>
      </c>
      <c r="H57" s="850">
        <f t="shared" si="15"/>
        <v>0</v>
      </c>
      <c r="I57" s="848"/>
      <c r="J57" s="848"/>
      <c r="K57" s="848"/>
      <c r="L57" s="848"/>
      <c r="M57" s="848"/>
      <c r="N57" s="848"/>
      <c r="O57" s="848"/>
      <c r="P57" s="848"/>
      <c r="Q57" s="848"/>
      <c r="R57" s="848"/>
      <c r="S57" s="848"/>
      <c r="T57" s="855">
        <f t="shared" si="19"/>
        <v>0</v>
      </c>
      <c r="U57" s="848"/>
      <c r="V57" s="848"/>
      <c r="W57" s="848"/>
      <c r="X57" s="848"/>
      <c r="Y57" s="848"/>
      <c r="Z57" s="848"/>
      <c r="AA57" s="848"/>
      <c r="AB57" s="848"/>
      <c r="AC57" s="848"/>
      <c r="AD57" s="848"/>
      <c r="AE57" s="848"/>
      <c r="AF57" s="848"/>
      <c r="AG57" s="848"/>
      <c r="AH57" s="848"/>
      <c r="AI57" s="848">
        <f t="shared" si="57"/>
        <v>300</v>
      </c>
      <c r="AJ57" s="855">
        <v>300</v>
      </c>
      <c r="AK57" s="848"/>
      <c r="AL57" s="848"/>
      <c r="AM57" s="848"/>
      <c r="AN57" s="848"/>
      <c r="AO57" s="848"/>
      <c r="AP57" s="848"/>
      <c r="AQ57" s="848"/>
      <c r="AR57" s="848"/>
      <c r="AS57" s="848"/>
      <c r="AT57" s="848"/>
      <c r="AU57" s="848"/>
      <c r="AV57" s="848"/>
      <c r="AW57" s="848"/>
      <c r="AX57" s="848"/>
      <c r="AY57" s="855">
        <f t="shared" si="56"/>
        <v>0</v>
      </c>
      <c r="AZ57" s="848"/>
      <c r="BA57" s="848"/>
      <c r="BB57" s="848"/>
      <c r="BC57" s="848"/>
      <c r="BD57" s="848"/>
      <c r="BE57" s="848"/>
      <c r="BF57" s="848"/>
      <c r="BG57" s="848"/>
      <c r="BH57" s="848"/>
      <c r="BI57" s="848"/>
      <c r="BJ57" s="848"/>
      <c r="BK57" s="848"/>
      <c r="BL57" s="848"/>
      <c r="BM57" s="848"/>
      <c r="BN57" s="848"/>
      <c r="BO57" s="848">
        <f t="shared" si="9"/>
        <v>213.09597400000001</v>
      </c>
      <c r="BP57" s="848">
        <v>213.09597400000001</v>
      </c>
      <c r="BQ57" s="848"/>
      <c r="BR57" s="848"/>
      <c r="BS57" s="848"/>
      <c r="BT57" s="848"/>
      <c r="BU57" s="848"/>
      <c r="BV57" s="848"/>
      <c r="BW57" s="848"/>
      <c r="BX57" s="848"/>
      <c r="BY57" s="848"/>
      <c r="BZ57" s="848"/>
      <c r="CA57" s="848"/>
      <c r="CB57" s="848"/>
      <c r="CC57" s="848"/>
      <c r="CD57" s="848"/>
      <c r="CE57" s="848"/>
      <c r="CF57" s="848"/>
      <c r="CG57" s="848"/>
      <c r="CH57" s="848"/>
      <c r="CI57" s="848"/>
      <c r="CJ57" s="848"/>
      <c r="CK57" s="848"/>
      <c r="CL57" s="848"/>
      <c r="CM57" s="848"/>
      <c r="CN57" s="848"/>
      <c r="CO57" s="848"/>
      <c r="CP57" s="848"/>
      <c r="CQ57" s="848"/>
      <c r="CR57" s="848"/>
      <c r="CS57" s="848"/>
      <c r="CT57" s="848"/>
      <c r="CU57" s="848"/>
      <c r="CV57" s="848"/>
      <c r="CW57" s="848"/>
    </row>
    <row r="58" spans="1:101" s="851" customFormat="1" ht="31.9" customHeight="1">
      <c r="A58" s="845"/>
      <c r="B58" s="857" t="s">
        <v>409</v>
      </c>
      <c r="C58" s="852" t="s">
        <v>446</v>
      </c>
      <c r="D58" s="846"/>
      <c r="E58" s="845"/>
      <c r="F58" s="861" t="s">
        <v>444</v>
      </c>
      <c r="G58" s="861" t="s">
        <v>447</v>
      </c>
      <c r="H58" s="850">
        <f t="shared" si="15"/>
        <v>0</v>
      </c>
      <c r="I58" s="848"/>
      <c r="J58" s="848"/>
      <c r="K58" s="848"/>
      <c r="L58" s="848"/>
      <c r="M58" s="848"/>
      <c r="N58" s="848"/>
      <c r="O58" s="848"/>
      <c r="P58" s="848"/>
      <c r="Q58" s="848"/>
      <c r="R58" s="848"/>
      <c r="S58" s="848"/>
      <c r="T58" s="855">
        <f t="shared" si="19"/>
        <v>0</v>
      </c>
      <c r="U58" s="848"/>
      <c r="V58" s="848"/>
      <c r="W58" s="848"/>
      <c r="X58" s="848"/>
      <c r="Y58" s="848"/>
      <c r="Z58" s="848"/>
      <c r="AA58" s="848"/>
      <c r="AB58" s="848"/>
      <c r="AC58" s="848"/>
      <c r="AD58" s="848"/>
      <c r="AE58" s="848"/>
      <c r="AF58" s="848"/>
      <c r="AG58" s="848"/>
      <c r="AH58" s="848"/>
      <c r="AI58" s="848">
        <f t="shared" si="57"/>
        <v>200</v>
      </c>
      <c r="AJ58" s="855">
        <v>200</v>
      </c>
      <c r="AK58" s="848"/>
      <c r="AL58" s="848"/>
      <c r="AM58" s="848"/>
      <c r="AN58" s="848"/>
      <c r="AO58" s="848"/>
      <c r="AP58" s="848"/>
      <c r="AQ58" s="848"/>
      <c r="AR58" s="848"/>
      <c r="AS58" s="848"/>
      <c r="AT58" s="848"/>
      <c r="AU58" s="848"/>
      <c r="AV58" s="848"/>
      <c r="AW58" s="848"/>
      <c r="AX58" s="848"/>
      <c r="AY58" s="855">
        <f t="shared" si="56"/>
        <v>0</v>
      </c>
      <c r="AZ58" s="848"/>
      <c r="BA58" s="848"/>
      <c r="BB58" s="848"/>
      <c r="BC58" s="848"/>
      <c r="BD58" s="848"/>
      <c r="BE58" s="848"/>
      <c r="BF58" s="848"/>
      <c r="BG58" s="848"/>
      <c r="BH58" s="848"/>
      <c r="BI58" s="848"/>
      <c r="BJ58" s="848"/>
      <c r="BK58" s="848"/>
      <c r="BL58" s="848"/>
      <c r="BM58" s="848"/>
      <c r="BN58" s="848"/>
      <c r="BO58" s="848">
        <f t="shared" si="9"/>
        <v>198.078464</v>
      </c>
      <c r="BP58" s="848">
        <v>198.078464</v>
      </c>
      <c r="BQ58" s="848"/>
      <c r="BR58" s="848"/>
      <c r="BS58" s="848"/>
      <c r="BT58" s="848"/>
      <c r="BU58" s="848"/>
      <c r="BV58" s="848"/>
      <c r="BW58" s="848"/>
      <c r="BX58" s="848"/>
      <c r="BY58" s="848"/>
      <c r="BZ58" s="848"/>
      <c r="CA58" s="848"/>
      <c r="CB58" s="848"/>
      <c r="CC58" s="848"/>
      <c r="CD58" s="848"/>
      <c r="CE58" s="848"/>
      <c r="CF58" s="848"/>
      <c r="CG58" s="848"/>
      <c r="CH58" s="848"/>
      <c r="CI58" s="848"/>
      <c r="CJ58" s="848"/>
      <c r="CK58" s="848"/>
      <c r="CL58" s="848"/>
      <c r="CM58" s="848"/>
      <c r="CN58" s="848"/>
      <c r="CO58" s="848"/>
      <c r="CP58" s="848"/>
      <c r="CQ58" s="848"/>
      <c r="CR58" s="848"/>
      <c r="CS58" s="848"/>
      <c r="CT58" s="848"/>
      <c r="CU58" s="848"/>
      <c r="CV58" s="848"/>
      <c r="CW58" s="848"/>
    </row>
    <row r="59" spans="1:101" s="851" customFormat="1" ht="48" customHeight="1">
      <c r="A59" s="845"/>
      <c r="B59" s="857" t="s">
        <v>409</v>
      </c>
      <c r="C59" s="852" t="s">
        <v>448</v>
      </c>
      <c r="D59" s="846"/>
      <c r="E59" s="845"/>
      <c r="F59" s="861" t="s">
        <v>444</v>
      </c>
      <c r="G59" s="861" t="s">
        <v>449</v>
      </c>
      <c r="H59" s="850">
        <f t="shared" si="15"/>
        <v>0</v>
      </c>
      <c r="I59" s="848"/>
      <c r="J59" s="848"/>
      <c r="K59" s="848"/>
      <c r="L59" s="848"/>
      <c r="M59" s="848"/>
      <c r="N59" s="848"/>
      <c r="O59" s="848"/>
      <c r="P59" s="848"/>
      <c r="Q59" s="848"/>
      <c r="R59" s="848"/>
      <c r="S59" s="848"/>
      <c r="T59" s="855">
        <f t="shared" si="19"/>
        <v>0</v>
      </c>
      <c r="U59" s="848"/>
      <c r="V59" s="848"/>
      <c r="W59" s="848"/>
      <c r="X59" s="848"/>
      <c r="Y59" s="848"/>
      <c r="Z59" s="848"/>
      <c r="AA59" s="848"/>
      <c r="AB59" s="848"/>
      <c r="AC59" s="848"/>
      <c r="AD59" s="848"/>
      <c r="AE59" s="848"/>
      <c r="AF59" s="848"/>
      <c r="AG59" s="848"/>
      <c r="AH59" s="848"/>
      <c r="AI59" s="848">
        <f t="shared" si="57"/>
        <v>379</v>
      </c>
      <c r="AJ59" s="855">
        <v>379</v>
      </c>
      <c r="AK59" s="848"/>
      <c r="AL59" s="848"/>
      <c r="AM59" s="848"/>
      <c r="AN59" s="848"/>
      <c r="AO59" s="848"/>
      <c r="AP59" s="848"/>
      <c r="AQ59" s="848"/>
      <c r="AR59" s="848"/>
      <c r="AS59" s="848"/>
      <c r="AT59" s="848"/>
      <c r="AU59" s="848"/>
      <c r="AV59" s="848"/>
      <c r="AW59" s="848"/>
      <c r="AX59" s="848"/>
      <c r="AY59" s="855">
        <f t="shared" si="56"/>
        <v>0</v>
      </c>
      <c r="AZ59" s="848"/>
      <c r="BA59" s="848"/>
      <c r="BB59" s="848"/>
      <c r="BC59" s="848"/>
      <c r="BD59" s="848"/>
      <c r="BE59" s="848"/>
      <c r="BF59" s="848"/>
      <c r="BG59" s="848"/>
      <c r="BH59" s="848"/>
      <c r="BI59" s="848"/>
      <c r="BJ59" s="848"/>
      <c r="BK59" s="848"/>
      <c r="BL59" s="848"/>
      <c r="BM59" s="848"/>
      <c r="BN59" s="848"/>
      <c r="BO59" s="848">
        <f t="shared" si="9"/>
        <v>375.32503500000001</v>
      </c>
      <c r="BP59" s="848">
        <v>375.32503500000001</v>
      </c>
      <c r="BQ59" s="848"/>
      <c r="BR59" s="848"/>
      <c r="BS59" s="848"/>
      <c r="BT59" s="848"/>
      <c r="BU59" s="848"/>
      <c r="BV59" s="848"/>
      <c r="BW59" s="848"/>
      <c r="BX59" s="848"/>
      <c r="BY59" s="848"/>
      <c r="BZ59" s="848"/>
      <c r="CA59" s="848"/>
      <c r="CB59" s="848"/>
      <c r="CC59" s="848"/>
      <c r="CD59" s="848"/>
      <c r="CE59" s="848"/>
      <c r="CF59" s="848"/>
      <c r="CG59" s="848"/>
      <c r="CH59" s="848"/>
      <c r="CI59" s="848"/>
      <c r="CJ59" s="848"/>
      <c r="CK59" s="848"/>
      <c r="CL59" s="848"/>
      <c r="CM59" s="848"/>
      <c r="CN59" s="848"/>
      <c r="CO59" s="848"/>
      <c r="CP59" s="848"/>
      <c r="CQ59" s="848"/>
      <c r="CR59" s="848"/>
      <c r="CS59" s="848"/>
      <c r="CT59" s="848"/>
      <c r="CU59" s="848"/>
      <c r="CV59" s="848"/>
      <c r="CW59" s="848"/>
    </row>
    <row r="60" spans="1:101" s="851" customFormat="1" ht="47.45" customHeight="1">
      <c r="A60" s="845"/>
      <c r="B60" s="857" t="s">
        <v>409</v>
      </c>
      <c r="C60" s="852" t="s">
        <v>450</v>
      </c>
      <c r="D60" s="846"/>
      <c r="E60" s="845"/>
      <c r="F60" s="861" t="s">
        <v>420</v>
      </c>
      <c r="G60" s="861" t="s">
        <v>451</v>
      </c>
      <c r="H60" s="850">
        <f t="shared" si="15"/>
        <v>0</v>
      </c>
      <c r="I60" s="848"/>
      <c r="J60" s="848"/>
      <c r="K60" s="848"/>
      <c r="L60" s="848"/>
      <c r="M60" s="848"/>
      <c r="N60" s="848"/>
      <c r="O60" s="848"/>
      <c r="P60" s="848"/>
      <c r="Q60" s="848"/>
      <c r="R60" s="848"/>
      <c r="S60" s="848"/>
      <c r="T60" s="855">
        <f t="shared" si="19"/>
        <v>215.11199999999999</v>
      </c>
      <c r="U60" s="855">
        <v>215.11199999999999</v>
      </c>
      <c r="V60" s="848"/>
      <c r="W60" s="848"/>
      <c r="X60" s="848"/>
      <c r="Y60" s="848"/>
      <c r="Z60" s="848"/>
      <c r="AA60" s="848"/>
      <c r="AB60" s="848"/>
      <c r="AC60" s="848"/>
      <c r="AD60" s="848"/>
      <c r="AE60" s="848"/>
      <c r="AF60" s="848"/>
      <c r="AG60" s="848"/>
      <c r="AH60" s="848"/>
      <c r="AI60" s="848">
        <f t="shared" si="57"/>
        <v>220</v>
      </c>
      <c r="AJ60" s="855">
        <v>220</v>
      </c>
      <c r="AK60" s="848"/>
      <c r="AL60" s="848"/>
      <c r="AM60" s="848"/>
      <c r="AN60" s="848"/>
      <c r="AO60" s="848"/>
      <c r="AP60" s="848"/>
      <c r="AQ60" s="848"/>
      <c r="AR60" s="848"/>
      <c r="AS60" s="848"/>
      <c r="AT60" s="848"/>
      <c r="AU60" s="848"/>
      <c r="AV60" s="848"/>
      <c r="AW60" s="848"/>
      <c r="AX60" s="848"/>
      <c r="AY60" s="855">
        <f t="shared" si="56"/>
        <v>0</v>
      </c>
      <c r="AZ60" s="848"/>
      <c r="BA60" s="848"/>
      <c r="BB60" s="848"/>
      <c r="BC60" s="848"/>
      <c r="BD60" s="848"/>
      <c r="BE60" s="848"/>
      <c r="BF60" s="848"/>
      <c r="BG60" s="848"/>
      <c r="BH60" s="848"/>
      <c r="BI60" s="848"/>
      <c r="BJ60" s="848"/>
      <c r="BK60" s="848"/>
      <c r="BL60" s="848"/>
      <c r="BM60" s="848"/>
      <c r="BN60" s="848"/>
      <c r="BO60" s="848">
        <f t="shared" si="9"/>
        <v>4.8593999999999999</v>
      </c>
      <c r="BP60" s="848">
        <v>4.8593999999999999</v>
      </c>
      <c r="BQ60" s="848"/>
      <c r="BR60" s="848"/>
      <c r="BS60" s="848"/>
      <c r="BT60" s="848"/>
      <c r="BU60" s="848"/>
      <c r="BV60" s="848"/>
      <c r="BW60" s="848"/>
      <c r="BX60" s="848"/>
      <c r="BY60" s="848"/>
      <c r="BZ60" s="848"/>
      <c r="CA60" s="848"/>
      <c r="CB60" s="848"/>
      <c r="CC60" s="848"/>
      <c r="CD60" s="848"/>
      <c r="CE60" s="848"/>
      <c r="CF60" s="848"/>
      <c r="CG60" s="848"/>
      <c r="CH60" s="848"/>
      <c r="CI60" s="848"/>
      <c r="CJ60" s="848"/>
      <c r="CK60" s="848"/>
      <c r="CL60" s="848"/>
      <c r="CM60" s="848"/>
      <c r="CN60" s="848"/>
      <c r="CO60" s="848"/>
      <c r="CP60" s="848"/>
      <c r="CQ60" s="848"/>
      <c r="CR60" s="848"/>
      <c r="CS60" s="848"/>
      <c r="CT60" s="848"/>
      <c r="CU60" s="848"/>
      <c r="CV60" s="848"/>
      <c r="CW60" s="848"/>
    </row>
    <row r="61" spans="1:101" s="851" customFormat="1" ht="31.9" customHeight="1">
      <c r="A61" s="845"/>
      <c r="B61" s="857" t="s">
        <v>409</v>
      </c>
      <c r="C61" s="852" t="s">
        <v>452</v>
      </c>
      <c r="D61" s="846"/>
      <c r="E61" s="845"/>
      <c r="F61" s="847"/>
      <c r="G61" s="845"/>
      <c r="H61" s="850">
        <f t="shared" si="15"/>
        <v>0</v>
      </c>
      <c r="I61" s="848"/>
      <c r="J61" s="848"/>
      <c r="K61" s="848"/>
      <c r="L61" s="848"/>
      <c r="M61" s="848"/>
      <c r="N61" s="848"/>
      <c r="O61" s="848"/>
      <c r="P61" s="848"/>
      <c r="Q61" s="848"/>
      <c r="R61" s="848"/>
      <c r="S61" s="848"/>
      <c r="T61" s="855">
        <f t="shared" si="19"/>
        <v>0</v>
      </c>
      <c r="U61" s="848"/>
      <c r="V61" s="848"/>
      <c r="W61" s="848"/>
      <c r="X61" s="848"/>
      <c r="Y61" s="848"/>
      <c r="Z61" s="848"/>
      <c r="AA61" s="848"/>
      <c r="AB61" s="848"/>
      <c r="AC61" s="848"/>
      <c r="AD61" s="848"/>
      <c r="AE61" s="848"/>
      <c r="AF61" s="848"/>
      <c r="AG61" s="848"/>
      <c r="AH61" s="848"/>
      <c r="AI61" s="848">
        <f t="shared" si="57"/>
        <v>249</v>
      </c>
      <c r="AJ61" s="855">
        <v>249</v>
      </c>
      <c r="AK61" s="848"/>
      <c r="AL61" s="848"/>
      <c r="AM61" s="848"/>
      <c r="AN61" s="848"/>
      <c r="AO61" s="848"/>
      <c r="AP61" s="848"/>
      <c r="AQ61" s="848"/>
      <c r="AR61" s="848"/>
      <c r="AS61" s="848"/>
      <c r="AT61" s="848"/>
      <c r="AU61" s="848"/>
      <c r="AV61" s="848"/>
      <c r="AW61" s="848"/>
      <c r="AX61" s="848"/>
      <c r="AY61" s="855">
        <f t="shared" si="56"/>
        <v>0</v>
      </c>
      <c r="AZ61" s="848"/>
      <c r="BA61" s="848"/>
      <c r="BB61" s="848"/>
      <c r="BC61" s="848"/>
      <c r="BD61" s="848"/>
      <c r="BE61" s="848"/>
      <c r="BF61" s="848"/>
      <c r="BG61" s="848"/>
      <c r="BH61" s="848"/>
      <c r="BI61" s="848"/>
      <c r="BJ61" s="848"/>
      <c r="BK61" s="848"/>
      <c r="BL61" s="848"/>
      <c r="BM61" s="848"/>
      <c r="BN61" s="848"/>
      <c r="BO61" s="848">
        <f t="shared" si="9"/>
        <v>243.32503500000001</v>
      </c>
      <c r="BP61" s="848">
        <v>243.32503500000001</v>
      </c>
      <c r="BQ61" s="848"/>
      <c r="BR61" s="848"/>
      <c r="BS61" s="848"/>
      <c r="BT61" s="848"/>
      <c r="BU61" s="848"/>
      <c r="BV61" s="848"/>
      <c r="BW61" s="848"/>
      <c r="BX61" s="848"/>
      <c r="BY61" s="848"/>
      <c r="BZ61" s="848"/>
      <c r="CA61" s="848"/>
      <c r="CB61" s="848"/>
      <c r="CC61" s="848"/>
      <c r="CD61" s="848"/>
      <c r="CE61" s="848"/>
      <c r="CF61" s="848"/>
      <c r="CG61" s="848"/>
      <c r="CH61" s="848"/>
      <c r="CI61" s="848"/>
      <c r="CJ61" s="848"/>
      <c r="CK61" s="848"/>
      <c r="CL61" s="848"/>
      <c r="CM61" s="848"/>
      <c r="CN61" s="848"/>
      <c r="CO61" s="848"/>
      <c r="CP61" s="848"/>
      <c r="CQ61" s="848"/>
      <c r="CR61" s="848"/>
      <c r="CS61" s="848"/>
      <c r="CT61" s="848"/>
      <c r="CU61" s="848"/>
      <c r="CV61" s="848"/>
      <c r="CW61" s="848"/>
    </row>
    <row r="62" spans="1:101" s="851" customFormat="1" ht="24.75" customHeight="1">
      <c r="A62" s="845" t="s">
        <v>23</v>
      </c>
      <c r="B62" s="845"/>
      <c r="C62" s="857" t="s">
        <v>453</v>
      </c>
      <c r="D62" s="846">
        <f>D63</f>
        <v>0</v>
      </c>
      <c r="E62" s="845">
        <f t="shared" ref="E62:CE63" si="58">E63</f>
        <v>0</v>
      </c>
      <c r="F62" s="847"/>
      <c r="G62" s="845"/>
      <c r="H62" s="850">
        <f t="shared" si="15"/>
        <v>221913</v>
      </c>
      <c r="I62" s="848">
        <f>I63</f>
        <v>0</v>
      </c>
      <c r="J62" s="848">
        <f t="shared" ref="J62:AX63" si="59">J63</f>
        <v>6142</v>
      </c>
      <c r="K62" s="848">
        <f t="shared" si="59"/>
        <v>0</v>
      </c>
      <c r="L62" s="848">
        <f t="shared" si="59"/>
        <v>0</v>
      </c>
      <c r="M62" s="848">
        <f t="shared" si="59"/>
        <v>0</v>
      </c>
      <c r="N62" s="848">
        <f t="shared" si="59"/>
        <v>215771</v>
      </c>
      <c r="O62" s="848">
        <f t="shared" si="59"/>
        <v>0</v>
      </c>
      <c r="P62" s="848">
        <f t="shared" si="59"/>
        <v>0</v>
      </c>
      <c r="Q62" s="848">
        <f t="shared" si="59"/>
        <v>0</v>
      </c>
      <c r="R62" s="848">
        <v>0</v>
      </c>
      <c r="S62" s="848">
        <f t="shared" si="59"/>
        <v>0</v>
      </c>
      <c r="T62" s="848">
        <f t="shared" si="59"/>
        <v>45421</v>
      </c>
      <c r="U62" s="848">
        <f t="shared" si="59"/>
        <v>13000</v>
      </c>
      <c r="V62" s="848">
        <f t="shared" si="59"/>
        <v>0</v>
      </c>
      <c r="W62" s="848">
        <f t="shared" si="59"/>
        <v>32421</v>
      </c>
      <c r="X62" s="848">
        <f t="shared" si="59"/>
        <v>0</v>
      </c>
      <c r="Y62" s="848">
        <f t="shared" si="59"/>
        <v>0</v>
      </c>
      <c r="Z62" s="848">
        <f t="shared" si="59"/>
        <v>0</v>
      </c>
      <c r="AA62" s="848">
        <f t="shared" si="59"/>
        <v>0</v>
      </c>
      <c r="AB62" s="848">
        <f t="shared" si="59"/>
        <v>0</v>
      </c>
      <c r="AC62" s="848">
        <f t="shared" si="59"/>
        <v>0</v>
      </c>
      <c r="AD62" s="848">
        <f t="shared" si="59"/>
        <v>0</v>
      </c>
      <c r="AE62" s="848">
        <f t="shared" si="59"/>
        <v>0</v>
      </c>
      <c r="AF62" s="848">
        <f t="shared" si="59"/>
        <v>0</v>
      </c>
      <c r="AG62" s="848">
        <f t="shared" si="59"/>
        <v>0</v>
      </c>
      <c r="AH62" s="848">
        <f t="shared" si="59"/>
        <v>0</v>
      </c>
      <c r="AI62" s="848">
        <f t="shared" si="59"/>
        <v>100215</v>
      </c>
      <c r="AJ62" s="848">
        <f t="shared" si="59"/>
        <v>13000</v>
      </c>
      <c r="AK62" s="848">
        <f t="shared" si="59"/>
        <v>0</v>
      </c>
      <c r="AL62" s="848">
        <f t="shared" si="59"/>
        <v>18748</v>
      </c>
      <c r="AM62" s="848">
        <f t="shared" si="59"/>
        <v>0</v>
      </c>
      <c r="AN62" s="848">
        <f t="shared" si="59"/>
        <v>0</v>
      </c>
      <c r="AO62" s="848">
        <f t="shared" si="59"/>
        <v>0</v>
      </c>
      <c r="AP62" s="848">
        <f t="shared" si="59"/>
        <v>0</v>
      </c>
      <c r="AQ62" s="848">
        <f t="shared" si="59"/>
        <v>0</v>
      </c>
      <c r="AR62" s="848">
        <f t="shared" si="59"/>
        <v>53710</v>
      </c>
      <c r="AS62" s="848">
        <f t="shared" si="59"/>
        <v>0</v>
      </c>
      <c r="AT62" s="848">
        <f t="shared" si="59"/>
        <v>0</v>
      </c>
      <c r="AU62" s="848">
        <f t="shared" si="59"/>
        <v>0</v>
      </c>
      <c r="AV62" s="848">
        <f t="shared" si="59"/>
        <v>0</v>
      </c>
      <c r="AW62" s="848">
        <f t="shared" si="59"/>
        <v>14757</v>
      </c>
      <c r="AX62" s="848">
        <f t="shared" si="59"/>
        <v>0</v>
      </c>
      <c r="AY62" s="848">
        <f t="shared" si="58"/>
        <v>64519</v>
      </c>
      <c r="AZ62" s="848">
        <f t="shared" si="58"/>
        <v>0</v>
      </c>
      <c r="BA62" s="848">
        <f t="shared" si="58"/>
        <v>0</v>
      </c>
      <c r="BB62" s="848">
        <f t="shared" si="58"/>
        <v>0</v>
      </c>
      <c r="BC62" s="848">
        <f t="shared" si="58"/>
        <v>0</v>
      </c>
      <c r="BD62" s="848">
        <f t="shared" si="58"/>
        <v>0</v>
      </c>
      <c r="BE62" s="848">
        <f t="shared" si="58"/>
        <v>0</v>
      </c>
      <c r="BF62" s="848">
        <f t="shared" si="58"/>
        <v>58913</v>
      </c>
      <c r="BG62" s="848">
        <f t="shared" si="58"/>
        <v>0</v>
      </c>
      <c r="BH62" s="848">
        <f t="shared" si="58"/>
        <v>0</v>
      </c>
      <c r="BI62" s="848">
        <f t="shared" si="58"/>
        <v>0</v>
      </c>
      <c r="BJ62" s="848">
        <f t="shared" si="58"/>
        <v>0</v>
      </c>
      <c r="BK62" s="848">
        <f t="shared" si="58"/>
        <v>5606</v>
      </c>
      <c r="BL62" s="848">
        <f t="shared" si="58"/>
        <v>0</v>
      </c>
      <c r="BM62" s="848">
        <f t="shared" si="58"/>
        <v>0</v>
      </c>
      <c r="BN62" s="848">
        <f t="shared" si="58"/>
        <v>0</v>
      </c>
      <c r="BO62" s="848">
        <f t="shared" si="9"/>
        <v>35167.598074000001</v>
      </c>
      <c r="BP62" s="848">
        <f t="shared" si="58"/>
        <v>17</v>
      </c>
      <c r="BQ62" s="848">
        <f t="shared" si="58"/>
        <v>0</v>
      </c>
      <c r="BR62" s="848">
        <f t="shared" si="58"/>
        <v>0</v>
      </c>
      <c r="BS62" s="848">
        <f t="shared" si="58"/>
        <v>0</v>
      </c>
      <c r="BT62" s="848">
        <f t="shared" si="58"/>
        <v>0</v>
      </c>
      <c r="BU62" s="848">
        <f t="shared" si="58"/>
        <v>0</v>
      </c>
      <c r="BV62" s="848">
        <f t="shared" si="58"/>
        <v>0</v>
      </c>
      <c r="BW62" s="848">
        <f t="shared" si="58"/>
        <v>0</v>
      </c>
      <c r="BX62" s="848">
        <f t="shared" si="58"/>
        <v>30559.279375999999</v>
      </c>
      <c r="BY62" s="848">
        <f t="shared" si="58"/>
        <v>0</v>
      </c>
      <c r="BZ62" s="848">
        <f t="shared" si="58"/>
        <v>0</v>
      </c>
      <c r="CA62" s="848">
        <f t="shared" si="58"/>
        <v>4591.318698</v>
      </c>
      <c r="CB62" s="848">
        <f t="shared" si="58"/>
        <v>0</v>
      </c>
      <c r="CC62" s="848">
        <f t="shared" si="58"/>
        <v>0</v>
      </c>
      <c r="CD62" s="848">
        <f t="shared" si="58"/>
        <v>0</v>
      </c>
      <c r="CE62" s="848">
        <f t="shared" si="58"/>
        <v>0</v>
      </c>
      <c r="CF62" s="848">
        <f t="shared" ref="CF62:CS62" si="60">CF63</f>
        <v>54.507351437561027</v>
      </c>
      <c r="CG62" s="848"/>
      <c r="CH62" s="848"/>
      <c r="CI62" s="848"/>
      <c r="CJ62" s="848"/>
      <c r="CK62" s="848"/>
      <c r="CL62" s="848"/>
      <c r="CM62" s="848"/>
      <c r="CN62" s="848"/>
      <c r="CO62" s="848"/>
      <c r="CP62" s="848"/>
      <c r="CQ62" s="848"/>
      <c r="CR62" s="848">
        <f t="shared" si="35"/>
        <v>81.900083803068142</v>
      </c>
      <c r="CS62" s="848">
        <f t="shared" si="60"/>
        <v>0</v>
      </c>
      <c r="CT62" s="848"/>
      <c r="CU62" s="848"/>
      <c r="CV62" s="848"/>
      <c r="CW62" s="848"/>
    </row>
    <row r="63" spans="1:101" s="851" customFormat="1" ht="24.75" customHeight="1">
      <c r="A63" s="845"/>
      <c r="B63" s="845"/>
      <c r="C63" s="857" t="s">
        <v>454</v>
      </c>
      <c r="D63" s="846">
        <f>D64</f>
        <v>0</v>
      </c>
      <c r="E63" s="845">
        <f t="shared" si="58"/>
        <v>0</v>
      </c>
      <c r="F63" s="847"/>
      <c r="G63" s="845"/>
      <c r="H63" s="850">
        <f t="shared" si="15"/>
        <v>221913</v>
      </c>
      <c r="I63" s="848">
        <f t="shared" si="58"/>
        <v>0</v>
      </c>
      <c r="J63" s="848">
        <f t="shared" si="58"/>
        <v>6142</v>
      </c>
      <c r="K63" s="848">
        <f t="shared" si="58"/>
        <v>0</v>
      </c>
      <c r="L63" s="848">
        <f t="shared" si="58"/>
        <v>0</v>
      </c>
      <c r="M63" s="848">
        <f t="shared" si="58"/>
        <v>0</v>
      </c>
      <c r="N63" s="848">
        <f t="shared" si="58"/>
        <v>215771</v>
      </c>
      <c r="O63" s="848">
        <f t="shared" si="58"/>
        <v>0</v>
      </c>
      <c r="P63" s="848">
        <f t="shared" si="58"/>
        <v>0</v>
      </c>
      <c r="Q63" s="848">
        <f t="shared" si="58"/>
        <v>0</v>
      </c>
      <c r="R63" s="848">
        <v>0</v>
      </c>
      <c r="S63" s="848">
        <f>S64</f>
        <v>0</v>
      </c>
      <c r="T63" s="848">
        <f t="shared" si="59"/>
        <v>45421</v>
      </c>
      <c r="U63" s="848">
        <f t="shared" si="59"/>
        <v>13000</v>
      </c>
      <c r="V63" s="848">
        <f t="shared" si="59"/>
        <v>0</v>
      </c>
      <c r="W63" s="848">
        <f t="shared" si="59"/>
        <v>32421</v>
      </c>
      <c r="X63" s="848">
        <f t="shared" si="59"/>
        <v>0</v>
      </c>
      <c r="Y63" s="848">
        <f t="shared" si="59"/>
        <v>0</v>
      </c>
      <c r="Z63" s="848">
        <f t="shared" si="59"/>
        <v>0</v>
      </c>
      <c r="AA63" s="848">
        <f t="shared" si="59"/>
        <v>0</v>
      </c>
      <c r="AB63" s="848">
        <f t="shared" si="59"/>
        <v>0</v>
      </c>
      <c r="AC63" s="848">
        <f>AC64</f>
        <v>0</v>
      </c>
      <c r="AD63" s="848">
        <f t="shared" si="59"/>
        <v>0</v>
      </c>
      <c r="AE63" s="848">
        <f t="shared" si="59"/>
        <v>0</v>
      </c>
      <c r="AF63" s="848">
        <f t="shared" si="59"/>
        <v>0</v>
      </c>
      <c r="AG63" s="848">
        <f>AG64</f>
        <v>0</v>
      </c>
      <c r="AH63" s="848">
        <f t="shared" si="59"/>
        <v>0</v>
      </c>
      <c r="AI63" s="848">
        <f t="shared" si="58"/>
        <v>100215</v>
      </c>
      <c r="AJ63" s="848">
        <f t="shared" si="59"/>
        <v>13000</v>
      </c>
      <c r="AK63" s="848">
        <f t="shared" si="58"/>
        <v>0</v>
      </c>
      <c r="AL63" s="848">
        <f t="shared" si="58"/>
        <v>18748</v>
      </c>
      <c r="AM63" s="848">
        <f t="shared" si="58"/>
        <v>0</v>
      </c>
      <c r="AN63" s="848">
        <f t="shared" si="58"/>
        <v>0</v>
      </c>
      <c r="AO63" s="848">
        <f t="shared" si="58"/>
        <v>0</v>
      </c>
      <c r="AP63" s="848">
        <f t="shared" si="58"/>
        <v>0</v>
      </c>
      <c r="AQ63" s="848">
        <f t="shared" si="58"/>
        <v>0</v>
      </c>
      <c r="AR63" s="848">
        <f t="shared" si="58"/>
        <v>53710</v>
      </c>
      <c r="AS63" s="848">
        <f t="shared" si="58"/>
        <v>0</v>
      </c>
      <c r="AT63" s="848">
        <f t="shared" si="58"/>
        <v>0</v>
      </c>
      <c r="AU63" s="848">
        <f t="shared" si="58"/>
        <v>0</v>
      </c>
      <c r="AV63" s="848">
        <f t="shared" si="58"/>
        <v>0</v>
      </c>
      <c r="AW63" s="848">
        <f t="shared" si="58"/>
        <v>14757</v>
      </c>
      <c r="AX63" s="848">
        <f t="shared" si="58"/>
        <v>0</v>
      </c>
      <c r="AY63" s="848">
        <f t="shared" si="58"/>
        <v>64519</v>
      </c>
      <c r="AZ63" s="848">
        <f t="shared" si="58"/>
        <v>0</v>
      </c>
      <c r="BA63" s="848">
        <f t="shared" si="58"/>
        <v>0</v>
      </c>
      <c r="BB63" s="848">
        <f t="shared" si="58"/>
        <v>0</v>
      </c>
      <c r="BC63" s="848">
        <f t="shared" si="58"/>
        <v>0</v>
      </c>
      <c r="BD63" s="848">
        <f t="shared" si="58"/>
        <v>0</v>
      </c>
      <c r="BE63" s="848">
        <f t="shared" si="58"/>
        <v>0</v>
      </c>
      <c r="BF63" s="848">
        <f t="shared" si="58"/>
        <v>58913</v>
      </c>
      <c r="BG63" s="848">
        <f t="shared" si="58"/>
        <v>0</v>
      </c>
      <c r="BH63" s="848">
        <f t="shared" si="58"/>
        <v>0</v>
      </c>
      <c r="BI63" s="848">
        <f t="shared" si="58"/>
        <v>0</v>
      </c>
      <c r="BJ63" s="848">
        <f t="shared" si="58"/>
        <v>0</v>
      </c>
      <c r="BK63" s="848">
        <f t="shared" si="58"/>
        <v>5606</v>
      </c>
      <c r="BL63" s="848">
        <f t="shared" si="58"/>
        <v>0</v>
      </c>
      <c r="BM63" s="848">
        <f t="shared" si="58"/>
        <v>0</v>
      </c>
      <c r="BN63" s="848">
        <f t="shared" si="58"/>
        <v>0</v>
      </c>
      <c r="BO63" s="848">
        <f t="shared" si="9"/>
        <v>35167.598074000001</v>
      </c>
      <c r="BP63" s="848">
        <f t="shared" si="58"/>
        <v>17</v>
      </c>
      <c r="BQ63" s="848">
        <f t="shared" si="58"/>
        <v>0</v>
      </c>
      <c r="BR63" s="848">
        <f t="shared" si="58"/>
        <v>0</v>
      </c>
      <c r="BS63" s="848">
        <f t="shared" si="58"/>
        <v>0</v>
      </c>
      <c r="BT63" s="848">
        <f t="shared" si="58"/>
        <v>0</v>
      </c>
      <c r="BU63" s="848">
        <f t="shared" si="58"/>
        <v>0</v>
      </c>
      <c r="BV63" s="848">
        <f t="shared" si="58"/>
        <v>0</v>
      </c>
      <c r="BW63" s="848">
        <f t="shared" si="58"/>
        <v>0</v>
      </c>
      <c r="BX63" s="848">
        <f t="shared" si="58"/>
        <v>30559.279375999999</v>
      </c>
      <c r="BY63" s="848">
        <f t="shared" si="58"/>
        <v>0</v>
      </c>
      <c r="BZ63" s="848">
        <f t="shared" si="58"/>
        <v>0</v>
      </c>
      <c r="CA63" s="848">
        <f t="shared" si="58"/>
        <v>4591.318698</v>
      </c>
      <c r="CB63" s="848">
        <f t="shared" si="58"/>
        <v>0</v>
      </c>
      <c r="CC63" s="848">
        <f t="shared" si="58"/>
        <v>0</v>
      </c>
      <c r="CD63" s="848">
        <f t="shared" si="58"/>
        <v>0</v>
      </c>
      <c r="CE63" s="848">
        <f t="shared" si="58"/>
        <v>0</v>
      </c>
      <c r="CF63" s="848">
        <f t="shared" si="11"/>
        <v>54.507351437561027</v>
      </c>
      <c r="CG63" s="848"/>
      <c r="CH63" s="848"/>
      <c r="CI63" s="848"/>
      <c r="CJ63" s="848"/>
      <c r="CK63" s="848"/>
      <c r="CL63" s="848"/>
      <c r="CM63" s="848"/>
      <c r="CN63" s="848"/>
      <c r="CO63" s="848"/>
      <c r="CP63" s="848"/>
      <c r="CQ63" s="848"/>
      <c r="CR63" s="848">
        <f t="shared" si="35"/>
        <v>81.900083803068142</v>
      </c>
      <c r="CS63" s="848"/>
      <c r="CT63" s="848"/>
      <c r="CU63" s="848"/>
      <c r="CV63" s="848"/>
      <c r="CW63" s="848"/>
    </row>
    <row r="64" spans="1:101" s="851" customFormat="1" ht="41.45" customHeight="1">
      <c r="A64" s="845"/>
      <c r="B64" s="857" t="s">
        <v>453</v>
      </c>
      <c r="C64" s="852" t="s">
        <v>455</v>
      </c>
      <c r="D64" s="846"/>
      <c r="E64" s="845"/>
      <c r="F64" s="853">
        <v>2009</v>
      </c>
      <c r="G64" s="854" t="s">
        <v>456</v>
      </c>
      <c r="H64" s="850">
        <f t="shared" si="15"/>
        <v>221913</v>
      </c>
      <c r="I64" s="850"/>
      <c r="J64" s="855">
        <v>6142</v>
      </c>
      <c r="K64" s="848"/>
      <c r="L64" s="848"/>
      <c r="M64" s="848"/>
      <c r="N64" s="855">
        <v>215771</v>
      </c>
      <c r="O64" s="848"/>
      <c r="P64" s="848"/>
      <c r="Q64" s="848"/>
      <c r="R64" s="848"/>
      <c r="S64" s="848"/>
      <c r="T64" s="855">
        <f t="shared" si="19"/>
        <v>45421</v>
      </c>
      <c r="U64" s="855">
        <v>13000</v>
      </c>
      <c r="V64" s="848"/>
      <c r="W64" s="855">
        <v>32421</v>
      </c>
      <c r="X64" s="848"/>
      <c r="Y64" s="848"/>
      <c r="Z64" s="848"/>
      <c r="AA64" s="848"/>
      <c r="AB64" s="848"/>
      <c r="AC64" s="855"/>
      <c r="AD64" s="848"/>
      <c r="AE64" s="848"/>
      <c r="AF64" s="848"/>
      <c r="AG64" s="855"/>
      <c r="AH64" s="848"/>
      <c r="AI64" s="848">
        <f>SUM(AJ64:AX64)</f>
        <v>100215</v>
      </c>
      <c r="AJ64" s="855">
        <f>3000+10000</f>
        <v>13000</v>
      </c>
      <c r="AK64" s="848"/>
      <c r="AL64" s="855">
        <v>18748</v>
      </c>
      <c r="AM64" s="848"/>
      <c r="AN64" s="848"/>
      <c r="AO64" s="848"/>
      <c r="AP64" s="848"/>
      <c r="AQ64" s="848"/>
      <c r="AR64" s="855">
        <v>53710</v>
      </c>
      <c r="AS64" s="855"/>
      <c r="AT64" s="848"/>
      <c r="AU64" s="848"/>
      <c r="AV64" s="848"/>
      <c r="AW64" s="855">
        <v>14757</v>
      </c>
      <c r="AX64" s="848"/>
      <c r="AY64" s="855">
        <f t="shared" ref="AY64" si="61">SUM(AZ64:BN64)</f>
        <v>64519</v>
      </c>
      <c r="AZ64" s="848"/>
      <c r="BA64" s="848"/>
      <c r="BB64" s="848"/>
      <c r="BC64" s="848"/>
      <c r="BD64" s="848"/>
      <c r="BE64" s="848"/>
      <c r="BF64" s="855">
        <f>'[10]bieu cu'!H304</f>
        <v>58913</v>
      </c>
      <c r="BG64" s="848"/>
      <c r="BH64" s="848"/>
      <c r="BI64" s="848"/>
      <c r="BJ64" s="848"/>
      <c r="BK64" s="855">
        <f>'[10]bieu cu'!H150</f>
        <v>5606</v>
      </c>
      <c r="BL64" s="855"/>
      <c r="BM64" s="855"/>
      <c r="BN64" s="855"/>
      <c r="BO64" s="848">
        <f t="shared" si="9"/>
        <v>35167.598074000001</v>
      </c>
      <c r="BP64" s="855">
        <v>17</v>
      </c>
      <c r="BQ64" s="855"/>
      <c r="BR64" s="855"/>
      <c r="BS64" s="855"/>
      <c r="BT64" s="855"/>
      <c r="BU64" s="855"/>
      <c r="BV64" s="855"/>
      <c r="BW64" s="855"/>
      <c r="BX64" s="855">
        <f>'[10]bieu cu'!M304</f>
        <v>30559.279375999999</v>
      </c>
      <c r="BY64" s="855"/>
      <c r="BZ64" s="855"/>
      <c r="CA64" s="855">
        <v>4591.318698</v>
      </c>
      <c r="CB64" s="855"/>
      <c r="CC64" s="855"/>
      <c r="CD64" s="855"/>
      <c r="CE64" s="855"/>
      <c r="CF64" s="848">
        <f t="shared" si="11"/>
        <v>54.507351437561027</v>
      </c>
      <c r="CG64" s="848"/>
      <c r="CH64" s="848"/>
      <c r="CI64" s="848"/>
      <c r="CJ64" s="848"/>
      <c r="CK64" s="848"/>
      <c r="CL64" s="848"/>
      <c r="CM64" s="848"/>
      <c r="CN64" s="848"/>
      <c r="CO64" s="848"/>
      <c r="CP64" s="848"/>
      <c r="CQ64" s="848"/>
      <c r="CR64" s="848">
        <f t="shared" si="35"/>
        <v>81.900083803068142</v>
      </c>
      <c r="CS64" s="848"/>
      <c r="CT64" s="848"/>
      <c r="CU64" s="848"/>
      <c r="CV64" s="848"/>
      <c r="CW64" s="848"/>
    </row>
    <row r="65" spans="1:101" s="851" customFormat="1" ht="24.75" customHeight="1">
      <c r="A65" s="845" t="s">
        <v>96</v>
      </c>
      <c r="B65" s="845"/>
      <c r="C65" s="857" t="s">
        <v>457</v>
      </c>
      <c r="D65" s="846">
        <f t="shared" ref="D65:BN65" si="62">D66+D69</f>
        <v>0</v>
      </c>
      <c r="E65" s="845">
        <f t="shared" si="62"/>
        <v>0</v>
      </c>
      <c r="F65" s="847"/>
      <c r="G65" s="845"/>
      <c r="H65" s="850">
        <f t="shared" si="15"/>
        <v>30207</v>
      </c>
      <c r="I65" s="848">
        <f t="shared" si="62"/>
        <v>0</v>
      </c>
      <c r="J65" s="848">
        <f t="shared" si="62"/>
        <v>0</v>
      </c>
      <c r="K65" s="848">
        <f t="shared" si="62"/>
        <v>0</v>
      </c>
      <c r="L65" s="848">
        <f t="shared" si="62"/>
        <v>0</v>
      </c>
      <c r="M65" s="848">
        <f t="shared" si="62"/>
        <v>0</v>
      </c>
      <c r="N65" s="848">
        <f t="shared" si="62"/>
        <v>0</v>
      </c>
      <c r="O65" s="848">
        <f t="shared" si="62"/>
        <v>0</v>
      </c>
      <c r="P65" s="848">
        <f t="shared" si="62"/>
        <v>0</v>
      </c>
      <c r="Q65" s="848">
        <f t="shared" si="62"/>
        <v>0</v>
      </c>
      <c r="R65" s="848">
        <v>0</v>
      </c>
      <c r="S65" s="848">
        <f>S66+S69</f>
        <v>30207</v>
      </c>
      <c r="T65" s="848">
        <f t="shared" ref="T65:AH65" si="63">T66+T69</f>
        <v>16676.550943999999</v>
      </c>
      <c r="U65" s="848">
        <f t="shared" si="63"/>
        <v>5969.9999719999996</v>
      </c>
      <c r="V65" s="848">
        <f t="shared" si="63"/>
        <v>0</v>
      </c>
      <c r="W65" s="848">
        <f t="shared" si="63"/>
        <v>2969.9999720000001</v>
      </c>
      <c r="X65" s="848">
        <f t="shared" si="63"/>
        <v>0</v>
      </c>
      <c r="Y65" s="848">
        <f t="shared" si="63"/>
        <v>0</v>
      </c>
      <c r="Z65" s="848">
        <f t="shared" si="63"/>
        <v>0</v>
      </c>
      <c r="AA65" s="848">
        <f t="shared" si="63"/>
        <v>0</v>
      </c>
      <c r="AB65" s="848">
        <f t="shared" si="63"/>
        <v>0</v>
      </c>
      <c r="AC65" s="848">
        <f t="shared" si="63"/>
        <v>0</v>
      </c>
      <c r="AD65" s="848">
        <f t="shared" si="63"/>
        <v>0</v>
      </c>
      <c r="AE65" s="848">
        <f t="shared" si="63"/>
        <v>0</v>
      </c>
      <c r="AF65" s="848">
        <f t="shared" si="63"/>
        <v>1600</v>
      </c>
      <c r="AG65" s="848">
        <f t="shared" si="63"/>
        <v>0</v>
      </c>
      <c r="AH65" s="848">
        <f t="shared" si="63"/>
        <v>6136.5510000000004</v>
      </c>
      <c r="AI65" s="848">
        <f t="shared" si="62"/>
        <v>14931</v>
      </c>
      <c r="AJ65" s="848">
        <f t="shared" si="62"/>
        <v>3000</v>
      </c>
      <c r="AK65" s="848">
        <f t="shared" si="62"/>
        <v>0</v>
      </c>
      <c r="AL65" s="848">
        <f t="shared" si="62"/>
        <v>2570</v>
      </c>
      <c r="AM65" s="848">
        <f t="shared" si="62"/>
        <v>0</v>
      </c>
      <c r="AN65" s="848">
        <f t="shared" si="62"/>
        <v>0</v>
      </c>
      <c r="AO65" s="848">
        <f t="shared" si="62"/>
        <v>0</v>
      </c>
      <c r="AP65" s="848">
        <f t="shared" si="62"/>
        <v>0</v>
      </c>
      <c r="AQ65" s="848">
        <f t="shared" si="62"/>
        <v>0</v>
      </c>
      <c r="AR65" s="848">
        <f t="shared" si="62"/>
        <v>0</v>
      </c>
      <c r="AS65" s="848">
        <f t="shared" si="62"/>
        <v>0</v>
      </c>
      <c r="AT65" s="848">
        <f t="shared" si="62"/>
        <v>1600</v>
      </c>
      <c r="AU65" s="848">
        <f t="shared" si="62"/>
        <v>0</v>
      </c>
      <c r="AV65" s="848">
        <f t="shared" si="62"/>
        <v>0</v>
      </c>
      <c r="AW65" s="848">
        <f t="shared" si="62"/>
        <v>0</v>
      </c>
      <c r="AX65" s="848">
        <f t="shared" si="62"/>
        <v>7761</v>
      </c>
      <c r="AY65" s="848">
        <f t="shared" si="62"/>
        <v>930</v>
      </c>
      <c r="AZ65" s="848">
        <f t="shared" si="62"/>
        <v>0</v>
      </c>
      <c r="BA65" s="848">
        <f t="shared" si="62"/>
        <v>0</v>
      </c>
      <c r="BB65" s="848">
        <f t="shared" si="62"/>
        <v>0</v>
      </c>
      <c r="BC65" s="848">
        <f t="shared" si="62"/>
        <v>0</v>
      </c>
      <c r="BD65" s="848">
        <f t="shared" si="62"/>
        <v>0</v>
      </c>
      <c r="BE65" s="848">
        <f t="shared" si="62"/>
        <v>0</v>
      </c>
      <c r="BF65" s="848">
        <f t="shared" si="62"/>
        <v>0</v>
      </c>
      <c r="BG65" s="848">
        <f t="shared" si="62"/>
        <v>0</v>
      </c>
      <c r="BH65" s="848">
        <f t="shared" si="62"/>
        <v>0</v>
      </c>
      <c r="BI65" s="848">
        <f t="shared" si="62"/>
        <v>0</v>
      </c>
      <c r="BJ65" s="848">
        <f t="shared" si="62"/>
        <v>0</v>
      </c>
      <c r="BK65" s="848">
        <f t="shared" si="62"/>
        <v>500</v>
      </c>
      <c r="BL65" s="848">
        <f t="shared" si="62"/>
        <v>0</v>
      </c>
      <c r="BM65" s="848">
        <f t="shared" si="62"/>
        <v>0</v>
      </c>
      <c r="BN65" s="848">
        <f t="shared" si="62"/>
        <v>430</v>
      </c>
      <c r="BO65" s="848">
        <f t="shared" si="9"/>
        <v>930</v>
      </c>
      <c r="BP65" s="848">
        <f t="shared" ref="BP65:CE65" si="64">BP66+BP69</f>
        <v>0</v>
      </c>
      <c r="BQ65" s="848">
        <f t="shared" si="64"/>
        <v>0</v>
      </c>
      <c r="BR65" s="848">
        <f t="shared" si="64"/>
        <v>0</v>
      </c>
      <c r="BS65" s="848">
        <f>BS66+BS69</f>
        <v>0</v>
      </c>
      <c r="BT65" s="848">
        <f t="shared" si="64"/>
        <v>0</v>
      </c>
      <c r="BU65" s="848">
        <f t="shared" si="64"/>
        <v>0</v>
      </c>
      <c r="BV65" s="848">
        <f t="shared" si="64"/>
        <v>0</v>
      </c>
      <c r="BW65" s="848">
        <f t="shared" si="64"/>
        <v>0</v>
      </c>
      <c r="BX65" s="848">
        <f t="shared" si="64"/>
        <v>0</v>
      </c>
      <c r="BY65" s="848">
        <f t="shared" si="64"/>
        <v>0</v>
      </c>
      <c r="BZ65" s="848">
        <f t="shared" si="64"/>
        <v>0</v>
      </c>
      <c r="CA65" s="848">
        <f>CA66+CA69</f>
        <v>500</v>
      </c>
      <c r="CB65" s="848">
        <f t="shared" si="64"/>
        <v>0</v>
      </c>
      <c r="CC65" s="848">
        <f t="shared" si="64"/>
        <v>0</v>
      </c>
      <c r="CD65" s="848">
        <f t="shared" si="64"/>
        <v>0</v>
      </c>
      <c r="CE65" s="848">
        <f t="shared" si="64"/>
        <v>430</v>
      </c>
      <c r="CF65" s="848">
        <f t="shared" si="11"/>
        <v>99.999999999999986</v>
      </c>
      <c r="CG65" s="848"/>
      <c r="CH65" s="848"/>
      <c r="CI65" s="848"/>
      <c r="CJ65" s="848"/>
      <c r="CK65" s="848"/>
      <c r="CL65" s="848"/>
      <c r="CM65" s="848"/>
      <c r="CN65" s="848"/>
      <c r="CO65" s="848"/>
      <c r="CP65" s="848"/>
      <c r="CQ65" s="848"/>
      <c r="CR65" s="848">
        <f t="shared" si="35"/>
        <v>100</v>
      </c>
      <c r="CS65" s="848"/>
      <c r="CT65" s="848"/>
      <c r="CU65" s="848"/>
      <c r="CV65" s="848"/>
      <c r="CW65" s="848">
        <f t="shared" si="52"/>
        <v>100</v>
      </c>
    </row>
    <row r="66" spans="1:101" s="851" customFormat="1" ht="24.75" customHeight="1">
      <c r="A66" s="845"/>
      <c r="B66" s="845"/>
      <c r="C66" s="857" t="s">
        <v>358</v>
      </c>
      <c r="D66" s="846">
        <f>D67+D68</f>
        <v>0</v>
      </c>
      <c r="E66" s="845">
        <f t="shared" ref="E66" si="65">E67+E68</f>
        <v>0</v>
      </c>
      <c r="F66" s="847"/>
      <c r="G66" s="845"/>
      <c r="H66" s="850">
        <f t="shared" si="15"/>
        <v>8141</v>
      </c>
      <c r="I66" s="848">
        <f t="shared" ref="I66:BT66" si="66">I67+I68</f>
        <v>0</v>
      </c>
      <c r="J66" s="848">
        <f t="shared" si="66"/>
        <v>0</v>
      </c>
      <c r="K66" s="848">
        <f t="shared" si="66"/>
        <v>0</v>
      </c>
      <c r="L66" s="848">
        <f t="shared" si="66"/>
        <v>0</v>
      </c>
      <c r="M66" s="848">
        <f t="shared" si="66"/>
        <v>0</v>
      </c>
      <c r="N66" s="848">
        <f t="shared" si="66"/>
        <v>0</v>
      </c>
      <c r="O66" s="848">
        <f t="shared" si="66"/>
        <v>0</v>
      </c>
      <c r="P66" s="848">
        <f t="shared" si="66"/>
        <v>0</v>
      </c>
      <c r="Q66" s="848">
        <f t="shared" si="66"/>
        <v>0</v>
      </c>
      <c r="R66" s="848">
        <v>0</v>
      </c>
      <c r="S66" s="848">
        <f t="shared" si="66"/>
        <v>8141</v>
      </c>
      <c r="T66" s="848">
        <f t="shared" si="66"/>
        <v>5736.5510000000004</v>
      </c>
      <c r="U66" s="848">
        <f t="shared" si="66"/>
        <v>0</v>
      </c>
      <c r="V66" s="848">
        <f t="shared" si="66"/>
        <v>0</v>
      </c>
      <c r="W66" s="848">
        <f t="shared" si="66"/>
        <v>0</v>
      </c>
      <c r="X66" s="848">
        <f t="shared" si="66"/>
        <v>0</v>
      </c>
      <c r="Y66" s="848">
        <f t="shared" si="66"/>
        <v>0</v>
      </c>
      <c r="Z66" s="848">
        <f t="shared" si="66"/>
        <v>0</v>
      </c>
      <c r="AA66" s="848">
        <f t="shared" si="66"/>
        <v>0</v>
      </c>
      <c r="AB66" s="848">
        <f t="shared" si="66"/>
        <v>0</v>
      </c>
      <c r="AC66" s="848">
        <f t="shared" si="66"/>
        <v>0</v>
      </c>
      <c r="AD66" s="848">
        <f t="shared" si="66"/>
        <v>0</v>
      </c>
      <c r="AE66" s="848">
        <f t="shared" si="66"/>
        <v>0</v>
      </c>
      <c r="AF66" s="848">
        <f t="shared" si="66"/>
        <v>1600</v>
      </c>
      <c r="AG66" s="848">
        <f t="shared" si="66"/>
        <v>0</v>
      </c>
      <c r="AH66" s="848">
        <f t="shared" si="66"/>
        <v>4136.5510000000004</v>
      </c>
      <c r="AI66" s="848">
        <f t="shared" si="66"/>
        <v>6857</v>
      </c>
      <c r="AJ66" s="848">
        <f t="shared" si="66"/>
        <v>0</v>
      </c>
      <c r="AK66" s="848">
        <f t="shared" si="66"/>
        <v>0</v>
      </c>
      <c r="AL66" s="848">
        <f t="shared" si="66"/>
        <v>0</v>
      </c>
      <c r="AM66" s="848">
        <f t="shared" si="66"/>
        <v>0</v>
      </c>
      <c r="AN66" s="848">
        <f t="shared" si="66"/>
        <v>0</v>
      </c>
      <c r="AO66" s="848">
        <f t="shared" si="66"/>
        <v>0</v>
      </c>
      <c r="AP66" s="848">
        <f t="shared" si="66"/>
        <v>0</v>
      </c>
      <c r="AQ66" s="848">
        <f t="shared" si="66"/>
        <v>0</v>
      </c>
      <c r="AR66" s="848">
        <f t="shared" si="66"/>
        <v>0</v>
      </c>
      <c r="AS66" s="848">
        <f t="shared" si="66"/>
        <v>0</v>
      </c>
      <c r="AT66" s="848">
        <f t="shared" si="66"/>
        <v>1600</v>
      </c>
      <c r="AU66" s="848">
        <f t="shared" si="66"/>
        <v>0</v>
      </c>
      <c r="AV66" s="848">
        <f t="shared" si="66"/>
        <v>0</v>
      </c>
      <c r="AW66" s="848">
        <f t="shared" si="66"/>
        <v>0</v>
      </c>
      <c r="AX66" s="848">
        <f t="shared" si="66"/>
        <v>5257</v>
      </c>
      <c r="AY66" s="848">
        <f t="shared" si="66"/>
        <v>430</v>
      </c>
      <c r="AZ66" s="848">
        <f t="shared" si="66"/>
        <v>0</v>
      </c>
      <c r="BA66" s="848">
        <f t="shared" si="66"/>
        <v>0</v>
      </c>
      <c r="BB66" s="848">
        <f t="shared" si="66"/>
        <v>0</v>
      </c>
      <c r="BC66" s="848">
        <f t="shared" si="66"/>
        <v>0</v>
      </c>
      <c r="BD66" s="848">
        <f t="shared" si="66"/>
        <v>0</v>
      </c>
      <c r="BE66" s="848">
        <f t="shared" si="66"/>
        <v>0</v>
      </c>
      <c r="BF66" s="848">
        <f t="shared" si="66"/>
        <v>0</v>
      </c>
      <c r="BG66" s="848">
        <f t="shared" si="66"/>
        <v>0</v>
      </c>
      <c r="BH66" s="848">
        <f t="shared" si="66"/>
        <v>0</v>
      </c>
      <c r="BI66" s="848">
        <f t="shared" si="66"/>
        <v>0</v>
      </c>
      <c r="BJ66" s="848">
        <f t="shared" si="66"/>
        <v>0</v>
      </c>
      <c r="BK66" s="848">
        <f t="shared" si="66"/>
        <v>0</v>
      </c>
      <c r="BL66" s="848">
        <f t="shared" si="66"/>
        <v>0</v>
      </c>
      <c r="BM66" s="848">
        <f t="shared" si="66"/>
        <v>0</v>
      </c>
      <c r="BN66" s="848">
        <f t="shared" si="66"/>
        <v>430</v>
      </c>
      <c r="BO66" s="848">
        <f t="shared" si="9"/>
        <v>430</v>
      </c>
      <c r="BP66" s="848">
        <f t="shared" si="66"/>
        <v>0</v>
      </c>
      <c r="BQ66" s="848">
        <f t="shared" si="66"/>
        <v>0</v>
      </c>
      <c r="BR66" s="848">
        <f t="shared" si="66"/>
        <v>0</v>
      </c>
      <c r="BS66" s="848">
        <f>BS67+BS68</f>
        <v>0</v>
      </c>
      <c r="BT66" s="848">
        <f t="shared" si="66"/>
        <v>0</v>
      </c>
      <c r="BU66" s="848">
        <f t="shared" ref="BU66:CS66" si="67">BU67+BU68</f>
        <v>0</v>
      </c>
      <c r="BV66" s="848">
        <f t="shared" si="67"/>
        <v>0</v>
      </c>
      <c r="BW66" s="848">
        <f t="shared" si="67"/>
        <v>0</v>
      </c>
      <c r="BX66" s="848">
        <f t="shared" si="67"/>
        <v>0</v>
      </c>
      <c r="BY66" s="848">
        <f t="shared" si="67"/>
        <v>0</v>
      </c>
      <c r="BZ66" s="848">
        <f t="shared" si="67"/>
        <v>0</v>
      </c>
      <c r="CA66" s="848">
        <f t="shared" si="67"/>
        <v>0</v>
      </c>
      <c r="CB66" s="848">
        <f t="shared" si="67"/>
        <v>0</v>
      </c>
      <c r="CC66" s="848">
        <f t="shared" si="67"/>
        <v>0</v>
      </c>
      <c r="CD66" s="848">
        <f t="shared" si="67"/>
        <v>0</v>
      </c>
      <c r="CE66" s="848">
        <f t="shared" si="67"/>
        <v>430</v>
      </c>
      <c r="CF66" s="848">
        <f t="shared" si="67"/>
        <v>200</v>
      </c>
      <c r="CG66" s="848"/>
      <c r="CH66" s="848"/>
      <c r="CI66" s="848"/>
      <c r="CJ66" s="848"/>
      <c r="CK66" s="848"/>
      <c r="CL66" s="848"/>
      <c r="CM66" s="848"/>
      <c r="CN66" s="848"/>
      <c r="CO66" s="848"/>
      <c r="CP66" s="848"/>
      <c r="CQ66" s="848"/>
      <c r="CR66" s="848"/>
      <c r="CS66" s="848">
        <f t="shared" si="67"/>
        <v>0</v>
      </c>
      <c r="CT66" s="848"/>
      <c r="CU66" s="848"/>
      <c r="CV66" s="848"/>
      <c r="CW66" s="848">
        <f t="shared" si="52"/>
        <v>100</v>
      </c>
    </row>
    <row r="67" spans="1:101" ht="39" customHeight="1">
      <c r="A67" s="845"/>
      <c r="B67" s="852" t="s">
        <v>457</v>
      </c>
      <c r="C67" s="852" t="s">
        <v>458</v>
      </c>
      <c r="D67" s="846"/>
      <c r="E67" s="845"/>
      <c r="F67" s="853">
        <v>2013</v>
      </c>
      <c r="G67" s="846" t="s">
        <v>459</v>
      </c>
      <c r="H67" s="850">
        <f>SUM(I67:S67)</f>
        <v>5033</v>
      </c>
      <c r="I67" s="860"/>
      <c r="J67" s="848"/>
      <c r="K67" s="848"/>
      <c r="L67" s="848"/>
      <c r="M67" s="848"/>
      <c r="N67" s="848"/>
      <c r="O67" s="848"/>
      <c r="P67" s="848"/>
      <c r="Q67" s="848"/>
      <c r="R67" s="848"/>
      <c r="S67" s="855">
        <v>5033</v>
      </c>
      <c r="T67" s="855">
        <f t="shared" si="19"/>
        <v>4136.5510000000004</v>
      </c>
      <c r="U67" s="848"/>
      <c r="V67" s="848"/>
      <c r="W67" s="848"/>
      <c r="X67" s="848"/>
      <c r="Y67" s="848"/>
      <c r="Z67" s="848"/>
      <c r="AA67" s="848"/>
      <c r="AB67" s="848"/>
      <c r="AC67" s="848"/>
      <c r="AD67" s="848"/>
      <c r="AE67" s="848"/>
      <c r="AF67" s="848"/>
      <c r="AG67" s="848"/>
      <c r="AH67" s="855">
        <v>4136.5510000000004</v>
      </c>
      <c r="AI67" s="855">
        <f>AX67</f>
        <v>4137</v>
      </c>
      <c r="AJ67" s="855"/>
      <c r="AK67" s="855"/>
      <c r="AL67" s="855"/>
      <c r="AM67" s="855"/>
      <c r="AN67" s="855"/>
      <c r="AO67" s="855"/>
      <c r="AP67" s="855"/>
      <c r="AQ67" s="855"/>
      <c r="AR67" s="855"/>
      <c r="AS67" s="855"/>
      <c r="AT67" s="855"/>
      <c r="AU67" s="855"/>
      <c r="AV67" s="855"/>
      <c r="AW67" s="855"/>
      <c r="AX67" s="855">
        <v>4137</v>
      </c>
      <c r="AY67" s="855">
        <f>BN67</f>
        <v>230</v>
      </c>
      <c r="AZ67" s="855"/>
      <c r="BA67" s="855"/>
      <c r="BB67" s="855"/>
      <c r="BC67" s="855"/>
      <c r="BD67" s="855"/>
      <c r="BE67" s="855"/>
      <c r="BF67" s="855"/>
      <c r="BG67" s="855"/>
      <c r="BH67" s="855"/>
      <c r="BI67" s="855"/>
      <c r="BJ67" s="855"/>
      <c r="BK67" s="855"/>
      <c r="BL67" s="855"/>
      <c r="BM67" s="855"/>
      <c r="BN67" s="855">
        <f>'[10]bieu cu'!H38</f>
        <v>230</v>
      </c>
      <c r="BO67" s="848">
        <f t="shared" si="9"/>
        <v>230</v>
      </c>
      <c r="BP67" s="855"/>
      <c r="BQ67" s="855"/>
      <c r="BR67" s="855"/>
      <c r="BS67" s="855"/>
      <c r="BT67" s="855"/>
      <c r="BU67" s="855"/>
      <c r="BV67" s="855"/>
      <c r="BW67" s="855"/>
      <c r="BX67" s="855"/>
      <c r="BY67" s="855"/>
      <c r="BZ67" s="855"/>
      <c r="CA67" s="855"/>
      <c r="CB67" s="855"/>
      <c r="CC67" s="855"/>
      <c r="CD67" s="855"/>
      <c r="CE67" s="855">
        <f>'[10]bieu cu'!M38</f>
        <v>230</v>
      </c>
      <c r="CF67" s="848">
        <f t="shared" si="11"/>
        <v>100.00000000000001</v>
      </c>
      <c r="CG67" s="848"/>
      <c r="CH67" s="848"/>
      <c r="CI67" s="848"/>
      <c r="CJ67" s="848"/>
      <c r="CK67" s="848"/>
      <c r="CL67" s="848"/>
      <c r="CM67" s="848"/>
      <c r="CN67" s="848"/>
      <c r="CO67" s="848"/>
      <c r="CP67" s="848"/>
      <c r="CQ67" s="848"/>
      <c r="CR67" s="848"/>
      <c r="CS67" s="848"/>
      <c r="CT67" s="848"/>
      <c r="CU67" s="848"/>
      <c r="CV67" s="848"/>
      <c r="CW67" s="848">
        <f t="shared" si="52"/>
        <v>100</v>
      </c>
    </row>
    <row r="68" spans="1:101" ht="46.15" customHeight="1">
      <c r="A68" s="845"/>
      <c r="B68" s="852" t="s">
        <v>457</v>
      </c>
      <c r="C68" s="852" t="s">
        <v>460</v>
      </c>
      <c r="D68" s="846"/>
      <c r="E68" s="845"/>
      <c r="F68" s="853" t="s">
        <v>412</v>
      </c>
      <c r="G68" s="846" t="s">
        <v>461</v>
      </c>
      <c r="H68" s="850">
        <f t="shared" si="15"/>
        <v>3108</v>
      </c>
      <c r="I68" s="863"/>
      <c r="J68" s="848"/>
      <c r="K68" s="848"/>
      <c r="L68" s="848"/>
      <c r="M68" s="848"/>
      <c r="N68" s="848"/>
      <c r="O68" s="848"/>
      <c r="P68" s="848"/>
      <c r="Q68" s="848"/>
      <c r="R68" s="848"/>
      <c r="S68" s="855">
        <v>3108</v>
      </c>
      <c r="T68" s="855">
        <f t="shared" si="19"/>
        <v>1600</v>
      </c>
      <c r="U68" s="848"/>
      <c r="V68" s="848"/>
      <c r="W68" s="848"/>
      <c r="X68" s="848"/>
      <c r="Y68" s="848"/>
      <c r="Z68" s="848"/>
      <c r="AA68" s="848"/>
      <c r="AB68" s="848"/>
      <c r="AC68" s="848"/>
      <c r="AD68" s="848"/>
      <c r="AE68" s="848"/>
      <c r="AF68" s="855">
        <v>1600</v>
      </c>
      <c r="AG68" s="848"/>
      <c r="AH68" s="855"/>
      <c r="AI68" s="855">
        <f>AT68+AX68</f>
        <v>2720</v>
      </c>
      <c r="AJ68" s="855"/>
      <c r="AK68" s="855"/>
      <c r="AL68" s="855"/>
      <c r="AM68" s="855"/>
      <c r="AN68" s="855"/>
      <c r="AO68" s="855"/>
      <c r="AP68" s="855"/>
      <c r="AQ68" s="855"/>
      <c r="AR68" s="855"/>
      <c r="AS68" s="855"/>
      <c r="AT68" s="855">
        <v>1600</v>
      </c>
      <c r="AU68" s="855"/>
      <c r="AV68" s="855"/>
      <c r="AW68" s="855"/>
      <c r="AX68" s="855">
        <v>1120</v>
      </c>
      <c r="AY68" s="855">
        <f t="shared" ref="AY68" si="68">SUM(AZ68:BN68)</f>
        <v>200</v>
      </c>
      <c r="AZ68" s="855"/>
      <c r="BA68" s="855"/>
      <c r="BB68" s="855"/>
      <c r="BC68" s="855"/>
      <c r="BD68" s="855"/>
      <c r="BE68" s="855"/>
      <c r="BF68" s="855"/>
      <c r="BG68" s="855"/>
      <c r="BH68" s="855"/>
      <c r="BI68" s="855"/>
      <c r="BJ68" s="855"/>
      <c r="BK68" s="855"/>
      <c r="BL68" s="855"/>
      <c r="BM68" s="855"/>
      <c r="BN68" s="855">
        <f>'[10]bieu cu'!H89</f>
        <v>200</v>
      </c>
      <c r="BO68" s="848">
        <f t="shared" si="9"/>
        <v>200</v>
      </c>
      <c r="BP68" s="855"/>
      <c r="BQ68" s="855"/>
      <c r="BR68" s="855"/>
      <c r="BS68" s="855"/>
      <c r="BT68" s="855"/>
      <c r="BU68" s="855"/>
      <c r="BV68" s="855"/>
      <c r="BW68" s="855"/>
      <c r="BX68" s="855"/>
      <c r="BY68" s="855"/>
      <c r="BZ68" s="855"/>
      <c r="CA68" s="855"/>
      <c r="CB68" s="855"/>
      <c r="CC68" s="855"/>
      <c r="CD68" s="855"/>
      <c r="CE68" s="855">
        <f>'[10]bieu cu'!M89</f>
        <v>200</v>
      </c>
      <c r="CF68" s="848">
        <f t="shared" si="11"/>
        <v>100</v>
      </c>
      <c r="CG68" s="848"/>
      <c r="CH68" s="848"/>
      <c r="CI68" s="848"/>
      <c r="CJ68" s="848"/>
      <c r="CK68" s="848"/>
      <c r="CL68" s="848"/>
      <c r="CM68" s="848"/>
      <c r="CN68" s="848"/>
      <c r="CO68" s="848"/>
      <c r="CP68" s="848"/>
      <c r="CQ68" s="848"/>
      <c r="CR68" s="848"/>
      <c r="CS68" s="848"/>
      <c r="CT68" s="848"/>
      <c r="CU68" s="848"/>
      <c r="CV68" s="848"/>
      <c r="CW68" s="848">
        <f t="shared" si="52"/>
        <v>100</v>
      </c>
    </row>
    <row r="69" spans="1:101" s="851" customFormat="1" ht="36.6" customHeight="1">
      <c r="A69" s="845"/>
      <c r="B69" s="857"/>
      <c r="C69" s="857" t="s">
        <v>462</v>
      </c>
      <c r="D69" s="846">
        <f>D70</f>
        <v>0</v>
      </c>
      <c r="E69" s="845">
        <f t="shared" ref="E69" si="69">E70</f>
        <v>0</v>
      </c>
      <c r="F69" s="847"/>
      <c r="G69" s="845"/>
      <c r="H69" s="850">
        <f>SUM(I69:S69)</f>
        <v>22066</v>
      </c>
      <c r="I69" s="848">
        <f t="shared" ref="I69:BT69" si="70">I70</f>
        <v>0</v>
      </c>
      <c r="J69" s="848">
        <f t="shared" si="70"/>
        <v>0</v>
      </c>
      <c r="K69" s="848">
        <f t="shared" si="70"/>
        <v>0</v>
      </c>
      <c r="L69" s="848">
        <f t="shared" si="70"/>
        <v>0</v>
      </c>
      <c r="M69" s="848">
        <f t="shared" si="70"/>
        <v>0</v>
      </c>
      <c r="N69" s="848">
        <f t="shared" si="70"/>
        <v>0</v>
      </c>
      <c r="O69" s="848">
        <f t="shared" si="70"/>
        <v>0</v>
      </c>
      <c r="P69" s="848">
        <f t="shared" si="70"/>
        <v>0</v>
      </c>
      <c r="Q69" s="848">
        <f t="shared" si="70"/>
        <v>0</v>
      </c>
      <c r="R69" s="848">
        <v>0</v>
      </c>
      <c r="S69" s="848">
        <f t="shared" si="70"/>
        <v>22066</v>
      </c>
      <c r="T69" s="848">
        <f t="shared" si="70"/>
        <v>10939.999943999999</v>
      </c>
      <c r="U69" s="848">
        <f t="shared" si="70"/>
        <v>5969.9999719999996</v>
      </c>
      <c r="V69" s="848">
        <f t="shared" si="70"/>
        <v>0</v>
      </c>
      <c r="W69" s="848">
        <f t="shared" si="70"/>
        <v>2969.9999720000001</v>
      </c>
      <c r="X69" s="848">
        <f t="shared" si="70"/>
        <v>0</v>
      </c>
      <c r="Y69" s="848">
        <f t="shared" si="70"/>
        <v>0</v>
      </c>
      <c r="Z69" s="848">
        <f t="shared" si="70"/>
        <v>0</v>
      </c>
      <c r="AA69" s="848">
        <f t="shared" si="70"/>
        <v>0</v>
      </c>
      <c r="AB69" s="848">
        <f t="shared" si="70"/>
        <v>0</v>
      </c>
      <c r="AC69" s="848">
        <f t="shared" si="70"/>
        <v>0</v>
      </c>
      <c r="AD69" s="848">
        <f t="shared" si="70"/>
        <v>0</v>
      </c>
      <c r="AE69" s="848">
        <f t="shared" si="70"/>
        <v>0</v>
      </c>
      <c r="AF69" s="848">
        <f t="shared" si="70"/>
        <v>0</v>
      </c>
      <c r="AG69" s="848">
        <f t="shared" si="70"/>
        <v>0</v>
      </c>
      <c r="AH69" s="848">
        <f t="shared" si="70"/>
        <v>2000</v>
      </c>
      <c r="AI69" s="848">
        <f t="shared" si="70"/>
        <v>8074</v>
      </c>
      <c r="AJ69" s="848">
        <f t="shared" si="70"/>
        <v>3000</v>
      </c>
      <c r="AK69" s="848">
        <f t="shared" si="70"/>
        <v>0</v>
      </c>
      <c r="AL69" s="848">
        <f t="shared" si="70"/>
        <v>2570</v>
      </c>
      <c r="AM69" s="848">
        <f t="shared" si="70"/>
        <v>0</v>
      </c>
      <c r="AN69" s="848">
        <f t="shared" si="70"/>
        <v>0</v>
      </c>
      <c r="AO69" s="848">
        <f t="shared" si="70"/>
        <v>0</v>
      </c>
      <c r="AP69" s="848">
        <f t="shared" si="70"/>
        <v>0</v>
      </c>
      <c r="AQ69" s="848">
        <f t="shared" si="70"/>
        <v>0</v>
      </c>
      <c r="AR69" s="848">
        <f t="shared" si="70"/>
        <v>0</v>
      </c>
      <c r="AS69" s="848">
        <f t="shared" si="70"/>
        <v>0</v>
      </c>
      <c r="AT69" s="848">
        <f t="shared" si="70"/>
        <v>0</v>
      </c>
      <c r="AU69" s="848">
        <f t="shared" si="70"/>
        <v>0</v>
      </c>
      <c r="AV69" s="848">
        <f t="shared" si="70"/>
        <v>0</v>
      </c>
      <c r="AW69" s="848">
        <f t="shared" si="70"/>
        <v>0</v>
      </c>
      <c r="AX69" s="848">
        <f t="shared" si="70"/>
        <v>2504</v>
      </c>
      <c r="AY69" s="848">
        <f t="shared" si="70"/>
        <v>500</v>
      </c>
      <c r="AZ69" s="848">
        <f t="shared" si="70"/>
        <v>0</v>
      </c>
      <c r="BA69" s="848">
        <f t="shared" si="70"/>
        <v>0</v>
      </c>
      <c r="BB69" s="848">
        <f t="shared" si="70"/>
        <v>0</v>
      </c>
      <c r="BC69" s="848">
        <f t="shared" si="70"/>
        <v>0</v>
      </c>
      <c r="BD69" s="848">
        <f t="shared" si="70"/>
        <v>0</v>
      </c>
      <c r="BE69" s="848">
        <f t="shared" si="70"/>
        <v>0</v>
      </c>
      <c r="BF69" s="848">
        <f t="shared" si="70"/>
        <v>0</v>
      </c>
      <c r="BG69" s="848">
        <f t="shared" si="70"/>
        <v>0</v>
      </c>
      <c r="BH69" s="848">
        <f t="shared" si="70"/>
        <v>0</v>
      </c>
      <c r="BI69" s="848">
        <f t="shared" si="70"/>
        <v>0</v>
      </c>
      <c r="BJ69" s="848">
        <f t="shared" si="70"/>
        <v>0</v>
      </c>
      <c r="BK69" s="848">
        <f t="shared" si="70"/>
        <v>500</v>
      </c>
      <c r="BL69" s="848">
        <f t="shared" si="70"/>
        <v>0</v>
      </c>
      <c r="BM69" s="848">
        <f t="shared" si="70"/>
        <v>0</v>
      </c>
      <c r="BN69" s="848">
        <f t="shared" si="70"/>
        <v>0</v>
      </c>
      <c r="BO69" s="848">
        <f t="shared" si="9"/>
        <v>500</v>
      </c>
      <c r="BP69" s="848">
        <f t="shared" si="70"/>
        <v>0</v>
      </c>
      <c r="BQ69" s="848">
        <f t="shared" si="70"/>
        <v>0</v>
      </c>
      <c r="BR69" s="848">
        <f t="shared" si="70"/>
        <v>0</v>
      </c>
      <c r="BS69" s="848">
        <f>BS70</f>
        <v>0</v>
      </c>
      <c r="BT69" s="848">
        <f t="shared" si="70"/>
        <v>0</v>
      </c>
      <c r="BU69" s="848">
        <f t="shared" ref="BU69:CS69" si="71">BU70</f>
        <v>0</v>
      </c>
      <c r="BV69" s="848">
        <f t="shared" si="71"/>
        <v>0</v>
      </c>
      <c r="BW69" s="848">
        <f t="shared" si="71"/>
        <v>0</v>
      </c>
      <c r="BX69" s="848">
        <f t="shared" si="71"/>
        <v>0</v>
      </c>
      <c r="BY69" s="848">
        <f t="shared" si="71"/>
        <v>0</v>
      </c>
      <c r="BZ69" s="848">
        <f t="shared" si="71"/>
        <v>0</v>
      </c>
      <c r="CA69" s="848">
        <f t="shared" si="71"/>
        <v>500</v>
      </c>
      <c r="CB69" s="848">
        <f t="shared" si="71"/>
        <v>0</v>
      </c>
      <c r="CC69" s="848">
        <f t="shared" si="71"/>
        <v>0</v>
      </c>
      <c r="CD69" s="848">
        <f t="shared" si="71"/>
        <v>0</v>
      </c>
      <c r="CE69" s="848">
        <f t="shared" si="71"/>
        <v>0</v>
      </c>
      <c r="CF69" s="848">
        <f t="shared" si="71"/>
        <v>100</v>
      </c>
      <c r="CG69" s="848"/>
      <c r="CH69" s="848"/>
      <c r="CI69" s="848"/>
      <c r="CJ69" s="848"/>
      <c r="CK69" s="848"/>
      <c r="CL69" s="848"/>
      <c r="CM69" s="848"/>
      <c r="CN69" s="848"/>
      <c r="CO69" s="848"/>
      <c r="CP69" s="848"/>
      <c r="CQ69" s="848"/>
      <c r="CR69" s="848">
        <f t="shared" si="35"/>
        <v>100</v>
      </c>
      <c r="CS69" s="848">
        <f t="shared" si="71"/>
        <v>0</v>
      </c>
      <c r="CT69" s="848"/>
      <c r="CU69" s="848"/>
      <c r="CV69" s="848"/>
      <c r="CW69" s="848"/>
    </row>
    <row r="70" spans="1:101" ht="36.6" customHeight="1">
      <c r="A70" s="845"/>
      <c r="B70" s="852" t="s">
        <v>457</v>
      </c>
      <c r="C70" s="852" t="s">
        <v>463</v>
      </c>
      <c r="D70" s="846"/>
      <c r="E70" s="845"/>
      <c r="F70" s="853">
        <v>2012</v>
      </c>
      <c r="G70" s="854" t="s">
        <v>464</v>
      </c>
      <c r="H70" s="850">
        <f t="shared" si="15"/>
        <v>22066</v>
      </c>
      <c r="I70" s="850"/>
      <c r="J70" s="848"/>
      <c r="K70" s="848"/>
      <c r="L70" s="848"/>
      <c r="M70" s="848"/>
      <c r="N70" s="848"/>
      <c r="O70" s="848"/>
      <c r="P70" s="848"/>
      <c r="Q70" s="848"/>
      <c r="R70" s="848"/>
      <c r="S70" s="855">
        <v>22066</v>
      </c>
      <c r="T70" s="855">
        <f t="shared" si="19"/>
        <v>10939.999943999999</v>
      </c>
      <c r="U70" s="855">
        <v>5969.9999719999996</v>
      </c>
      <c r="V70" s="855"/>
      <c r="W70" s="855">
        <v>2969.9999720000001</v>
      </c>
      <c r="X70" s="848"/>
      <c r="Y70" s="848"/>
      <c r="Z70" s="848"/>
      <c r="AA70" s="848"/>
      <c r="AB70" s="848"/>
      <c r="AC70" s="848"/>
      <c r="AD70" s="848"/>
      <c r="AE70" s="848"/>
      <c r="AF70" s="848"/>
      <c r="AG70" s="848"/>
      <c r="AH70" s="855">
        <v>2000</v>
      </c>
      <c r="AI70" s="855">
        <f>AJ70+AL70+AX70</f>
        <v>8074</v>
      </c>
      <c r="AJ70" s="855">
        <v>3000</v>
      </c>
      <c r="AK70" s="855"/>
      <c r="AL70" s="855">
        <v>2570</v>
      </c>
      <c r="AM70" s="855"/>
      <c r="AN70" s="855"/>
      <c r="AO70" s="855"/>
      <c r="AP70" s="855"/>
      <c r="AQ70" s="855"/>
      <c r="AR70" s="855"/>
      <c r="AS70" s="855"/>
      <c r="AT70" s="855"/>
      <c r="AU70" s="855"/>
      <c r="AV70" s="855"/>
      <c r="AW70" s="855"/>
      <c r="AX70" s="855">
        <v>2504</v>
      </c>
      <c r="AY70" s="855">
        <f t="shared" ref="AY70" si="72">SUM(AZ70:BN70)</f>
        <v>500</v>
      </c>
      <c r="AZ70" s="855"/>
      <c r="BA70" s="855"/>
      <c r="BB70" s="855"/>
      <c r="BC70" s="855"/>
      <c r="BD70" s="855"/>
      <c r="BE70" s="855"/>
      <c r="BF70" s="855"/>
      <c r="BG70" s="855"/>
      <c r="BH70" s="855"/>
      <c r="BI70" s="855"/>
      <c r="BJ70" s="855"/>
      <c r="BK70" s="855">
        <v>500</v>
      </c>
      <c r="BL70" s="855"/>
      <c r="BM70" s="855"/>
      <c r="BN70" s="855"/>
      <c r="BO70" s="848">
        <f t="shared" si="9"/>
        <v>500</v>
      </c>
      <c r="BP70" s="855"/>
      <c r="BQ70" s="855"/>
      <c r="BR70" s="855"/>
      <c r="BS70" s="855"/>
      <c r="BT70" s="855"/>
      <c r="BU70" s="855"/>
      <c r="BV70" s="855"/>
      <c r="BW70" s="855"/>
      <c r="BX70" s="855"/>
      <c r="BY70" s="855"/>
      <c r="BZ70" s="855"/>
      <c r="CA70" s="855">
        <v>500</v>
      </c>
      <c r="CB70" s="855"/>
      <c r="CC70" s="855"/>
      <c r="CD70" s="855"/>
      <c r="CE70" s="855"/>
      <c r="CF70" s="848">
        <f t="shared" si="11"/>
        <v>100</v>
      </c>
      <c r="CG70" s="848"/>
      <c r="CH70" s="848"/>
      <c r="CI70" s="848"/>
      <c r="CJ70" s="848"/>
      <c r="CK70" s="848"/>
      <c r="CL70" s="848"/>
      <c r="CM70" s="848"/>
      <c r="CN70" s="848"/>
      <c r="CO70" s="848"/>
      <c r="CP70" s="848"/>
      <c r="CQ70" s="848"/>
      <c r="CR70" s="848">
        <f t="shared" si="35"/>
        <v>100</v>
      </c>
      <c r="CS70" s="848"/>
      <c r="CT70" s="848"/>
      <c r="CU70" s="848"/>
      <c r="CV70" s="848"/>
      <c r="CW70" s="848"/>
    </row>
    <row r="71" spans="1:101" s="851" customFormat="1" ht="24.75" customHeight="1">
      <c r="A71" s="845" t="s">
        <v>139</v>
      </c>
      <c r="B71" s="845"/>
      <c r="C71" s="864" t="s">
        <v>465</v>
      </c>
      <c r="D71" s="846">
        <f>D72</f>
        <v>0</v>
      </c>
      <c r="E71" s="845">
        <f t="shared" ref="E71" si="73">E72</f>
        <v>0</v>
      </c>
      <c r="F71" s="847"/>
      <c r="G71" s="845"/>
      <c r="H71" s="850">
        <f t="shared" si="15"/>
        <v>717</v>
      </c>
      <c r="I71" s="848">
        <f t="shared" ref="I71:BT71" si="74">I72</f>
        <v>0</v>
      </c>
      <c r="J71" s="848">
        <f t="shared" si="74"/>
        <v>0</v>
      </c>
      <c r="K71" s="848">
        <f t="shared" si="74"/>
        <v>0</v>
      </c>
      <c r="L71" s="848">
        <f t="shared" si="74"/>
        <v>0</v>
      </c>
      <c r="M71" s="848">
        <f t="shared" si="74"/>
        <v>0</v>
      </c>
      <c r="N71" s="848">
        <f t="shared" si="74"/>
        <v>0</v>
      </c>
      <c r="O71" s="848">
        <f t="shared" si="74"/>
        <v>0</v>
      </c>
      <c r="P71" s="848">
        <f t="shared" si="74"/>
        <v>0</v>
      </c>
      <c r="Q71" s="848">
        <f t="shared" si="74"/>
        <v>0</v>
      </c>
      <c r="R71" s="848">
        <v>0</v>
      </c>
      <c r="S71" s="848">
        <f t="shared" si="74"/>
        <v>717</v>
      </c>
      <c r="T71" s="848">
        <f t="shared" si="74"/>
        <v>46800.055764999997</v>
      </c>
      <c r="U71" s="848">
        <f t="shared" si="74"/>
        <v>5587.5864239999992</v>
      </c>
      <c r="V71" s="848">
        <f t="shared" si="74"/>
        <v>7101.6</v>
      </c>
      <c r="W71" s="848">
        <f t="shared" si="74"/>
        <v>24110.869341000001</v>
      </c>
      <c r="X71" s="848">
        <f t="shared" si="74"/>
        <v>0</v>
      </c>
      <c r="Y71" s="848">
        <f t="shared" si="74"/>
        <v>0</v>
      </c>
      <c r="Z71" s="848">
        <f t="shared" si="74"/>
        <v>10000</v>
      </c>
      <c r="AA71" s="848">
        <f t="shared" si="74"/>
        <v>0</v>
      </c>
      <c r="AB71" s="848">
        <f t="shared" si="74"/>
        <v>0</v>
      </c>
      <c r="AC71" s="848">
        <f t="shared" si="74"/>
        <v>0</v>
      </c>
      <c r="AD71" s="848">
        <f t="shared" si="74"/>
        <v>0</v>
      </c>
      <c r="AE71" s="848">
        <f t="shared" si="74"/>
        <v>0</v>
      </c>
      <c r="AF71" s="848">
        <f t="shared" si="74"/>
        <v>0</v>
      </c>
      <c r="AG71" s="848">
        <f t="shared" si="74"/>
        <v>0</v>
      </c>
      <c r="AH71" s="848">
        <f t="shared" si="74"/>
        <v>0</v>
      </c>
      <c r="AI71" s="848">
        <f t="shared" si="74"/>
        <v>50440.639124000001</v>
      </c>
      <c r="AJ71" s="848">
        <f t="shared" si="74"/>
        <v>10444.639124000001</v>
      </c>
      <c r="AK71" s="848">
        <f t="shared" si="74"/>
        <v>6026</v>
      </c>
      <c r="AL71" s="848">
        <f t="shared" si="74"/>
        <v>21945</v>
      </c>
      <c r="AM71" s="848">
        <f t="shared" si="74"/>
        <v>0</v>
      </c>
      <c r="AN71" s="848">
        <f t="shared" si="74"/>
        <v>0</v>
      </c>
      <c r="AO71" s="848">
        <f t="shared" si="74"/>
        <v>10000</v>
      </c>
      <c r="AP71" s="848">
        <f t="shared" si="74"/>
        <v>0</v>
      </c>
      <c r="AQ71" s="848">
        <f t="shared" si="74"/>
        <v>0</v>
      </c>
      <c r="AR71" s="848">
        <f t="shared" si="74"/>
        <v>0</v>
      </c>
      <c r="AS71" s="848">
        <f t="shared" si="74"/>
        <v>2000</v>
      </c>
      <c r="AT71" s="848">
        <f t="shared" si="74"/>
        <v>0</v>
      </c>
      <c r="AU71" s="848">
        <f t="shared" si="74"/>
        <v>0</v>
      </c>
      <c r="AV71" s="848">
        <f t="shared" si="74"/>
        <v>0</v>
      </c>
      <c r="AW71" s="848">
        <f t="shared" si="74"/>
        <v>0</v>
      </c>
      <c r="AX71" s="848">
        <f t="shared" si="74"/>
        <v>25</v>
      </c>
      <c r="AY71" s="848">
        <f t="shared" si="74"/>
        <v>1</v>
      </c>
      <c r="AZ71" s="848">
        <f t="shared" si="74"/>
        <v>0</v>
      </c>
      <c r="BA71" s="848">
        <f t="shared" si="74"/>
        <v>0</v>
      </c>
      <c r="BB71" s="848">
        <f t="shared" si="74"/>
        <v>0</v>
      </c>
      <c r="BC71" s="848">
        <f t="shared" si="74"/>
        <v>0</v>
      </c>
      <c r="BD71" s="848">
        <f t="shared" si="74"/>
        <v>0</v>
      </c>
      <c r="BE71" s="848">
        <f t="shared" si="74"/>
        <v>0</v>
      </c>
      <c r="BF71" s="848">
        <f t="shared" si="74"/>
        <v>0</v>
      </c>
      <c r="BG71" s="848">
        <f t="shared" si="74"/>
        <v>0</v>
      </c>
      <c r="BH71" s="848">
        <f t="shared" si="74"/>
        <v>0</v>
      </c>
      <c r="BI71" s="848">
        <f t="shared" si="74"/>
        <v>0</v>
      </c>
      <c r="BJ71" s="848">
        <f t="shared" si="74"/>
        <v>0</v>
      </c>
      <c r="BK71" s="848">
        <f t="shared" si="74"/>
        <v>0</v>
      </c>
      <c r="BL71" s="848">
        <f t="shared" si="74"/>
        <v>0</v>
      </c>
      <c r="BM71" s="848">
        <f t="shared" si="74"/>
        <v>0</v>
      </c>
      <c r="BN71" s="848">
        <f t="shared" si="74"/>
        <v>1</v>
      </c>
      <c r="BO71" s="848">
        <f t="shared" si="9"/>
        <v>4378.3618020000013</v>
      </c>
      <c r="BP71" s="848">
        <f t="shared" si="74"/>
        <v>4156.3618020000013</v>
      </c>
      <c r="BQ71" s="848">
        <f t="shared" si="74"/>
        <v>0</v>
      </c>
      <c r="BR71" s="848">
        <f t="shared" si="74"/>
        <v>0</v>
      </c>
      <c r="BS71" s="848">
        <f>BS72</f>
        <v>0</v>
      </c>
      <c r="BT71" s="848">
        <f t="shared" si="74"/>
        <v>0</v>
      </c>
      <c r="BU71" s="848">
        <f t="shared" ref="BU71:CS71" si="75">BU72</f>
        <v>222</v>
      </c>
      <c r="BV71" s="848">
        <f t="shared" si="75"/>
        <v>0</v>
      </c>
      <c r="BW71" s="848">
        <f t="shared" si="75"/>
        <v>0</v>
      </c>
      <c r="BX71" s="848">
        <f t="shared" si="75"/>
        <v>0</v>
      </c>
      <c r="BY71" s="848">
        <f t="shared" si="75"/>
        <v>0</v>
      </c>
      <c r="BZ71" s="848">
        <f t="shared" si="75"/>
        <v>0</v>
      </c>
      <c r="CA71" s="848">
        <f t="shared" si="75"/>
        <v>0</v>
      </c>
      <c r="CB71" s="848">
        <f t="shared" si="75"/>
        <v>0</v>
      </c>
      <c r="CC71" s="848">
        <f t="shared" si="75"/>
        <v>0</v>
      </c>
      <c r="CD71" s="848">
        <f t="shared" si="75"/>
        <v>0</v>
      </c>
      <c r="CE71" s="848">
        <f t="shared" si="75"/>
        <v>0</v>
      </c>
      <c r="CF71" s="848"/>
      <c r="CG71" s="848"/>
      <c r="CH71" s="848"/>
      <c r="CI71" s="848"/>
      <c r="CJ71" s="848"/>
      <c r="CK71" s="848"/>
      <c r="CL71" s="848"/>
      <c r="CM71" s="848"/>
      <c r="CN71" s="848"/>
      <c r="CO71" s="848"/>
      <c r="CP71" s="848"/>
      <c r="CQ71" s="848"/>
      <c r="CR71" s="848"/>
      <c r="CS71" s="848">
        <f t="shared" si="75"/>
        <v>0</v>
      </c>
      <c r="CT71" s="848"/>
      <c r="CU71" s="848"/>
      <c r="CV71" s="848"/>
      <c r="CW71" s="848">
        <f t="shared" si="52"/>
        <v>0</v>
      </c>
    </row>
    <row r="72" spans="1:101" s="851" customFormat="1" ht="24.75" customHeight="1">
      <c r="A72" s="845"/>
      <c r="B72" s="845"/>
      <c r="C72" s="864" t="s">
        <v>358</v>
      </c>
      <c r="D72" s="846">
        <f>SUM(D73:D106)</f>
        <v>0</v>
      </c>
      <c r="E72" s="845">
        <f t="shared" ref="E72" si="76">SUM(E73:E106)</f>
        <v>0</v>
      </c>
      <c r="F72" s="847"/>
      <c r="G72" s="845"/>
      <c r="H72" s="850">
        <f t="shared" si="15"/>
        <v>717</v>
      </c>
      <c r="I72" s="848">
        <f t="shared" ref="I72:BT72" si="77">SUM(I73:I106)</f>
        <v>0</v>
      </c>
      <c r="J72" s="848">
        <f t="shared" si="77"/>
        <v>0</v>
      </c>
      <c r="K72" s="848">
        <f t="shared" si="77"/>
        <v>0</v>
      </c>
      <c r="L72" s="848">
        <f t="shared" si="77"/>
        <v>0</v>
      </c>
      <c r="M72" s="848">
        <f t="shared" si="77"/>
        <v>0</v>
      </c>
      <c r="N72" s="848">
        <f t="shared" si="77"/>
        <v>0</v>
      </c>
      <c r="O72" s="848">
        <f t="shared" si="77"/>
        <v>0</v>
      </c>
      <c r="P72" s="848">
        <f t="shared" si="77"/>
        <v>0</v>
      </c>
      <c r="Q72" s="848">
        <f t="shared" si="77"/>
        <v>0</v>
      </c>
      <c r="R72" s="848">
        <v>0</v>
      </c>
      <c r="S72" s="848">
        <f t="shared" si="77"/>
        <v>717</v>
      </c>
      <c r="T72" s="848">
        <f t="shared" si="77"/>
        <v>46800.055764999997</v>
      </c>
      <c r="U72" s="848">
        <f t="shared" si="77"/>
        <v>5587.5864239999992</v>
      </c>
      <c r="V72" s="848">
        <f t="shared" si="77"/>
        <v>7101.6</v>
      </c>
      <c r="W72" s="848">
        <f t="shared" si="77"/>
        <v>24110.869341000001</v>
      </c>
      <c r="X72" s="848">
        <f t="shared" si="77"/>
        <v>0</v>
      </c>
      <c r="Y72" s="848">
        <f t="shared" si="77"/>
        <v>0</v>
      </c>
      <c r="Z72" s="848">
        <f t="shared" si="77"/>
        <v>10000</v>
      </c>
      <c r="AA72" s="848">
        <f t="shared" si="77"/>
        <v>0</v>
      </c>
      <c r="AB72" s="848">
        <f t="shared" si="77"/>
        <v>0</v>
      </c>
      <c r="AC72" s="848">
        <f t="shared" si="77"/>
        <v>0</v>
      </c>
      <c r="AD72" s="848">
        <f t="shared" si="77"/>
        <v>0</v>
      </c>
      <c r="AE72" s="848">
        <f t="shared" si="77"/>
        <v>0</v>
      </c>
      <c r="AF72" s="848">
        <f t="shared" si="77"/>
        <v>0</v>
      </c>
      <c r="AG72" s="848">
        <f t="shared" si="77"/>
        <v>0</v>
      </c>
      <c r="AH72" s="848">
        <f t="shared" si="77"/>
        <v>0</v>
      </c>
      <c r="AI72" s="848">
        <f>SUM(AI73:AI106)</f>
        <v>50440.639124000001</v>
      </c>
      <c r="AJ72" s="848">
        <f t="shared" si="77"/>
        <v>10444.639124000001</v>
      </c>
      <c r="AK72" s="848">
        <f t="shared" si="77"/>
        <v>6026</v>
      </c>
      <c r="AL72" s="848">
        <f t="shared" si="77"/>
        <v>21945</v>
      </c>
      <c r="AM72" s="848">
        <f t="shared" si="77"/>
        <v>0</v>
      </c>
      <c r="AN72" s="848">
        <f t="shared" si="77"/>
        <v>0</v>
      </c>
      <c r="AO72" s="848">
        <f t="shared" si="77"/>
        <v>10000</v>
      </c>
      <c r="AP72" s="848">
        <f t="shared" si="77"/>
        <v>0</v>
      </c>
      <c r="AQ72" s="848">
        <f t="shared" si="77"/>
        <v>0</v>
      </c>
      <c r="AR72" s="848">
        <f t="shared" si="77"/>
        <v>0</v>
      </c>
      <c r="AS72" s="848">
        <f t="shared" si="77"/>
        <v>2000</v>
      </c>
      <c r="AT72" s="848">
        <f t="shared" si="77"/>
        <v>0</v>
      </c>
      <c r="AU72" s="848">
        <f t="shared" si="77"/>
        <v>0</v>
      </c>
      <c r="AV72" s="848">
        <f t="shared" si="77"/>
        <v>0</v>
      </c>
      <c r="AW72" s="848">
        <f t="shared" si="77"/>
        <v>0</v>
      </c>
      <c r="AX72" s="848">
        <f t="shared" si="77"/>
        <v>25</v>
      </c>
      <c r="AY72" s="848">
        <f t="shared" si="77"/>
        <v>1</v>
      </c>
      <c r="AZ72" s="848">
        <f t="shared" si="77"/>
        <v>0</v>
      </c>
      <c r="BA72" s="848">
        <f t="shared" si="77"/>
        <v>0</v>
      </c>
      <c r="BB72" s="848">
        <f t="shared" si="77"/>
        <v>0</v>
      </c>
      <c r="BC72" s="848">
        <f t="shared" si="77"/>
        <v>0</v>
      </c>
      <c r="BD72" s="848">
        <f t="shared" si="77"/>
        <v>0</v>
      </c>
      <c r="BE72" s="848">
        <f t="shared" si="77"/>
        <v>0</v>
      </c>
      <c r="BF72" s="848">
        <f t="shared" si="77"/>
        <v>0</v>
      </c>
      <c r="BG72" s="848">
        <f t="shared" si="77"/>
        <v>0</v>
      </c>
      <c r="BH72" s="848">
        <f t="shared" si="77"/>
        <v>0</v>
      </c>
      <c r="BI72" s="848">
        <f t="shared" si="77"/>
        <v>0</v>
      </c>
      <c r="BJ72" s="848">
        <f t="shared" si="77"/>
        <v>0</v>
      </c>
      <c r="BK72" s="848">
        <f t="shared" si="77"/>
        <v>0</v>
      </c>
      <c r="BL72" s="848">
        <f t="shared" si="77"/>
        <v>0</v>
      </c>
      <c r="BM72" s="848">
        <f t="shared" si="77"/>
        <v>0</v>
      </c>
      <c r="BN72" s="848">
        <f t="shared" si="77"/>
        <v>1</v>
      </c>
      <c r="BO72" s="848">
        <f t="shared" si="9"/>
        <v>4378.3618020000013</v>
      </c>
      <c r="BP72" s="848">
        <f t="shared" si="77"/>
        <v>4156.3618020000013</v>
      </c>
      <c r="BQ72" s="848">
        <f t="shared" si="77"/>
        <v>0</v>
      </c>
      <c r="BR72" s="848">
        <f t="shared" si="77"/>
        <v>0</v>
      </c>
      <c r="BS72" s="848">
        <f>SUM(BS73:BS106)</f>
        <v>0</v>
      </c>
      <c r="BT72" s="848">
        <f t="shared" si="77"/>
        <v>0</v>
      </c>
      <c r="BU72" s="848">
        <f t="shared" ref="BU72:CS72" si="78">SUM(BU73:BU106)</f>
        <v>222</v>
      </c>
      <c r="BV72" s="848">
        <f t="shared" si="78"/>
        <v>0</v>
      </c>
      <c r="BW72" s="848">
        <f t="shared" si="78"/>
        <v>0</v>
      </c>
      <c r="BX72" s="848">
        <f t="shared" si="78"/>
        <v>0</v>
      </c>
      <c r="BY72" s="848">
        <f t="shared" si="78"/>
        <v>0</v>
      </c>
      <c r="BZ72" s="848">
        <f t="shared" si="78"/>
        <v>0</v>
      </c>
      <c r="CA72" s="848">
        <f t="shared" si="78"/>
        <v>0</v>
      </c>
      <c r="CB72" s="848">
        <f t="shared" si="78"/>
        <v>0</v>
      </c>
      <c r="CC72" s="848">
        <f t="shared" si="78"/>
        <v>0</v>
      </c>
      <c r="CD72" s="848">
        <f t="shared" si="78"/>
        <v>0</v>
      </c>
      <c r="CE72" s="848">
        <f t="shared" si="78"/>
        <v>0</v>
      </c>
      <c r="CF72" s="848"/>
      <c r="CG72" s="848"/>
      <c r="CH72" s="848"/>
      <c r="CI72" s="848"/>
      <c r="CJ72" s="848"/>
      <c r="CK72" s="848"/>
      <c r="CL72" s="848"/>
      <c r="CM72" s="848"/>
      <c r="CN72" s="848"/>
      <c r="CO72" s="848"/>
      <c r="CP72" s="848"/>
      <c r="CQ72" s="848"/>
      <c r="CR72" s="848"/>
      <c r="CS72" s="848">
        <f t="shared" si="78"/>
        <v>0</v>
      </c>
      <c r="CT72" s="848"/>
      <c r="CU72" s="848"/>
      <c r="CV72" s="848"/>
      <c r="CW72" s="848">
        <f t="shared" si="52"/>
        <v>0</v>
      </c>
    </row>
    <row r="73" spans="1:101" s="851" customFormat="1" ht="60" customHeight="1">
      <c r="A73" s="845"/>
      <c r="B73" s="864" t="s">
        <v>465</v>
      </c>
      <c r="C73" s="852" t="s">
        <v>466</v>
      </c>
      <c r="D73" s="846"/>
      <c r="E73" s="845"/>
      <c r="F73" s="853">
        <v>2011</v>
      </c>
      <c r="G73" s="846" t="s">
        <v>467</v>
      </c>
      <c r="H73" s="850">
        <f>SUM(I73:S73)</f>
        <v>717</v>
      </c>
      <c r="I73" s="860"/>
      <c r="J73" s="848"/>
      <c r="K73" s="848"/>
      <c r="L73" s="848"/>
      <c r="M73" s="848"/>
      <c r="N73" s="848"/>
      <c r="O73" s="848"/>
      <c r="P73" s="848"/>
      <c r="Q73" s="848"/>
      <c r="R73" s="848"/>
      <c r="S73" s="855">
        <v>717</v>
      </c>
      <c r="T73" s="855">
        <f>SUM(U73:AH73)</f>
        <v>1196.5999999999999</v>
      </c>
      <c r="U73" s="848"/>
      <c r="V73" s="855">
        <v>1196.5999999999999</v>
      </c>
      <c r="W73" s="848"/>
      <c r="X73" s="848"/>
      <c r="Y73" s="848"/>
      <c r="Z73" s="848"/>
      <c r="AA73" s="848"/>
      <c r="AB73" s="848"/>
      <c r="AC73" s="848"/>
      <c r="AD73" s="848"/>
      <c r="AE73" s="848"/>
      <c r="AF73" s="848"/>
      <c r="AG73" s="848"/>
      <c r="AH73" s="855"/>
      <c r="AI73" s="855">
        <f>AX73+AK73</f>
        <v>1222</v>
      </c>
      <c r="AJ73" s="848"/>
      <c r="AK73" s="855">
        <v>1197</v>
      </c>
      <c r="AL73" s="848"/>
      <c r="AM73" s="848"/>
      <c r="AN73" s="848"/>
      <c r="AO73" s="848"/>
      <c r="AP73" s="848"/>
      <c r="AQ73" s="848"/>
      <c r="AR73" s="848"/>
      <c r="AS73" s="848"/>
      <c r="AT73" s="848"/>
      <c r="AU73" s="848"/>
      <c r="AV73" s="848"/>
      <c r="AW73" s="848"/>
      <c r="AX73" s="855">
        <v>25</v>
      </c>
      <c r="AY73" s="855">
        <f t="shared" ref="AY73:AY106" si="79">SUM(AZ73:BN73)</f>
        <v>0</v>
      </c>
      <c r="AZ73" s="848"/>
      <c r="BA73" s="848"/>
      <c r="BB73" s="848"/>
      <c r="BC73" s="848"/>
      <c r="BD73" s="848"/>
      <c r="BE73" s="848"/>
      <c r="BF73" s="848"/>
      <c r="BG73" s="848"/>
      <c r="BH73" s="848"/>
      <c r="BI73" s="848"/>
      <c r="BJ73" s="848"/>
      <c r="BK73" s="848"/>
      <c r="BL73" s="848"/>
      <c r="BM73" s="848"/>
      <c r="BN73" s="848"/>
      <c r="BO73" s="848">
        <f t="shared" si="9"/>
        <v>22</v>
      </c>
      <c r="BP73" s="848"/>
      <c r="BQ73" s="848"/>
      <c r="BR73" s="848"/>
      <c r="BS73" s="848"/>
      <c r="BT73" s="848"/>
      <c r="BU73" s="855">
        <v>22</v>
      </c>
      <c r="BV73" s="848"/>
      <c r="BW73" s="848"/>
      <c r="BX73" s="848"/>
      <c r="BY73" s="848"/>
      <c r="BZ73" s="848"/>
      <c r="CA73" s="848"/>
      <c r="CB73" s="848"/>
      <c r="CC73" s="848"/>
      <c r="CD73" s="848"/>
      <c r="CE73" s="848"/>
      <c r="CF73" s="848"/>
      <c r="CG73" s="848"/>
      <c r="CH73" s="848"/>
      <c r="CI73" s="848"/>
      <c r="CJ73" s="848"/>
      <c r="CK73" s="848"/>
      <c r="CL73" s="848"/>
      <c r="CM73" s="848"/>
      <c r="CN73" s="848"/>
      <c r="CO73" s="848"/>
      <c r="CP73" s="848"/>
      <c r="CQ73" s="848"/>
      <c r="CR73" s="848"/>
      <c r="CS73" s="848"/>
      <c r="CT73" s="848"/>
      <c r="CU73" s="848"/>
      <c r="CV73" s="848"/>
      <c r="CW73" s="848"/>
    </row>
    <row r="74" spans="1:101" s="851" customFormat="1" ht="60" customHeight="1">
      <c r="A74" s="845"/>
      <c r="B74" s="864" t="s">
        <v>465</v>
      </c>
      <c r="C74" s="865" t="s">
        <v>468</v>
      </c>
      <c r="D74" s="846"/>
      <c r="E74" s="845"/>
      <c r="F74" s="853" t="s">
        <v>469</v>
      </c>
      <c r="G74" s="853" t="s">
        <v>470</v>
      </c>
      <c r="H74" s="850">
        <f t="shared" si="15"/>
        <v>0</v>
      </c>
      <c r="I74" s="860"/>
      <c r="J74" s="848"/>
      <c r="K74" s="848"/>
      <c r="L74" s="848"/>
      <c r="M74" s="848"/>
      <c r="N74" s="848"/>
      <c r="O74" s="848"/>
      <c r="P74" s="848"/>
      <c r="Q74" s="848"/>
      <c r="R74" s="848"/>
      <c r="S74" s="848"/>
      <c r="T74" s="855">
        <f t="shared" si="19"/>
        <v>34110.869340999998</v>
      </c>
      <c r="U74" s="848"/>
      <c r="V74" s="848"/>
      <c r="W74" s="855">
        <v>24110.869341000001</v>
      </c>
      <c r="X74" s="848"/>
      <c r="Y74" s="848"/>
      <c r="Z74" s="855">
        <v>10000</v>
      </c>
      <c r="AA74" s="848"/>
      <c r="AB74" s="848"/>
      <c r="AC74" s="848"/>
      <c r="AD74" s="848"/>
      <c r="AE74" s="855"/>
      <c r="AF74" s="848"/>
      <c r="AG74" s="848"/>
      <c r="AH74" s="848"/>
      <c r="AI74" s="855">
        <f>AL74+AO74+AS74</f>
        <v>33945</v>
      </c>
      <c r="AJ74" s="848"/>
      <c r="AK74" s="848"/>
      <c r="AL74" s="855">
        <v>21945</v>
      </c>
      <c r="AM74" s="848"/>
      <c r="AN74" s="848"/>
      <c r="AO74" s="855">
        <v>10000</v>
      </c>
      <c r="AP74" s="848"/>
      <c r="AQ74" s="848"/>
      <c r="AR74" s="848"/>
      <c r="AS74" s="855">
        <v>2000</v>
      </c>
      <c r="AT74" s="848"/>
      <c r="AU74" s="848"/>
      <c r="AV74" s="848"/>
      <c r="AW74" s="848"/>
      <c r="AX74" s="855"/>
      <c r="AY74" s="855">
        <f t="shared" si="79"/>
        <v>1</v>
      </c>
      <c r="AZ74" s="848"/>
      <c r="BA74" s="848"/>
      <c r="BB74" s="848"/>
      <c r="BC74" s="848"/>
      <c r="BD74" s="848"/>
      <c r="BE74" s="848"/>
      <c r="BF74" s="848"/>
      <c r="BG74" s="848"/>
      <c r="BH74" s="848"/>
      <c r="BI74" s="848"/>
      <c r="BJ74" s="848"/>
      <c r="BK74" s="848"/>
      <c r="BL74" s="848"/>
      <c r="BM74" s="848"/>
      <c r="BN74" s="848">
        <v>1</v>
      </c>
      <c r="BO74" s="848">
        <f t="shared" si="9"/>
        <v>0</v>
      </c>
      <c r="BP74" s="848"/>
      <c r="BQ74" s="848"/>
      <c r="BR74" s="848"/>
      <c r="BS74" s="848"/>
      <c r="BT74" s="848"/>
      <c r="BU74" s="855"/>
      <c r="BV74" s="848"/>
      <c r="BW74" s="848"/>
      <c r="BX74" s="848"/>
      <c r="BY74" s="848"/>
      <c r="BZ74" s="848"/>
      <c r="CA74" s="848"/>
      <c r="CB74" s="848"/>
      <c r="CC74" s="848"/>
      <c r="CD74" s="848"/>
      <c r="CE74" s="848"/>
      <c r="CF74" s="848">
        <f t="shared" si="11"/>
        <v>0</v>
      </c>
      <c r="CG74" s="848"/>
      <c r="CH74" s="848"/>
      <c r="CI74" s="848"/>
      <c r="CJ74" s="848"/>
      <c r="CK74" s="848"/>
      <c r="CL74" s="848"/>
      <c r="CM74" s="848"/>
      <c r="CN74" s="848"/>
      <c r="CO74" s="848"/>
      <c r="CP74" s="848"/>
      <c r="CQ74" s="848"/>
      <c r="CR74" s="848"/>
      <c r="CS74" s="848"/>
      <c r="CT74" s="848"/>
      <c r="CU74" s="848"/>
      <c r="CV74" s="848"/>
      <c r="CW74" s="848">
        <f t="shared" si="52"/>
        <v>0</v>
      </c>
    </row>
    <row r="75" spans="1:101" s="851" customFormat="1" ht="60" customHeight="1">
      <c r="A75" s="845"/>
      <c r="B75" s="864" t="s">
        <v>465</v>
      </c>
      <c r="C75" s="852" t="s">
        <v>471</v>
      </c>
      <c r="D75" s="846"/>
      <c r="E75" s="845"/>
      <c r="F75" s="866"/>
      <c r="G75" s="862"/>
      <c r="H75" s="850">
        <f t="shared" si="15"/>
        <v>0</v>
      </c>
      <c r="I75" s="848"/>
      <c r="J75" s="848"/>
      <c r="K75" s="848"/>
      <c r="L75" s="848"/>
      <c r="M75" s="848"/>
      <c r="N75" s="848"/>
      <c r="O75" s="848"/>
      <c r="P75" s="848"/>
      <c r="Q75" s="848"/>
      <c r="R75" s="848"/>
      <c r="S75" s="848"/>
      <c r="T75" s="855">
        <f t="shared" si="19"/>
        <v>5905</v>
      </c>
      <c r="U75" s="848"/>
      <c r="V75" s="855">
        <v>5905</v>
      </c>
      <c r="W75" s="848"/>
      <c r="X75" s="848"/>
      <c r="Y75" s="848"/>
      <c r="Z75" s="848"/>
      <c r="AA75" s="848"/>
      <c r="AB75" s="848"/>
      <c r="AC75" s="848"/>
      <c r="AD75" s="848"/>
      <c r="AE75" s="848"/>
      <c r="AF75" s="848"/>
      <c r="AG75" s="848"/>
      <c r="AH75" s="855"/>
      <c r="AI75" s="855">
        <f>AK75</f>
        <v>4829</v>
      </c>
      <c r="AJ75" s="848"/>
      <c r="AK75" s="855">
        <v>4829</v>
      </c>
      <c r="AL75" s="848"/>
      <c r="AM75" s="848"/>
      <c r="AN75" s="848"/>
      <c r="AO75" s="848"/>
      <c r="AP75" s="848"/>
      <c r="AQ75" s="848"/>
      <c r="AR75" s="848"/>
      <c r="AS75" s="848"/>
      <c r="AT75" s="848"/>
      <c r="AU75" s="848"/>
      <c r="AV75" s="848"/>
      <c r="AW75" s="848"/>
      <c r="AX75" s="855"/>
      <c r="AY75" s="855">
        <f t="shared" si="79"/>
        <v>0</v>
      </c>
      <c r="AZ75" s="848"/>
      <c r="BA75" s="848"/>
      <c r="BB75" s="848"/>
      <c r="BC75" s="848"/>
      <c r="BD75" s="848"/>
      <c r="BE75" s="848"/>
      <c r="BF75" s="848"/>
      <c r="BG75" s="848"/>
      <c r="BH75" s="848"/>
      <c r="BI75" s="848"/>
      <c r="BJ75" s="848"/>
      <c r="BK75" s="848"/>
      <c r="BL75" s="848"/>
      <c r="BM75" s="848"/>
      <c r="BN75" s="848"/>
      <c r="BO75" s="848">
        <f t="shared" ref="BO75:BO138" si="80">SUM(BP75:CE75)</f>
        <v>200</v>
      </c>
      <c r="BP75" s="848"/>
      <c r="BQ75" s="848"/>
      <c r="BR75" s="848"/>
      <c r="BS75" s="848"/>
      <c r="BT75" s="848"/>
      <c r="BU75" s="855">
        <v>200</v>
      </c>
      <c r="BV75" s="848"/>
      <c r="BW75" s="848"/>
      <c r="BX75" s="848"/>
      <c r="BY75" s="848"/>
      <c r="BZ75" s="848"/>
      <c r="CA75" s="848"/>
      <c r="CB75" s="848"/>
      <c r="CC75" s="848"/>
      <c r="CD75" s="848"/>
      <c r="CE75" s="848"/>
      <c r="CF75" s="848"/>
      <c r="CG75" s="848"/>
      <c r="CH75" s="848"/>
      <c r="CI75" s="848"/>
      <c r="CJ75" s="848"/>
      <c r="CK75" s="848"/>
      <c r="CL75" s="848"/>
      <c r="CM75" s="848"/>
      <c r="CN75" s="848"/>
      <c r="CO75" s="848"/>
      <c r="CP75" s="848"/>
      <c r="CQ75" s="848"/>
      <c r="CR75" s="848"/>
      <c r="CS75" s="848"/>
      <c r="CT75" s="848"/>
      <c r="CU75" s="848"/>
      <c r="CV75" s="848"/>
      <c r="CW75" s="848"/>
    </row>
    <row r="76" spans="1:101" s="851" customFormat="1" ht="60" customHeight="1">
      <c r="A76" s="845"/>
      <c r="B76" s="864" t="s">
        <v>465</v>
      </c>
      <c r="C76" s="852" t="s">
        <v>472</v>
      </c>
      <c r="D76" s="846"/>
      <c r="E76" s="845"/>
      <c r="F76" s="861">
        <v>2016</v>
      </c>
      <c r="G76" s="861" t="s">
        <v>473</v>
      </c>
      <c r="H76" s="850">
        <f t="shared" si="15"/>
        <v>0</v>
      </c>
      <c r="I76" s="848"/>
      <c r="J76" s="848"/>
      <c r="K76" s="848"/>
      <c r="L76" s="848"/>
      <c r="M76" s="848"/>
      <c r="N76" s="848"/>
      <c r="O76" s="848"/>
      <c r="P76" s="848"/>
      <c r="Q76" s="848"/>
      <c r="R76" s="848"/>
      <c r="S76" s="848"/>
      <c r="T76" s="855">
        <f t="shared" si="19"/>
        <v>212.37284299999999</v>
      </c>
      <c r="U76" s="855">
        <v>212.37284299999999</v>
      </c>
      <c r="V76" s="848"/>
      <c r="W76" s="848"/>
      <c r="X76" s="848"/>
      <c r="Y76" s="848"/>
      <c r="Z76" s="848"/>
      <c r="AA76" s="848"/>
      <c r="AB76" s="848"/>
      <c r="AC76" s="848"/>
      <c r="AD76" s="848"/>
      <c r="AE76" s="848"/>
      <c r="AF76" s="848"/>
      <c r="AG76" s="848"/>
      <c r="AH76" s="848"/>
      <c r="AI76" s="855">
        <f t="shared" ref="AI76:AI98" si="81">AJ76</f>
        <v>220</v>
      </c>
      <c r="AJ76" s="855">
        <v>220</v>
      </c>
      <c r="AK76" s="848"/>
      <c r="AL76" s="848"/>
      <c r="AM76" s="848"/>
      <c r="AN76" s="848"/>
      <c r="AO76" s="848"/>
      <c r="AP76" s="848"/>
      <c r="AQ76" s="848"/>
      <c r="AR76" s="848"/>
      <c r="AS76" s="848"/>
      <c r="AT76" s="848"/>
      <c r="AU76" s="848"/>
      <c r="AV76" s="848"/>
      <c r="AW76" s="848"/>
      <c r="AX76" s="848"/>
      <c r="AY76" s="855">
        <f t="shared" si="79"/>
        <v>0</v>
      </c>
      <c r="AZ76" s="848"/>
      <c r="BA76" s="848"/>
      <c r="BB76" s="848"/>
      <c r="BC76" s="848"/>
      <c r="BD76" s="848"/>
      <c r="BE76" s="848"/>
      <c r="BF76" s="848"/>
      <c r="BG76" s="848"/>
      <c r="BH76" s="848"/>
      <c r="BI76" s="848"/>
      <c r="BJ76" s="848"/>
      <c r="BK76" s="848"/>
      <c r="BL76" s="848"/>
      <c r="BM76" s="848"/>
      <c r="BN76" s="848"/>
      <c r="BO76" s="848">
        <f t="shared" si="80"/>
        <v>6.7187999999999999</v>
      </c>
      <c r="BP76" s="855">
        <v>6.7187999999999999</v>
      </c>
      <c r="BQ76" s="848"/>
      <c r="BR76" s="848"/>
      <c r="BS76" s="848"/>
      <c r="BT76" s="848"/>
      <c r="BU76" s="848"/>
      <c r="BV76" s="848"/>
      <c r="BW76" s="848"/>
      <c r="BX76" s="848"/>
      <c r="BY76" s="848"/>
      <c r="BZ76" s="848"/>
      <c r="CA76" s="848"/>
      <c r="CB76" s="848"/>
      <c r="CC76" s="848"/>
      <c r="CD76" s="848"/>
      <c r="CE76" s="848"/>
      <c r="CF76" s="848"/>
      <c r="CG76" s="848"/>
      <c r="CH76" s="848"/>
      <c r="CI76" s="848"/>
      <c r="CJ76" s="848"/>
      <c r="CK76" s="848"/>
      <c r="CL76" s="848"/>
      <c r="CM76" s="848"/>
      <c r="CN76" s="848"/>
      <c r="CO76" s="848"/>
      <c r="CP76" s="848"/>
      <c r="CQ76" s="848"/>
      <c r="CR76" s="848"/>
      <c r="CS76" s="848"/>
      <c r="CT76" s="848"/>
      <c r="CU76" s="848"/>
      <c r="CV76" s="848"/>
      <c r="CW76" s="848"/>
    </row>
    <row r="77" spans="1:101" s="851" customFormat="1" ht="42" customHeight="1">
      <c r="A77" s="845"/>
      <c r="B77" s="864" t="s">
        <v>465</v>
      </c>
      <c r="C77" s="852" t="s">
        <v>474</v>
      </c>
      <c r="D77" s="846"/>
      <c r="E77" s="845"/>
      <c r="F77" s="861">
        <v>2016</v>
      </c>
      <c r="G77" s="861" t="s">
        <v>473</v>
      </c>
      <c r="H77" s="850">
        <f t="shared" ref="H77:H107" si="82">SUM(I77:S77)</f>
        <v>0</v>
      </c>
      <c r="I77" s="848"/>
      <c r="J77" s="848"/>
      <c r="K77" s="848"/>
      <c r="L77" s="848"/>
      <c r="M77" s="848"/>
      <c r="N77" s="848"/>
      <c r="O77" s="848"/>
      <c r="P77" s="848"/>
      <c r="Q77" s="848"/>
      <c r="R77" s="848"/>
      <c r="S77" s="848"/>
      <c r="T77" s="855">
        <f t="shared" si="19"/>
        <v>218.14431300000001</v>
      </c>
      <c r="U77" s="855">
        <v>218.14431300000001</v>
      </c>
      <c r="V77" s="848"/>
      <c r="W77" s="848"/>
      <c r="X77" s="848"/>
      <c r="Y77" s="848"/>
      <c r="Z77" s="848"/>
      <c r="AA77" s="848"/>
      <c r="AB77" s="848"/>
      <c r="AC77" s="848"/>
      <c r="AD77" s="848"/>
      <c r="AE77" s="848"/>
      <c r="AF77" s="848"/>
      <c r="AG77" s="848"/>
      <c r="AH77" s="848"/>
      <c r="AI77" s="855">
        <f t="shared" si="81"/>
        <v>568</v>
      </c>
      <c r="AJ77" s="855">
        <f>220+348</f>
        <v>568</v>
      </c>
      <c r="AK77" s="848"/>
      <c r="AL77" s="848"/>
      <c r="AM77" s="848"/>
      <c r="AN77" s="848"/>
      <c r="AO77" s="848"/>
      <c r="AP77" s="848"/>
      <c r="AQ77" s="848"/>
      <c r="AR77" s="848"/>
      <c r="AS77" s="848"/>
      <c r="AT77" s="848"/>
      <c r="AU77" s="848"/>
      <c r="AV77" s="848"/>
      <c r="AW77" s="848"/>
      <c r="AX77" s="848"/>
      <c r="AY77" s="855">
        <f t="shared" si="79"/>
        <v>0</v>
      </c>
      <c r="AZ77" s="855"/>
      <c r="BA77" s="848"/>
      <c r="BB77" s="848"/>
      <c r="BC77" s="848"/>
      <c r="BD77" s="848"/>
      <c r="BE77" s="848"/>
      <c r="BF77" s="848"/>
      <c r="BG77" s="848"/>
      <c r="BH77" s="848"/>
      <c r="BI77" s="848"/>
      <c r="BJ77" s="848"/>
      <c r="BK77" s="848"/>
      <c r="BL77" s="848"/>
      <c r="BM77" s="848"/>
      <c r="BN77" s="848"/>
      <c r="BO77" s="848">
        <f t="shared" si="80"/>
        <v>0</v>
      </c>
      <c r="BP77" s="855">
        <v>0</v>
      </c>
      <c r="BQ77" s="848"/>
      <c r="BR77" s="848"/>
      <c r="BS77" s="848"/>
      <c r="BT77" s="848"/>
      <c r="BU77" s="848"/>
      <c r="BV77" s="848"/>
      <c r="BW77" s="848"/>
      <c r="BX77" s="848"/>
      <c r="BY77" s="848"/>
      <c r="BZ77" s="848"/>
      <c r="CA77" s="848"/>
      <c r="CB77" s="848"/>
      <c r="CC77" s="848"/>
      <c r="CD77" s="848"/>
      <c r="CE77" s="848"/>
      <c r="CF77" s="848"/>
      <c r="CG77" s="848"/>
      <c r="CH77" s="848"/>
      <c r="CI77" s="848"/>
      <c r="CJ77" s="848"/>
      <c r="CK77" s="848"/>
      <c r="CL77" s="848"/>
      <c r="CM77" s="848"/>
      <c r="CN77" s="848"/>
      <c r="CO77" s="848"/>
      <c r="CP77" s="848"/>
      <c r="CQ77" s="848"/>
      <c r="CR77" s="848"/>
      <c r="CS77" s="848"/>
      <c r="CT77" s="848"/>
      <c r="CU77" s="848"/>
      <c r="CV77" s="848"/>
      <c r="CW77" s="848"/>
    </row>
    <row r="78" spans="1:101" s="851" customFormat="1" ht="49.15" customHeight="1">
      <c r="A78" s="845"/>
      <c r="B78" s="864" t="s">
        <v>465</v>
      </c>
      <c r="C78" s="852" t="s">
        <v>475</v>
      </c>
      <c r="D78" s="846"/>
      <c r="E78" s="845"/>
      <c r="F78" s="861">
        <v>2016</v>
      </c>
      <c r="G78" s="861" t="s">
        <v>473</v>
      </c>
      <c r="H78" s="850">
        <f t="shared" si="82"/>
        <v>0</v>
      </c>
      <c r="I78" s="848"/>
      <c r="J78" s="848"/>
      <c r="K78" s="848"/>
      <c r="L78" s="848"/>
      <c r="M78" s="848"/>
      <c r="N78" s="848"/>
      <c r="O78" s="848"/>
      <c r="P78" s="848"/>
      <c r="Q78" s="848"/>
      <c r="R78" s="848"/>
      <c r="S78" s="848"/>
      <c r="T78" s="855">
        <f t="shared" si="19"/>
        <v>440.71570700000001</v>
      </c>
      <c r="U78" s="855">
        <v>440.71570700000001</v>
      </c>
      <c r="V78" s="848"/>
      <c r="W78" s="848"/>
      <c r="X78" s="848"/>
      <c r="Y78" s="848"/>
      <c r="Z78" s="848"/>
      <c r="AA78" s="848"/>
      <c r="AB78" s="848"/>
      <c r="AC78" s="848"/>
      <c r="AD78" s="848"/>
      <c r="AE78" s="848"/>
      <c r="AF78" s="848"/>
      <c r="AG78" s="848"/>
      <c r="AH78" s="848"/>
      <c r="AI78" s="848">
        <f t="shared" si="81"/>
        <v>455</v>
      </c>
      <c r="AJ78" s="855">
        <v>455</v>
      </c>
      <c r="AK78" s="848"/>
      <c r="AL78" s="848"/>
      <c r="AM78" s="848"/>
      <c r="AN78" s="848"/>
      <c r="AO78" s="848"/>
      <c r="AP78" s="848"/>
      <c r="AQ78" s="848"/>
      <c r="AR78" s="848"/>
      <c r="AS78" s="848"/>
      <c r="AT78" s="848"/>
      <c r="AU78" s="848"/>
      <c r="AV78" s="848"/>
      <c r="AW78" s="848"/>
      <c r="AX78" s="848"/>
      <c r="AY78" s="855">
        <f t="shared" si="79"/>
        <v>0</v>
      </c>
      <c r="AZ78" s="848"/>
      <c r="BA78" s="848"/>
      <c r="BB78" s="848"/>
      <c r="BC78" s="848"/>
      <c r="BD78" s="848"/>
      <c r="BE78" s="848"/>
      <c r="BF78" s="848"/>
      <c r="BG78" s="848"/>
      <c r="BH78" s="848"/>
      <c r="BI78" s="848"/>
      <c r="BJ78" s="848"/>
      <c r="BK78" s="848"/>
      <c r="BL78" s="848"/>
      <c r="BM78" s="848"/>
      <c r="BN78" s="848"/>
      <c r="BO78" s="848">
        <f t="shared" si="80"/>
        <v>8.64</v>
      </c>
      <c r="BP78" s="855">
        <v>8.64</v>
      </c>
      <c r="BQ78" s="848"/>
      <c r="BR78" s="848"/>
      <c r="BS78" s="848"/>
      <c r="BT78" s="848"/>
      <c r="BU78" s="848"/>
      <c r="BV78" s="848"/>
      <c r="BW78" s="848"/>
      <c r="BX78" s="848"/>
      <c r="BY78" s="848"/>
      <c r="BZ78" s="848"/>
      <c r="CA78" s="848"/>
      <c r="CB78" s="848"/>
      <c r="CC78" s="848"/>
      <c r="CD78" s="848"/>
      <c r="CE78" s="848"/>
      <c r="CF78" s="848"/>
      <c r="CG78" s="848"/>
      <c r="CH78" s="848"/>
      <c r="CI78" s="848"/>
      <c r="CJ78" s="848"/>
      <c r="CK78" s="848"/>
      <c r="CL78" s="848"/>
      <c r="CM78" s="848"/>
      <c r="CN78" s="848"/>
      <c r="CO78" s="848"/>
      <c r="CP78" s="848"/>
      <c r="CQ78" s="848"/>
      <c r="CR78" s="848"/>
      <c r="CS78" s="848"/>
      <c r="CT78" s="848"/>
      <c r="CU78" s="848"/>
      <c r="CV78" s="848"/>
      <c r="CW78" s="848"/>
    </row>
    <row r="79" spans="1:101" s="851" customFormat="1" ht="43.15" customHeight="1">
      <c r="A79" s="845"/>
      <c r="B79" s="864" t="s">
        <v>465</v>
      </c>
      <c r="C79" s="852" t="s">
        <v>476</v>
      </c>
      <c r="D79" s="846"/>
      <c r="E79" s="845"/>
      <c r="F79" s="861">
        <v>2016</v>
      </c>
      <c r="G79" s="861" t="s">
        <v>473</v>
      </c>
      <c r="H79" s="850">
        <f t="shared" si="82"/>
        <v>0</v>
      </c>
      <c r="I79" s="848"/>
      <c r="J79" s="848"/>
      <c r="K79" s="848"/>
      <c r="L79" s="848"/>
      <c r="M79" s="848"/>
      <c r="N79" s="848"/>
      <c r="O79" s="848"/>
      <c r="P79" s="848"/>
      <c r="Q79" s="848"/>
      <c r="R79" s="848"/>
      <c r="S79" s="848"/>
      <c r="T79" s="855">
        <f t="shared" ref="T79:T142" si="83">SUM(U79:AH79)</f>
        <v>410.99736899999999</v>
      </c>
      <c r="U79" s="855">
        <v>410.99736899999999</v>
      </c>
      <c r="V79" s="848"/>
      <c r="W79" s="848"/>
      <c r="X79" s="848"/>
      <c r="Y79" s="848"/>
      <c r="Z79" s="848"/>
      <c r="AA79" s="848"/>
      <c r="AB79" s="848"/>
      <c r="AC79" s="848"/>
      <c r="AD79" s="848"/>
      <c r="AE79" s="848"/>
      <c r="AF79" s="848"/>
      <c r="AG79" s="848"/>
      <c r="AH79" s="848"/>
      <c r="AI79" s="848">
        <f t="shared" si="81"/>
        <v>424</v>
      </c>
      <c r="AJ79" s="855">
        <v>424</v>
      </c>
      <c r="AK79" s="848"/>
      <c r="AL79" s="848"/>
      <c r="AM79" s="848"/>
      <c r="AN79" s="848"/>
      <c r="AO79" s="848"/>
      <c r="AP79" s="848"/>
      <c r="AQ79" s="848"/>
      <c r="AR79" s="848"/>
      <c r="AS79" s="848"/>
      <c r="AT79" s="848"/>
      <c r="AU79" s="848"/>
      <c r="AV79" s="848"/>
      <c r="AW79" s="848"/>
      <c r="AX79" s="848"/>
      <c r="AY79" s="855">
        <f t="shared" si="79"/>
        <v>0</v>
      </c>
      <c r="AZ79" s="848"/>
      <c r="BA79" s="848"/>
      <c r="BB79" s="848"/>
      <c r="BC79" s="848"/>
      <c r="BD79" s="848"/>
      <c r="BE79" s="848"/>
      <c r="BF79" s="848"/>
      <c r="BG79" s="848"/>
      <c r="BH79" s="848"/>
      <c r="BI79" s="848"/>
      <c r="BJ79" s="848"/>
      <c r="BK79" s="848"/>
      <c r="BL79" s="848"/>
      <c r="BM79" s="848"/>
      <c r="BN79" s="848"/>
      <c r="BO79" s="848">
        <f t="shared" si="80"/>
        <v>12.16</v>
      </c>
      <c r="BP79" s="855">
        <v>12.16</v>
      </c>
      <c r="BQ79" s="848"/>
      <c r="BR79" s="848"/>
      <c r="BS79" s="848"/>
      <c r="BT79" s="848"/>
      <c r="BU79" s="848"/>
      <c r="BV79" s="848"/>
      <c r="BW79" s="848"/>
      <c r="BX79" s="848"/>
      <c r="BY79" s="848"/>
      <c r="BZ79" s="848"/>
      <c r="CA79" s="848"/>
      <c r="CB79" s="848"/>
      <c r="CC79" s="848"/>
      <c r="CD79" s="848"/>
      <c r="CE79" s="848"/>
      <c r="CF79" s="848"/>
      <c r="CG79" s="848"/>
      <c r="CH79" s="848"/>
      <c r="CI79" s="848"/>
      <c r="CJ79" s="848"/>
      <c r="CK79" s="848"/>
      <c r="CL79" s="848"/>
      <c r="CM79" s="848"/>
      <c r="CN79" s="848"/>
      <c r="CO79" s="848"/>
      <c r="CP79" s="848"/>
      <c r="CQ79" s="848"/>
      <c r="CR79" s="848"/>
      <c r="CS79" s="848"/>
      <c r="CT79" s="848"/>
      <c r="CU79" s="848"/>
      <c r="CV79" s="848"/>
      <c r="CW79" s="848"/>
    </row>
    <row r="80" spans="1:101" s="851" customFormat="1" ht="38.450000000000003" customHeight="1">
      <c r="A80" s="845"/>
      <c r="B80" s="864" t="s">
        <v>465</v>
      </c>
      <c r="C80" s="852" t="s">
        <v>477</v>
      </c>
      <c r="D80" s="846"/>
      <c r="E80" s="845"/>
      <c r="F80" s="861">
        <v>2016</v>
      </c>
      <c r="G80" s="861" t="s">
        <v>473</v>
      </c>
      <c r="H80" s="850">
        <f t="shared" si="82"/>
        <v>0</v>
      </c>
      <c r="I80" s="848"/>
      <c r="J80" s="848"/>
      <c r="K80" s="848"/>
      <c r="L80" s="848"/>
      <c r="M80" s="848"/>
      <c r="N80" s="848"/>
      <c r="O80" s="848"/>
      <c r="P80" s="848"/>
      <c r="Q80" s="848"/>
      <c r="R80" s="848"/>
      <c r="S80" s="848"/>
      <c r="T80" s="855">
        <f t="shared" si="83"/>
        <v>0</v>
      </c>
      <c r="U80" s="848"/>
      <c r="V80" s="848"/>
      <c r="W80" s="848"/>
      <c r="X80" s="848"/>
      <c r="Y80" s="848"/>
      <c r="Z80" s="848"/>
      <c r="AA80" s="848"/>
      <c r="AB80" s="848"/>
      <c r="AC80" s="848"/>
      <c r="AD80" s="848"/>
      <c r="AE80" s="848"/>
      <c r="AF80" s="848"/>
      <c r="AG80" s="848"/>
      <c r="AH80" s="848"/>
      <c r="AI80" s="855">
        <f t="shared" si="81"/>
        <v>417</v>
      </c>
      <c r="AJ80" s="855">
        <v>417</v>
      </c>
      <c r="AK80" s="848"/>
      <c r="AL80" s="848"/>
      <c r="AM80" s="848"/>
      <c r="AN80" s="848"/>
      <c r="AO80" s="848"/>
      <c r="AP80" s="848"/>
      <c r="AQ80" s="848"/>
      <c r="AR80" s="848"/>
      <c r="AS80" s="848"/>
      <c r="AT80" s="848"/>
      <c r="AU80" s="848"/>
      <c r="AV80" s="848"/>
      <c r="AW80" s="848"/>
      <c r="AX80" s="848"/>
      <c r="AY80" s="855">
        <f t="shared" si="79"/>
        <v>0</v>
      </c>
      <c r="AZ80" s="848"/>
      <c r="BA80" s="848"/>
      <c r="BB80" s="848"/>
      <c r="BC80" s="848"/>
      <c r="BD80" s="848"/>
      <c r="BE80" s="848"/>
      <c r="BF80" s="848"/>
      <c r="BG80" s="848"/>
      <c r="BH80" s="848"/>
      <c r="BI80" s="848"/>
      <c r="BJ80" s="848"/>
      <c r="BK80" s="848"/>
      <c r="BL80" s="848"/>
      <c r="BM80" s="848"/>
      <c r="BN80" s="848"/>
      <c r="BO80" s="848">
        <f t="shared" si="80"/>
        <v>412.96930300000002</v>
      </c>
      <c r="BP80" s="855">
        <v>412.96930300000002</v>
      </c>
      <c r="BQ80" s="848"/>
      <c r="BR80" s="848"/>
      <c r="BS80" s="848"/>
      <c r="BT80" s="848"/>
      <c r="BU80" s="848"/>
      <c r="BV80" s="848"/>
      <c r="BW80" s="848"/>
      <c r="BX80" s="848"/>
      <c r="BY80" s="848"/>
      <c r="BZ80" s="848"/>
      <c r="CA80" s="848"/>
      <c r="CB80" s="848"/>
      <c r="CC80" s="848"/>
      <c r="CD80" s="848"/>
      <c r="CE80" s="848"/>
      <c r="CF80" s="848"/>
      <c r="CG80" s="848"/>
      <c r="CH80" s="848"/>
      <c r="CI80" s="848"/>
      <c r="CJ80" s="848"/>
      <c r="CK80" s="848"/>
      <c r="CL80" s="848"/>
      <c r="CM80" s="848"/>
      <c r="CN80" s="848"/>
      <c r="CO80" s="848"/>
      <c r="CP80" s="848"/>
      <c r="CQ80" s="848"/>
      <c r="CR80" s="848"/>
      <c r="CS80" s="848"/>
      <c r="CT80" s="848"/>
      <c r="CU80" s="848"/>
      <c r="CV80" s="848"/>
      <c r="CW80" s="848"/>
    </row>
    <row r="81" spans="1:101" s="851" customFormat="1" ht="60" customHeight="1">
      <c r="A81" s="845"/>
      <c r="B81" s="864" t="s">
        <v>465</v>
      </c>
      <c r="C81" s="852" t="s">
        <v>478</v>
      </c>
      <c r="D81" s="846"/>
      <c r="E81" s="845"/>
      <c r="F81" s="861">
        <v>2016</v>
      </c>
      <c r="G81" s="861" t="s">
        <v>473</v>
      </c>
      <c r="H81" s="850">
        <f t="shared" si="82"/>
        <v>0</v>
      </c>
      <c r="I81" s="848"/>
      <c r="J81" s="848"/>
      <c r="K81" s="848"/>
      <c r="L81" s="848"/>
      <c r="M81" s="848"/>
      <c r="N81" s="848"/>
      <c r="O81" s="848"/>
      <c r="P81" s="848"/>
      <c r="Q81" s="848"/>
      <c r="R81" s="848"/>
      <c r="S81" s="848"/>
      <c r="T81" s="855">
        <f t="shared" si="83"/>
        <v>170</v>
      </c>
      <c r="U81" s="855">
        <v>170</v>
      </c>
      <c r="V81" s="848"/>
      <c r="W81" s="848"/>
      <c r="X81" s="848"/>
      <c r="Y81" s="848"/>
      <c r="Z81" s="848"/>
      <c r="AA81" s="848"/>
      <c r="AB81" s="848"/>
      <c r="AC81" s="848"/>
      <c r="AD81" s="848"/>
      <c r="AE81" s="848"/>
      <c r="AF81" s="848"/>
      <c r="AG81" s="848"/>
      <c r="AH81" s="848"/>
      <c r="AI81" s="855">
        <f t="shared" si="81"/>
        <v>220</v>
      </c>
      <c r="AJ81" s="855">
        <v>220</v>
      </c>
      <c r="AK81" s="848"/>
      <c r="AL81" s="848"/>
      <c r="AM81" s="848"/>
      <c r="AN81" s="848"/>
      <c r="AO81" s="848"/>
      <c r="AP81" s="848"/>
      <c r="AQ81" s="848"/>
      <c r="AR81" s="848"/>
      <c r="AS81" s="848"/>
      <c r="AT81" s="848"/>
      <c r="AU81" s="848"/>
      <c r="AV81" s="848"/>
      <c r="AW81" s="848"/>
      <c r="AX81" s="848"/>
      <c r="AY81" s="855">
        <f t="shared" si="79"/>
        <v>0</v>
      </c>
      <c r="AZ81" s="848"/>
      <c r="BA81" s="848"/>
      <c r="BB81" s="848"/>
      <c r="BC81" s="848"/>
      <c r="BD81" s="848"/>
      <c r="BE81" s="848"/>
      <c r="BF81" s="848"/>
      <c r="BG81" s="848"/>
      <c r="BH81" s="848"/>
      <c r="BI81" s="848"/>
      <c r="BJ81" s="848"/>
      <c r="BK81" s="848"/>
      <c r="BL81" s="848"/>
      <c r="BM81" s="848"/>
      <c r="BN81" s="848"/>
      <c r="BO81" s="848">
        <f t="shared" si="80"/>
        <v>49.612647000000003</v>
      </c>
      <c r="BP81" s="855">
        <v>49.612647000000003</v>
      </c>
      <c r="BQ81" s="848"/>
      <c r="BR81" s="848"/>
      <c r="BS81" s="848"/>
      <c r="BT81" s="848"/>
      <c r="BU81" s="848"/>
      <c r="BV81" s="848"/>
      <c r="BW81" s="848"/>
      <c r="BX81" s="848"/>
      <c r="BY81" s="848"/>
      <c r="BZ81" s="848"/>
      <c r="CA81" s="848"/>
      <c r="CB81" s="848"/>
      <c r="CC81" s="848"/>
      <c r="CD81" s="848"/>
      <c r="CE81" s="848"/>
      <c r="CF81" s="848"/>
      <c r="CG81" s="848"/>
      <c r="CH81" s="848"/>
      <c r="CI81" s="848"/>
      <c r="CJ81" s="848"/>
      <c r="CK81" s="848"/>
      <c r="CL81" s="848"/>
      <c r="CM81" s="848"/>
      <c r="CN81" s="848"/>
      <c r="CO81" s="848"/>
      <c r="CP81" s="848"/>
      <c r="CQ81" s="848"/>
      <c r="CR81" s="848"/>
      <c r="CS81" s="848"/>
      <c r="CT81" s="848"/>
      <c r="CU81" s="848"/>
      <c r="CV81" s="848"/>
      <c r="CW81" s="848"/>
    </row>
    <row r="82" spans="1:101" s="851" customFormat="1" ht="40.9" customHeight="1">
      <c r="A82" s="845"/>
      <c r="B82" s="864" t="s">
        <v>465</v>
      </c>
      <c r="C82" s="852" t="s">
        <v>479</v>
      </c>
      <c r="D82" s="846"/>
      <c r="E82" s="845"/>
      <c r="F82" s="861">
        <v>2016</v>
      </c>
      <c r="G82" s="861" t="s">
        <v>473</v>
      </c>
      <c r="H82" s="850">
        <f t="shared" si="82"/>
        <v>0</v>
      </c>
      <c r="I82" s="848"/>
      <c r="J82" s="848"/>
      <c r="K82" s="848"/>
      <c r="L82" s="848"/>
      <c r="M82" s="848"/>
      <c r="N82" s="848"/>
      <c r="O82" s="848"/>
      <c r="P82" s="848"/>
      <c r="Q82" s="848"/>
      <c r="R82" s="848"/>
      <c r="S82" s="848"/>
      <c r="T82" s="855">
        <f t="shared" si="83"/>
        <v>211.858217</v>
      </c>
      <c r="U82" s="855">
        <v>211.858217</v>
      </c>
      <c r="V82" s="855"/>
      <c r="W82" s="855"/>
      <c r="X82" s="855"/>
      <c r="Y82" s="855"/>
      <c r="Z82" s="855"/>
      <c r="AA82" s="855"/>
      <c r="AB82" s="855"/>
      <c r="AC82" s="855"/>
      <c r="AD82" s="855"/>
      <c r="AE82" s="855"/>
      <c r="AF82" s="855"/>
      <c r="AG82" s="855"/>
      <c r="AH82" s="855"/>
      <c r="AI82" s="855">
        <f t="shared" si="81"/>
        <v>424.63912400000004</v>
      </c>
      <c r="AJ82" s="855">
        <f>220+204.639124</f>
        <v>424.63912400000004</v>
      </c>
      <c r="AK82" s="848"/>
      <c r="AL82" s="848"/>
      <c r="AM82" s="848"/>
      <c r="AN82" s="848"/>
      <c r="AO82" s="848"/>
      <c r="AP82" s="848"/>
      <c r="AQ82" s="848"/>
      <c r="AR82" s="848"/>
      <c r="AS82" s="848"/>
      <c r="AT82" s="848"/>
      <c r="AU82" s="848"/>
      <c r="AV82" s="848"/>
      <c r="AW82" s="848"/>
      <c r="AX82" s="848"/>
      <c r="AY82" s="855">
        <f t="shared" si="79"/>
        <v>0</v>
      </c>
      <c r="AZ82" s="848"/>
      <c r="BA82" s="848"/>
      <c r="BB82" s="848"/>
      <c r="BC82" s="848"/>
      <c r="BD82" s="848"/>
      <c r="BE82" s="848"/>
      <c r="BF82" s="848"/>
      <c r="BG82" s="848"/>
      <c r="BH82" s="848"/>
      <c r="BI82" s="848"/>
      <c r="BJ82" s="848"/>
      <c r="BK82" s="848"/>
      <c r="BL82" s="848"/>
      <c r="BM82" s="848"/>
      <c r="BN82" s="848"/>
      <c r="BO82" s="848">
        <f t="shared" si="80"/>
        <v>6.6475600000000004</v>
      </c>
      <c r="BP82" s="855">
        <v>6.6475600000000004</v>
      </c>
      <c r="BQ82" s="848"/>
      <c r="BR82" s="848"/>
      <c r="BS82" s="848"/>
      <c r="BT82" s="848"/>
      <c r="BU82" s="848"/>
      <c r="BV82" s="848"/>
      <c r="BW82" s="848"/>
      <c r="BX82" s="848"/>
      <c r="BY82" s="848"/>
      <c r="BZ82" s="848"/>
      <c r="CA82" s="848"/>
      <c r="CB82" s="848"/>
      <c r="CC82" s="848"/>
      <c r="CD82" s="848"/>
      <c r="CE82" s="848"/>
      <c r="CF82" s="848"/>
      <c r="CG82" s="848"/>
      <c r="CH82" s="848"/>
      <c r="CI82" s="848"/>
      <c r="CJ82" s="848"/>
      <c r="CK82" s="848"/>
      <c r="CL82" s="848"/>
      <c r="CM82" s="848"/>
      <c r="CN82" s="848"/>
      <c r="CO82" s="848"/>
      <c r="CP82" s="848"/>
      <c r="CQ82" s="848"/>
      <c r="CR82" s="848"/>
      <c r="CS82" s="848"/>
      <c r="CT82" s="848"/>
      <c r="CU82" s="848"/>
      <c r="CV82" s="848"/>
      <c r="CW82" s="848"/>
    </row>
    <row r="83" spans="1:101" s="851" customFormat="1" ht="39.6" customHeight="1">
      <c r="A83" s="845"/>
      <c r="B83" s="864" t="s">
        <v>465</v>
      </c>
      <c r="C83" s="852" t="s">
        <v>480</v>
      </c>
      <c r="D83" s="846"/>
      <c r="E83" s="845"/>
      <c r="F83" s="861">
        <v>2016</v>
      </c>
      <c r="G83" s="861" t="s">
        <v>473</v>
      </c>
      <c r="H83" s="850">
        <f t="shared" si="82"/>
        <v>0</v>
      </c>
      <c r="I83" s="848"/>
      <c r="J83" s="848"/>
      <c r="K83" s="848"/>
      <c r="L83" s="848"/>
      <c r="M83" s="848"/>
      <c r="N83" s="848"/>
      <c r="O83" s="848"/>
      <c r="P83" s="848"/>
      <c r="Q83" s="848"/>
      <c r="R83" s="848"/>
      <c r="S83" s="848"/>
      <c r="T83" s="855">
        <f t="shared" si="83"/>
        <v>0</v>
      </c>
      <c r="U83" s="848"/>
      <c r="V83" s="848"/>
      <c r="W83" s="848"/>
      <c r="X83" s="848"/>
      <c r="Y83" s="848"/>
      <c r="Z83" s="848"/>
      <c r="AA83" s="848"/>
      <c r="AB83" s="848"/>
      <c r="AC83" s="848"/>
      <c r="AD83" s="848"/>
      <c r="AE83" s="848"/>
      <c r="AF83" s="848"/>
      <c r="AG83" s="848"/>
      <c r="AH83" s="848"/>
      <c r="AI83" s="855">
        <f t="shared" si="81"/>
        <v>220</v>
      </c>
      <c r="AJ83" s="855">
        <v>220</v>
      </c>
      <c r="AK83" s="848"/>
      <c r="AL83" s="848"/>
      <c r="AM83" s="848"/>
      <c r="AN83" s="848"/>
      <c r="AO83" s="848"/>
      <c r="AP83" s="848"/>
      <c r="AQ83" s="848"/>
      <c r="AR83" s="848"/>
      <c r="AS83" s="848"/>
      <c r="AT83" s="848"/>
      <c r="AU83" s="848"/>
      <c r="AV83" s="848"/>
      <c r="AW83" s="848"/>
      <c r="AX83" s="848"/>
      <c r="AY83" s="855">
        <f t="shared" si="79"/>
        <v>0</v>
      </c>
      <c r="AZ83" s="848"/>
      <c r="BA83" s="848"/>
      <c r="BB83" s="848"/>
      <c r="BC83" s="848"/>
      <c r="BD83" s="848"/>
      <c r="BE83" s="848"/>
      <c r="BF83" s="848"/>
      <c r="BG83" s="848"/>
      <c r="BH83" s="848"/>
      <c r="BI83" s="848"/>
      <c r="BJ83" s="848"/>
      <c r="BK83" s="848"/>
      <c r="BL83" s="848"/>
      <c r="BM83" s="848"/>
      <c r="BN83" s="848"/>
      <c r="BO83" s="848">
        <f t="shared" si="80"/>
        <v>216.73307</v>
      </c>
      <c r="BP83" s="855">
        <v>216.73307</v>
      </c>
      <c r="BQ83" s="848"/>
      <c r="BR83" s="848"/>
      <c r="BS83" s="848"/>
      <c r="BT83" s="848"/>
      <c r="BU83" s="848"/>
      <c r="BV83" s="848"/>
      <c r="BW83" s="848"/>
      <c r="BX83" s="848"/>
      <c r="BY83" s="848"/>
      <c r="BZ83" s="848"/>
      <c r="CA83" s="848"/>
      <c r="CB83" s="848"/>
      <c r="CC83" s="848"/>
      <c r="CD83" s="848"/>
      <c r="CE83" s="848"/>
      <c r="CF83" s="848"/>
      <c r="CG83" s="848"/>
      <c r="CH83" s="848"/>
      <c r="CI83" s="848"/>
      <c r="CJ83" s="848"/>
      <c r="CK83" s="848"/>
      <c r="CL83" s="848"/>
      <c r="CM83" s="848"/>
      <c r="CN83" s="848"/>
      <c r="CO83" s="848"/>
      <c r="CP83" s="848"/>
      <c r="CQ83" s="848"/>
      <c r="CR83" s="848"/>
      <c r="CS83" s="848"/>
      <c r="CT83" s="848"/>
      <c r="CU83" s="848"/>
      <c r="CV83" s="848"/>
      <c r="CW83" s="848"/>
    </row>
    <row r="84" spans="1:101" s="851" customFormat="1" ht="39.6" customHeight="1">
      <c r="A84" s="845"/>
      <c r="B84" s="864" t="s">
        <v>465</v>
      </c>
      <c r="C84" s="852" t="s">
        <v>481</v>
      </c>
      <c r="D84" s="846"/>
      <c r="E84" s="845"/>
      <c r="F84" s="861">
        <v>2016</v>
      </c>
      <c r="G84" s="861" t="s">
        <v>473</v>
      </c>
      <c r="H84" s="850">
        <f t="shared" si="82"/>
        <v>0</v>
      </c>
      <c r="I84" s="848"/>
      <c r="J84" s="848"/>
      <c r="K84" s="848"/>
      <c r="L84" s="848"/>
      <c r="M84" s="848"/>
      <c r="N84" s="848"/>
      <c r="O84" s="848"/>
      <c r="P84" s="848"/>
      <c r="Q84" s="848"/>
      <c r="R84" s="848"/>
      <c r="S84" s="848"/>
      <c r="T84" s="855">
        <f t="shared" si="83"/>
        <v>309</v>
      </c>
      <c r="U84" s="855">
        <v>309</v>
      </c>
      <c r="V84" s="848"/>
      <c r="W84" s="848"/>
      <c r="X84" s="848"/>
      <c r="Y84" s="848"/>
      <c r="Z84" s="848"/>
      <c r="AA84" s="848"/>
      <c r="AB84" s="848"/>
      <c r="AC84" s="848"/>
      <c r="AD84" s="848"/>
      <c r="AE84" s="848"/>
      <c r="AF84" s="848"/>
      <c r="AG84" s="848"/>
      <c r="AH84" s="855"/>
      <c r="AI84" s="855">
        <f t="shared" si="81"/>
        <v>400</v>
      </c>
      <c r="AJ84" s="855">
        <v>400</v>
      </c>
      <c r="AK84" s="848"/>
      <c r="AL84" s="848"/>
      <c r="AM84" s="848"/>
      <c r="AN84" s="848"/>
      <c r="AO84" s="848"/>
      <c r="AP84" s="848"/>
      <c r="AQ84" s="848"/>
      <c r="AR84" s="848"/>
      <c r="AS84" s="848"/>
      <c r="AT84" s="848"/>
      <c r="AU84" s="848"/>
      <c r="AV84" s="848"/>
      <c r="AW84" s="848"/>
      <c r="AX84" s="848"/>
      <c r="AY84" s="855">
        <f t="shared" si="79"/>
        <v>0</v>
      </c>
      <c r="AZ84" s="848"/>
      <c r="BA84" s="848"/>
      <c r="BB84" s="848"/>
      <c r="BC84" s="848"/>
      <c r="BD84" s="848"/>
      <c r="BE84" s="848"/>
      <c r="BF84" s="848"/>
      <c r="BG84" s="848"/>
      <c r="BH84" s="848"/>
      <c r="BI84" s="848"/>
      <c r="BJ84" s="848"/>
      <c r="BK84" s="848"/>
      <c r="BL84" s="848"/>
      <c r="BM84" s="848"/>
      <c r="BN84" s="848"/>
      <c r="BO84" s="848">
        <f t="shared" si="80"/>
        <v>75.294231999999994</v>
      </c>
      <c r="BP84" s="855">
        <v>75.294231999999994</v>
      </c>
      <c r="BQ84" s="848"/>
      <c r="BR84" s="848"/>
      <c r="BS84" s="848"/>
      <c r="BT84" s="848"/>
      <c r="BU84" s="848"/>
      <c r="BV84" s="848"/>
      <c r="BW84" s="848"/>
      <c r="BX84" s="848"/>
      <c r="BY84" s="848"/>
      <c r="BZ84" s="848"/>
      <c r="CA84" s="848"/>
      <c r="CB84" s="848"/>
      <c r="CC84" s="848"/>
      <c r="CD84" s="848"/>
      <c r="CE84" s="848"/>
      <c r="CF84" s="848"/>
      <c r="CG84" s="848"/>
      <c r="CH84" s="848"/>
      <c r="CI84" s="848"/>
      <c r="CJ84" s="848"/>
      <c r="CK84" s="848"/>
      <c r="CL84" s="848"/>
      <c r="CM84" s="848"/>
      <c r="CN84" s="848"/>
      <c r="CO84" s="848"/>
      <c r="CP84" s="848"/>
      <c r="CQ84" s="848"/>
      <c r="CR84" s="848"/>
      <c r="CS84" s="848"/>
      <c r="CT84" s="848"/>
      <c r="CU84" s="848"/>
      <c r="CV84" s="848"/>
      <c r="CW84" s="848"/>
    </row>
    <row r="85" spans="1:101" s="851" customFormat="1" ht="38.450000000000003" customHeight="1">
      <c r="A85" s="845"/>
      <c r="B85" s="864" t="s">
        <v>465</v>
      </c>
      <c r="C85" s="852" t="s">
        <v>482</v>
      </c>
      <c r="D85" s="846"/>
      <c r="E85" s="845"/>
      <c r="F85" s="847"/>
      <c r="G85" s="845"/>
      <c r="H85" s="850">
        <f t="shared" si="82"/>
        <v>0</v>
      </c>
      <c r="I85" s="848"/>
      <c r="J85" s="848"/>
      <c r="K85" s="848"/>
      <c r="L85" s="848"/>
      <c r="M85" s="848"/>
      <c r="N85" s="848"/>
      <c r="O85" s="848"/>
      <c r="P85" s="848"/>
      <c r="Q85" s="848"/>
      <c r="R85" s="848"/>
      <c r="S85" s="848"/>
      <c r="T85" s="855">
        <f t="shared" si="83"/>
        <v>0</v>
      </c>
      <c r="U85" s="848"/>
      <c r="V85" s="848"/>
      <c r="W85" s="848"/>
      <c r="X85" s="848"/>
      <c r="Y85" s="848"/>
      <c r="Z85" s="848"/>
      <c r="AA85" s="848"/>
      <c r="AB85" s="848"/>
      <c r="AC85" s="848"/>
      <c r="AD85" s="848"/>
      <c r="AE85" s="848"/>
      <c r="AF85" s="848"/>
      <c r="AG85" s="848"/>
      <c r="AH85" s="848"/>
      <c r="AI85" s="855">
        <f t="shared" si="81"/>
        <v>478</v>
      </c>
      <c r="AJ85" s="855">
        <v>478</v>
      </c>
      <c r="AK85" s="848"/>
      <c r="AL85" s="848"/>
      <c r="AM85" s="848"/>
      <c r="AN85" s="848"/>
      <c r="AO85" s="848"/>
      <c r="AP85" s="848"/>
      <c r="AQ85" s="848"/>
      <c r="AR85" s="848"/>
      <c r="AS85" s="848"/>
      <c r="AT85" s="848"/>
      <c r="AU85" s="848"/>
      <c r="AV85" s="848"/>
      <c r="AW85" s="848"/>
      <c r="AX85" s="848"/>
      <c r="AY85" s="855">
        <f t="shared" si="79"/>
        <v>0</v>
      </c>
      <c r="AZ85" s="848"/>
      <c r="BA85" s="848"/>
      <c r="BB85" s="848"/>
      <c r="BC85" s="848"/>
      <c r="BD85" s="848"/>
      <c r="BE85" s="848"/>
      <c r="BF85" s="848"/>
      <c r="BG85" s="848"/>
      <c r="BH85" s="848"/>
      <c r="BI85" s="848"/>
      <c r="BJ85" s="848"/>
      <c r="BK85" s="848"/>
      <c r="BL85" s="848"/>
      <c r="BM85" s="848"/>
      <c r="BN85" s="848"/>
      <c r="BO85" s="848">
        <f t="shared" si="80"/>
        <v>465.731424</v>
      </c>
      <c r="BP85" s="855">
        <v>465.731424</v>
      </c>
      <c r="BQ85" s="848"/>
      <c r="BR85" s="848"/>
      <c r="BS85" s="848"/>
      <c r="BT85" s="848"/>
      <c r="BU85" s="848"/>
      <c r="BV85" s="848"/>
      <c r="BW85" s="848"/>
      <c r="BX85" s="848"/>
      <c r="BY85" s="848"/>
      <c r="BZ85" s="848"/>
      <c r="CA85" s="848"/>
      <c r="CB85" s="848"/>
      <c r="CC85" s="848"/>
      <c r="CD85" s="848"/>
      <c r="CE85" s="848"/>
      <c r="CF85" s="848"/>
      <c r="CG85" s="848"/>
      <c r="CH85" s="848"/>
      <c r="CI85" s="848"/>
      <c r="CJ85" s="848"/>
      <c r="CK85" s="848"/>
      <c r="CL85" s="848"/>
      <c r="CM85" s="848"/>
      <c r="CN85" s="848"/>
      <c r="CO85" s="848"/>
      <c r="CP85" s="848"/>
      <c r="CQ85" s="848"/>
      <c r="CR85" s="848"/>
      <c r="CS85" s="848"/>
      <c r="CT85" s="848"/>
      <c r="CU85" s="848"/>
      <c r="CV85" s="848"/>
      <c r="CW85" s="848"/>
    </row>
    <row r="86" spans="1:101" s="851" customFormat="1" ht="43.15" customHeight="1">
      <c r="A86" s="845"/>
      <c r="B86" s="864" t="s">
        <v>465</v>
      </c>
      <c r="C86" s="852" t="s">
        <v>483</v>
      </c>
      <c r="D86" s="846"/>
      <c r="E86" s="845"/>
      <c r="F86" s="861">
        <v>2016</v>
      </c>
      <c r="G86" s="861" t="s">
        <v>473</v>
      </c>
      <c r="H86" s="850">
        <f t="shared" si="82"/>
        <v>0</v>
      </c>
      <c r="I86" s="848"/>
      <c r="J86" s="848"/>
      <c r="K86" s="848"/>
      <c r="L86" s="848"/>
      <c r="M86" s="848"/>
      <c r="N86" s="848"/>
      <c r="O86" s="848"/>
      <c r="P86" s="848"/>
      <c r="Q86" s="848"/>
      <c r="R86" s="848"/>
      <c r="S86" s="855"/>
      <c r="T86" s="855">
        <f t="shared" si="83"/>
        <v>100</v>
      </c>
      <c r="U86" s="855">
        <v>100</v>
      </c>
      <c r="V86" s="855"/>
      <c r="W86" s="855"/>
      <c r="X86" s="855"/>
      <c r="Y86" s="855"/>
      <c r="Z86" s="855"/>
      <c r="AA86" s="855"/>
      <c r="AB86" s="855"/>
      <c r="AC86" s="855"/>
      <c r="AD86" s="855"/>
      <c r="AE86" s="855"/>
      <c r="AF86" s="855"/>
      <c r="AG86" s="855"/>
      <c r="AH86" s="855"/>
      <c r="AI86" s="855">
        <f t="shared" si="81"/>
        <v>149</v>
      </c>
      <c r="AJ86" s="855">
        <v>149</v>
      </c>
      <c r="AK86" s="848"/>
      <c r="AL86" s="848"/>
      <c r="AM86" s="848"/>
      <c r="AN86" s="848"/>
      <c r="AO86" s="848"/>
      <c r="AP86" s="848"/>
      <c r="AQ86" s="848"/>
      <c r="AR86" s="848"/>
      <c r="AS86" s="848"/>
      <c r="AT86" s="848"/>
      <c r="AU86" s="848"/>
      <c r="AV86" s="848"/>
      <c r="AW86" s="848"/>
      <c r="AX86" s="848"/>
      <c r="AY86" s="855">
        <f>AZ86</f>
        <v>0</v>
      </c>
      <c r="AZ86" s="848"/>
      <c r="BA86" s="848"/>
      <c r="BB86" s="848"/>
      <c r="BC86" s="848"/>
      <c r="BD86" s="848"/>
      <c r="BE86" s="848"/>
      <c r="BF86" s="848"/>
      <c r="BG86" s="848"/>
      <c r="BH86" s="848"/>
      <c r="BI86" s="848"/>
      <c r="BJ86" s="848"/>
      <c r="BK86" s="848"/>
      <c r="BL86" s="848"/>
      <c r="BM86" s="848"/>
      <c r="BN86" s="848"/>
      <c r="BO86" s="848">
        <f t="shared" si="80"/>
        <v>42.013309999999997</v>
      </c>
      <c r="BP86" s="855">
        <v>42.013309999999997</v>
      </c>
      <c r="BQ86" s="848"/>
      <c r="BR86" s="848"/>
      <c r="BS86" s="848"/>
      <c r="BT86" s="848"/>
      <c r="BU86" s="848"/>
      <c r="BV86" s="848"/>
      <c r="BW86" s="848"/>
      <c r="BX86" s="848"/>
      <c r="BY86" s="848"/>
      <c r="BZ86" s="848"/>
      <c r="CA86" s="848"/>
      <c r="CB86" s="848"/>
      <c r="CC86" s="848"/>
      <c r="CD86" s="848"/>
      <c r="CE86" s="848"/>
      <c r="CF86" s="848"/>
      <c r="CG86" s="848"/>
      <c r="CH86" s="848"/>
      <c r="CI86" s="848"/>
      <c r="CJ86" s="848"/>
      <c r="CK86" s="848"/>
      <c r="CL86" s="848"/>
      <c r="CM86" s="848"/>
      <c r="CN86" s="848"/>
      <c r="CO86" s="848"/>
      <c r="CP86" s="848"/>
      <c r="CQ86" s="848"/>
      <c r="CR86" s="848"/>
      <c r="CS86" s="848"/>
      <c r="CT86" s="848"/>
      <c r="CU86" s="848"/>
      <c r="CV86" s="848"/>
      <c r="CW86" s="848"/>
    </row>
    <row r="87" spans="1:101" s="851" customFormat="1" ht="39.6" customHeight="1">
      <c r="A87" s="845"/>
      <c r="B87" s="864" t="s">
        <v>465</v>
      </c>
      <c r="C87" s="852" t="s">
        <v>484</v>
      </c>
      <c r="D87" s="846"/>
      <c r="E87" s="845"/>
      <c r="F87" s="861">
        <v>2016</v>
      </c>
      <c r="G87" s="861" t="s">
        <v>473</v>
      </c>
      <c r="H87" s="850">
        <f t="shared" si="82"/>
        <v>0</v>
      </c>
      <c r="I87" s="848"/>
      <c r="J87" s="848"/>
      <c r="K87" s="848"/>
      <c r="L87" s="848"/>
      <c r="M87" s="848"/>
      <c r="N87" s="848"/>
      <c r="O87" s="848"/>
      <c r="P87" s="848"/>
      <c r="Q87" s="848"/>
      <c r="R87" s="848"/>
      <c r="S87" s="848"/>
      <c r="T87" s="855">
        <f t="shared" si="83"/>
        <v>199</v>
      </c>
      <c r="U87" s="855">
        <v>199</v>
      </c>
      <c r="V87" s="848"/>
      <c r="W87" s="848"/>
      <c r="X87" s="848"/>
      <c r="Y87" s="848"/>
      <c r="Z87" s="848"/>
      <c r="AA87" s="848"/>
      <c r="AB87" s="848"/>
      <c r="AC87" s="848"/>
      <c r="AD87" s="848"/>
      <c r="AE87" s="848"/>
      <c r="AF87" s="848"/>
      <c r="AG87" s="848"/>
      <c r="AH87" s="855"/>
      <c r="AI87" s="855">
        <f t="shared" si="81"/>
        <v>293</v>
      </c>
      <c r="AJ87" s="855">
        <v>293</v>
      </c>
      <c r="AK87" s="848"/>
      <c r="AL87" s="848"/>
      <c r="AM87" s="848"/>
      <c r="AN87" s="848"/>
      <c r="AO87" s="848"/>
      <c r="AP87" s="848"/>
      <c r="AQ87" s="848"/>
      <c r="AR87" s="848"/>
      <c r="AS87" s="848"/>
      <c r="AT87" s="848"/>
      <c r="AU87" s="848"/>
      <c r="AV87" s="848"/>
      <c r="AW87" s="848"/>
      <c r="AX87" s="848"/>
      <c r="AY87" s="855">
        <f t="shared" si="79"/>
        <v>0</v>
      </c>
      <c r="AZ87" s="848"/>
      <c r="BA87" s="848"/>
      <c r="BB87" s="848"/>
      <c r="BC87" s="848"/>
      <c r="BD87" s="848"/>
      <c r="BE87" s="848"/>
      <c r="BF87" s="848"/>
      <c r="BG87" s="848"/>
      <c r="BH87" s="848"/>
      <c r="BI87" s="848"/>
      <c r="BJ87" s="848"/>
      <c r="BK87" s="848"/>
      <c r="BL87" s="848"/>
      <c r="BM87" s="848"/>
      <c r="BN87" s="848"/>
      <c r="BO87" s="848">
        <f t="shared" si="80"/>
        <v>79.641734</v>
      </c>
      <c r="BP87" s="855">
        <v>79.641734</v>
      </c>
      <c r="BQ87" s="848"/>
      <c r="BR87" s="848"/>
      <c r="BS87" s="848"/>
      <c r="BT87" s="848"/>
      <c r="BU87" s="848"/>
      <c r="BV87" s="848"/>
      <c r="BW87" s="848"/>
      <c r="BX87" s="848"/>
      <c r="BY87" s="848"/>
      <c r="BZ87" s="848"/>
      <c r="CA87" s="848"/>
      <c r="CB87" s="848"/>
      <c r="CC87" s="848"/>
      <c r="CD87" s="848"/>
      <c r="CE87" s="848"/>
      <c r="CF87" s="848"/>
      <c r="CG87" s="848"/>
      <c r="CH87" s="848"/>
      <c r="CI87" s="848"/>
      <c r="CJ87" s="848"/>
      <c r="CK87" s="848"/>
      <c r="CL87" s="848"/>
      <c r="CM87" s="848"/>
      <c r="CN87" s="848"/>
      <c r="CO87" s="848"/>
      <c r="CP87" s="848"/>
      <c r="CQ87" s="848"/>
      <c r="CR87" s="848"/>
      <c r="CS87" s="848"/>
      <c r="CT87" s="848"/>
      <c r="CU87" s="848"/>
      <c r="CV87" s="848"/>
      <c r="CW87" s="848"/>
    </row>
    <row r="88" spans="1:101" s="851" customFormat="1" ht="31.15" customHeight="1">
      <c r="A88" s="845"/>
      <c r="B88" s="864" t="s">
        <v>465</v>
      </c>
      <c r="C88" s="852" t="s">
        <v>485</v>
      </c>
      <c r="D88" s="846"/>
      <c r="E88" s="845"/>
      <c r="F88" s="861">
        <v>2016</v>
      </c>
      <c r="G88" s="861" t="s">
        <v>473</v>
      </c>
      <c r="H88" s="850">
        <f t="shared" si="82"/>
        <v>0</v>
      </c>
      <c r="I88" s="848"/>
      <c r="J88" s="848"/>
      <c r="K88" s="848"/>
      <c r="L88" s="848"/>
      <c r="M88" s="848"/>
      <c r="N88" s="848"/>
      <c r="O88" s="848"/>
      <c r="P88" s="848"/>
      <c r="Q88" s="848"/>
      <c r="R88" s="848"/>
      <c r="S88" s="855"/>
      <c r="T88" s="855">
        <f t="shared" si="83"/>
        <v>296</v>
      </c>
      <c r="U88" s="855">
        <v>296</v>
      </c>
      <c r="V88" s="855"/>
      <c r="W88" s="855"/>
      <c r="X88" s="855"/>
      <c r="Y88" s="855"/>
      <c r="Z88" s="855"/>
      <c r="AA88" s="855"/>
      <c r="AB88" s="855"/>
      <c r="AC88" s="855"/>
      <c r="AD88" s="855"/>
      <c r="AE88" s="855"/>
      <c r="AF88" s="855"/>
      <c r="AG88" s="855"/>
      <c r="AH88" s="855"/>
      <c r="AI88" s="855">
        <f t="shared" si="81"/>
        <v>437</v>
      </c>
      <c r="AJ88" s="855">
        <v>437</v>
      </c>
      <c r="AK88" s="848"/>
      <c r="AL88" s="848"/>
      <c r="AM88" s="848"/>
      <c r="AN88" s="848"/>
      <c r="AO88" s="848"/>
      <c r="AP88" s="848"/>
      <c r="AQ88" s="848"/>
      <c r="AR88" s="848"/>
      <c r="AS88" s="848"/>
      <c r="AT88" s="848"/>
      <c r="AU88" s="848"/>
      <c r="AV88" s="848"/>
      <c r="AW88" s="848"/>
      <c r="AX88" s="848"/>
      <c r="AY88" s="855">
        <f t="shared" si="79"/>
        <v>0</v>
      </c>
      <c r="AZ88" s="848"/>
      <c r="BA88" s="848"/>
      <c r="BB88" s="848"/>
      <c r="BC88" s="848"/>
      <c r="BD88" s="848"/>
      <c r="BE88" s="848"/>
      <c r="BF88" s="848"/>
      <c r="BG88" s="848"/>
      <c r="BH88" s="848"/>
      <c r="BI88" s="848"/>
      <c r="BJ88" s="848"/>
      <c r="BK88" s="848"/>
      <c r="BL88" s="848"/>
      <c r="BM88" s="848"/>
      <c r="BN88" s="848"/>
      <c r="BO88" s="848">
        <f t="shared" si="80"/>
        <v>120.250078</v>
      </c>
      <c r="BP88" s="855">
        <v>120.250078</v>
      </c>
      <c r="BQ88" s="848"/>
      <c r="BR88" s="848"/>
      <c r="BS88" s="848"/>
      <c r="BT88" s="848"/>
      <c r="BU88" s="848"/>
      <c r="BV88" s="848"/>
      <c r="BW88" s="848"/>
      <c r="BX88" s="848"/>
      <c r="BY88" s="848"/>
      <c r="BZ88" s="848"/>
      <c r="CA88" s="848"/>
      <c r="CB88" s="848"/>
      <c r="CC88" s="848"/>
      <c r="CD88" s="848"/>
      <c r="CE88" s="848"/>
      <c r="CF88" s="848"/>
      <c r="CG88" s="848"/>
      <c r="CH88" s="848"/>
      <c r="CI88" s="848"/>
      <c r="CJ88" s="848"/>
      <c r="CK88" s="848"/>
      <c r="CL88" s="848"/>
      <c r="CM88" s="848"/>
      <c r="CN88" s="848"/>
      <c r="CO88" s="848"/>
      <c r="CP88" s="848"/>
      <c r="CQ88" s="848"/>
      <c r="CR88" s="848"/>
      <c r="CS88" s="848"/>
      <c r="CT88" s="848"/>
      <c r="CU88" s="848"/>
      <c r="CV88" s="848"/>
      <c r="CW88" s="848"/>
    </row>
    <row r="89" spans="1:101" s="851" customFormat="1" ht="36" customHeight="1">
      <c r="A89" s="845"/>
      <c r="B89" s="864" t="s">
        <v>465</v>
      </c>
      <c r="C89" s="852" t="s">
        <v>486</v>
      </c>
      <c r="D89" s="846"/>
      <c r="E89" s="845"/>
      <c r="F89" s="847"/>
      <c r="G89" s="845"/>
      <c r="H89" s="850">
        <f t="shared" si="82"/>
        <v>0</v>
      </c>
      <c r="I89" s="848"/>
      <c r="J89" s="848"/>
      <c r="K89" s="848"/>
      <c r="L89" s="848"/>
      <c r="M89" s="848"/>
      <c r="N89" s="848"/>
      <c r="O89" s="848"/>
      <c r="P89" s="848"/>
      <c r="Q89" s="848"/>
      <c r="R89" s="848"/>
      <c r="S89" s="848"/>
      <c r="T89" s="855">
        <f t="shared" si="83"/>
        <v>0</v>
      </c>
      <c r="U89" s="848"/>
      <c r="V89" s="848"/>
      <c r="W89" s="848"/>
      <c r="X89" s="848"/>
      <c r="Y89" s="848"/>
      <c r="Z89" s="848"/>
      <c r="AA89" s="848"/>
      <c r="AB89" s="848"/>
      <c r="AC89" s="848"/>
      <c r="AD89" s="848"/>
      <c r="AE89" s="848"/>
      <c r="AF89" s="848"/>
      <c r="AG89" s="848"/>
      <c r="AH89" s="855"/>
      <c r="AI89" s="855">
        <f t="shared" si="81"/>
        <v>220</v>
      </c>
      <c r="AJ89" s="855">
        <v>220</v>
      </c>
      <c r="AK89" s="848"/>
      <c r="AL89" s="848"/>
      <c r="AM89" s="848"/>
      <c r="AN89" s="848"/>
      <c r="AO89" s="848"/>
      <c r="AP89" s="848"/>
      <c r="AQ89" s="848"/>
      <c r="AR89" s="848"/>
      <c r="AS89" s="848"/>
      <c r="AT89" s="848"/>
      <c r="AU89" s="848"/>
      <c r="AV89" s="848"/>
      <c r="AW89" s="848"/>
      <c r="AX89" s="848"/>
      <c r="AY89" s="855">
        <f t="shared" si="79"/>
        <v>0</v>
      </c>
      <c r="AZ89" s="848"/>
      <c r="BA89" s="848"/>
      <c r="BB89" s="848"/>
      <c r="BC89" s="848"/>
      <c r="BD89" s="848"/>
      <c r="BE89" s="848"/>
      <c r="BF89" s="848"/>
      <c r="BG89" s="848"/>
      <c r="BH89" s="848"/>
      <c r="BI89" s="848"/>
      <c r="BJ89" s="848"/>
      <c r="BK89" s="848"/>
      <c r="BL89" s="848"/>
      <c r="BM89" s="848"/>
      <c r="BN89" s="848"/>
      <c r="BO89" s="848">
        <f t="shared" si="80"/>
        <v>202.54263900000001</v>
      </c>
      <c r="BP89" s="855">
        <v>202.54263900000001</v>
      </c>
      <c r="BQ89" s="848"/>
      <c r="BR89" s="848"/>
      <c r="BS89" s="848"/>
      <c r="BT89" s="848"/>
      <c r="BU89" s="848"/>
      <c r="BV89" s="848"/>
      <c r="BW89" s="848"/>
      <c r="BX89" s="848"/>
      <c r="BY89" s="848"/>
      <c r="BZ89" s="848"/>
      <c r="CA89" s="848"/>
      <c r="CB89" s="848"/>
      <c r="CC89" s="848"/>
      <c r="CD89" s="848"/>
      <c r="CE89" s="848"/>
      <c r="CF89" s="848"/>
      <c r="CG89" s="848"/>
      <c r="CH89" s="848"/>
      <c r="CI89" s="848"/>
      <c r="CJ89" s="848"/>
      <c r="CK89" s="848"/>
      <c r="CL89" s="848"/>
      <c r="CM89" s="848"/>
      <c r="CN89" s="848"/>
      <c r="CO89" s="848"/>
      <c r="CP89" s="848"/>
      <c r="CQ89" s="848"/>
      <c r="CR89" s="848"/>
      <c r="CS89" s="848"/>
      <c r="CT89" s="848"/>
      <c r="CU89" s="848"/>
      <c r="CV89" s="848"/>
      <c r="CW89" s="848"/>
    </row>
    <row r="90" spans="1:101" s="851" customFormat="1" ht="37.15" customHeight="1">
      <c r="A90" s="845"/>
      <c r="B90" s="864" t="s">
        <v>465</v>
      </c>
      <c r="C90" s="852" t="s">
        <v>487</v>
      </c>
      <c r="D90" s="846"/>
      <c r="E90" s="845"/>
      <c r="F90" s="861">
        <v>2016</v>
      </c>
      <c r="G90" s="861" t="s">
        <v>473</v>
      </c>
      <c r="H90" s="850">
        <f t="shared" si="82"/>
        <v>0</v>
      </c>
      <c r="I90" s="848"/>
      <c r="J90" s="848"/>
      <c r="K90" s="848"/>
      <c r="L90" s="848"/>
      <c r="M90" s="848"/>
      <c r="N90" s="848"/>
      <c r="O90" s="848"/>
      <c r="P90" s="848"/>
      <c r="Q90" s="848"/>
      <c r="R90" s="848"/>
      <c r="S90" s="848"/>
      <c r="T90" s="855">
        <f t="shared" si="83"/>
        <v>0</v>
      </c>
      <c r="U90" s="848"/>
      <c r="V90" s="848"/>
      <c r="W90" s="848"/>
      <c r="X90" s="848"/>
      <c r="Y90" s="848"/>
      <c r="Z90" s="848"/>
      <c r="AA90" s="848"/>
      <c r="AB90" s="848"/>
      <c r="AC90" s="848"/>
      <c r="AD90" s="848"/>
      <c r="AE90" s="848"/>
      <c r="AF90" s="848"/>
      <c r="AG90" s="848"/>
      <c r="AH90" s="848"/>
      <c r="AI90" s="855">
        <f t="shared" si="81"/>
        <v>220</v>
      </c>
      <c r="AJ90" s="855">
        <v>220</v>
      </c>
      <c r="AK90" s="848"/>
      <c r="AL90" s="848"/>
      <c r="AM90" s="848"/>
      <c r="AN90" s="848"/>
      <c r="AO90" s="848"/>
      <c r="AP90" s="848"/>
      <c r="AQ90" s="848"/>
      <c r="AR90" s="848"/>
      <c r="AS90" s="848"/>
      <c r="AT90" s="848"/>
      <c r="AU90" s="848"/>
      <c r="AV90" s="848"/>
      <c r="AW90" s="848"/>
      <c r="AX90" s="848"/>
      <c r="AY90" s="855">
        <f t="shared" si="79"/>
        <v>0</v>
      </c>
      <c r="AZ90" s="848"/>
      <c r="BA90" s="848"/>
      <c r="BB90" s="848"/>
      <c r="BC90" s="848"/>
      <c r="BD90" s="848"/>
      <c r="BE90" s="848"/>
      <c r="BF90" s="848"/>
      <c r="BG90" s="848"/>
      <c r="BH90" s="848"/>
      <c r="BI90" s="848"/>
      <c r="BJ90" s="848"/>
      <c r="BK90" s="848"/>
      <c r="BL90" s="848"/>
      <c r="BM90" s="848"/>
      <c r="BN90" s="848"/>
      <c r="BO90" s="848">
        <f t="shared" si="80"/>
        <v>219.98293000000001</v>
      </c>
      <c r="BP90" s="855">
        <v>219.98293000000001</v>
      </c>
      <c r="BQ90" s="848"/>
      <c r="BR90" s="848"/>
      <c r="BS90" s="848"/>
      <c r="BT90" s="848"/>
      <c r="BU90" s="848"/>
      <c r="BV90" s="848"/>
      <c r="BW90" s="848"/>
      <c r="BX90" s="848"/>
      <c r="BY90" s="848"/>
      <c r="BZ90" s="848"/>
      <c r="CA90" s="848"/>
      <c r="CB90" s="848"/>
      <c r="CC90" s="848"/>
      <c r="CD90" s="848"/>
      <c r="CE90" s="848"/>
      <c r="CF90" s="848"/>
      <c r="CG90" s="848"/>
      <c r="CH90" s="848"/>
      <c r="CI90" s="848"/>
      <c r="CJ90" s="848"/>
      <c r="CK90" s="848"/>
      <c r="CL90" s="848"/>
      <c r="CM90" s="848"/>
      <c r="CN90" s="848"/>
      <c r="CO90" s="848"/>
      <c r="CP90" s="848"/>
      <c r="CQ90" s="848"/>
      <c r="CR90" s="848"/>
      <c r="CS90" s="848"/>
      <c r="CT90" s="848"/>
      <c r="CU90" s="848"/>
      <c r="CV90" s="848"/>
      <c r="CW90" s="848"/>
    </row>
    <row r="91" spans="1:101" s="851" customFormat="1" ht="42" customHeight="1">
      <c r="A91" s="845"/>
      <c r="B91" s="864" t="s">
        <v>465</v>
      </c>
      <c r="C91" s="852" t="s">
        <v>488</v>
      </c>
      <c r="D91" s="846"/>
      <c r="E91" s="845"/>
      <c r="F91" s="861">
        <v>2016</v>
      </c>
      <c r="G91" s="861" t="s">
        <v>473</v>
      </c>
      <c r="H91" s="850">
        <f t="shared" si="82"/>
        <v>0</v>
      </c>
      <c r="I91" s="848"/>
      <c r="J91" s="848"/>
      <c r="K91" s="848"/>
      <c r="L91" s="848"/>
      <c r="M91" s="848"/>
      <c r="N91" s="848"/>
      <c r="O91" s="848"/>
      <c r="P91" s="848"/>
      <c r="Q91" s="848"/>
      <c r="R91" s="848"/>
      <c r="S91" s="848"/>
      <c r="T91" s="855">
        <f t="shared" si="83"/>
        <v>0</v>
      </c>
      <c r="U91" s="848"/>
      <c r="V91" s="848"/>
      <c r="W91" s="848"/>
      <c r="X91" s="848"/>
      <c r="Y91" s="848"/>
      <c r="Z91" s="848"/>
      <c r="AA91" s="848"/>
      <c r="AB91" s="848"/>
      <c r="AC91" s="848"/>
      <c r="AD91" s="848"/>
      <c r="AE91" s="848"/>
      <c r="AF91" s="848"/>
      <c r="AG91" s="848"/>
      <c r="AH91" s="848"/>
      <c r="AI91" s="855">
        <f t="shared" si="81"/>
        <v>220</v>
      </c>
      <c r="AJ91" s="855">
        <v>220</v>
      </c>
      <c r="AK91" s="848"/>
      <c r="AL91" s="848"/>
      <c r="AM91" s="848"/>
      <c r="AN91" s="848"/>
      <c r="AO91" s="848"/>
      <c r="AP91" s="848"/>
      <c r="AQ91" s="848"/>
      <c r="AR91" s="848"/>
      <c r="AS91" s="848"/>
      <c r="AT91" s="848"/>
      <c r="AU91" s="848"/>
      <c r="AV91" s="848"/>
      <c r="AW91" s="848"/>
      <c r="AX91" s="848"/>
      <c r="AY91" s="855">
        <f t="shared" si="79"/>
        <v>0</v>
      </c>
      <c r="AZ91" s="848"/>
      <c r="BA91" s="848"/>
      <c r="BB91" s="848"/>
      <c r="BC91" s="848"/>
      <c r="BD91" s="848"/>
      <c r="BE91" s="848"/>
      <c r="BF91" s="848"/>
      <c r="BG91" s="848"/>
      <c r="BH91" s="848"/>
      <c r="BI91" s="848"/>
      <c r="BJ91" s="848"/>
      <c r="BK91" s="848"/>
      <c r="BL91" s="848"/>
      <c r="BM91" s="848"/>
      <c r="BN91" s="848"/>
      <c r="BO91" s="848">
        <f t="shared" si="80"/>
        <v>211.55947399999999</v>
      </c>
      <c r="BP91" s="855">
        <v>211.55947399999999</v>
      </c>
      <c r="BQ91" s="848"/>
      <c r="BR91" s="848"/>
      <c r="BS91" s="848"/>
      <c r="BT91" s="848"/>
      <c r="BU91" s="848"/>
      <c r="BV91" s="848"/>
      <c r="BW91" s="848"/>
      <c r="BX91" s="848"/>
      <c r="BY91" s="848"/>
      <c r="BZ91" s="848"/>
      <c r="CA91" s="848"/>
      <c r="CB91" s="848"/>
      <c r="CC91" s="848"/>
      <c r="CD91" s="848"/>
      <c r="CE91" s="848"/>
      <c r="CF91" s="848"/>
      <c r="CG91" s="848"/>
      <c r="CH91" s="848"/>
      <c r="CI91" s="848"/>
      <c r="CJ91" s="848"/>
      <c r="CK91" s="848"/>
      <c r="CL91" s="848"/>
      <c r="CM91" s="848"/>
      <c r="CN91" s="848"/>
      <c r="CO91" s="848"/>
      <c r="CP91" s="848"/>
      <c r="CQ91" s="848"/>
      <c r="CR91" s="848"/>
      <c r="CS91" s="848"/>
      <c r="CT91" s="848"/>
      <c r="CU91" s="848"/>
      <c r="CV91" s="848"/>
      <c r="CW91" s="848"/>
    </row>
    <row r="92" spans="1:101" s="851" customFormat="1" ht="41.45" customHeight="1">
      <c r="A92" s="845"/>
      <c r="B92" s="864" t="s">
        <v>465</v>
      </c>
      <c r="C92" s="852" t="s">
        <v>489</v>
      </c>
      <c r="D92" s="846"/>
      <c r="E92" s="845"/>
      <c r="F92" s="861">
        <v>2016</v>
      </c>
      <c r="G92" s="861" t="s">
        <v>473</v>
      </c>
      <c r="H92" s="850">
        <f t="shared" si="82"/>
        <v>0</v>
      </c>
      <c r="I92" s="848"/>
      <c r="J92" s="848"/>
      <c r="K92" s="848"/>
      <c r="L92" s="848"/>
      <c r="M92" s="848"/>
      <c r="N92" s="848"/>
      <c r="O92" s="848"/>
      <c r="P92" s="848"/>
      <c r="Q92" s="848"/>
      <c r="R92" s="848"/>
      <c r="S92" s="848"/>
      <c r="T92" s="855">
        <f t="shared" si="83"/>
        <v>0</v>
      </c>
      <c r="U92" s="848"/>
      <c r="V92" s="848"/>
      <c r="W92" s="848"/>
      <c r="X92" s="848"/>
      <c r="Y92" s="848"/>
      <c r="Z92" s="848"/>
      <c r="AA92" s="848"/>
      <c r="AB92" s="848"/>
      <c r="AC92" s="848"/>
      <c r="AD92" s="848"/>
      <c r="AE92" s="848"/>
      <c r="AF92" s="848"/>
      <c r="AG92" s="848"/>
      <c r="AH92" s="855"/>
      <c r="AI92" s="855">
        <f t="shared" si="81"/>
        <v>220</v>
      </c>
      <c r="AJ92" s="855">
        <v>220</v>
      </c>
      <c r="AK92" s="848"/>
      <c r="AL92" s="848"/>
      <c r="AM92" s="848"/>
      <c r="AN92" s="848"/>
      <c r="AO92" s="848"/>
      <c r="AP92" s="848"/>
      <c r="AQ92" s="848"/>
      <c r="AR92" s="848"/>
      <c r="AS92" s="848"/>
      <c r="AT92" s="848"/>
      <c r="AU92" s="848"/>
      <c r="AV92" s="848"/>
      <c r="AW92" s="848"/>
      <c r="AX92" s="848"/>
      <c r="AY92" s="855">
        <f t="shared" si="79"/>
        <v>0</v>
      </c>
      <c r="AZ92" s="848"/>
      <c r="BA92" s="848"/>
      <c r="BB92" s="848"/>
      <c r="BC92" s="848"/>
      <c r="BD92" s="848"/>
      <c r="BE92" s="848"/>
      <c r="BF92" s="848"/>
      <c r="BG92" s="848"/>
      <c r="BH92" s="848"/>
      <c r="BI92" s="848"/>
      <c r="BJ92" s="848"/>
      <c r="BK92" s="848"/>
      <c r="BL92" s="848"/>
      <c r="BM92" s="848"/>
      <c r="BN92" s="848"/>
      <c r="BO92" s="848">
        <f t="shared" si="80"/>
        <v>219.83883</v>
      </c>
      <c r="BP92" s="855">
        <v>219.83883</v>
      </c>
      <c r="BQ92" s="848"/>
      <c r="BR92" s="848"/>
      <c r="BS92" s="848"/>
      <c r="BT92" s="848"/>
      <c r="BU92" s="848"/>
      <c r="BV92" s="848"/>
      <c r="BW92" s="848"/>
      <c r="BX92" s="848"/>
      <c r="BY92" s="848"/>
      <c r="BZ92" s="848"/>
      <c r="CA92" s="848"/>
      <c r="CB92" s="848"/>
      <c r="CC92" s="848"/>
      <c r="CD92" s="848"/>
      <c r="CE92" s="848"/>
      <c r="CF92" s="848"/>
      <c r="CG92" s="848"/>
      <c r="CH92" s="848"/>
      <c r="CI92" s="848"/>
      <c r="CJ92" s="848"/>
      <c r="CK92" s="848"/>
      <c r="CL92" s="848"/>
      <c r="CM92" s="848"/>
      <c r="CN92" s="848"/>
      <c r="CO92" s="848"/>
      <c r="CP92" s="848"/>
      <c r="CQ92" s="848"/>
      <c r="CR92" s="848"/>
      <c r="CS92" s="848"/>
      <c r="CT92" s="848"/>
      <c r="CU92" s="848"/>
      <c r="CV92" s="848"/>
      <c r="CW92" s="848"/>
    </row>
    <row r="93" spans="1:101" s="851" customFormat="1" ht="40.15" customHeight="1">
      <c r="A93" s="845"/>
      <c r="B93" s="864" t="s">
        <v>465</v>
      </c>
      <c r="C93" s="852" t="s">
        <v>490</v>
      </c>
      <c r="D93" s="846"/>
      <c r="E93" s="845"/>
      <c r="F93" s="861">
        <v>2016</v>
      </c>
      <c r="G93" s="861" t="s">
        <v>473</v>
      </c>
      <c r="H93" s="850">
        <f t="shared" si="82"/>
        <v>0</v>
      </c>
      <c r="I93" s="848"/>
      <c r="J93" s="848"/>
      <c r="K93" s="848"/>
      <c r="L93" s="848"/>
      <c r="M93" s="848"/>
      <c r="N93" s="848"/>
      <c r="O93" s="848"/>
      <c r="P93" s="848"/>
      <c r="Q93" s="848"/>
      <c r="R93" s="848"/>
      <c r="S93" s="848"/>
      <c r="T93" s="855">
        <f t="shared" si="83"/>
        <v>170</v>
      </c>
      <c r="U93" s="855">
        <v>170</v>
      </c>
      <c r="V93" s="855"/>
      <c r="W93" s="848"/>
      <c r="X93" s="848"/>
      <c r="Y93" s="848"/>
      <c r="Z93" s="848"/>
      <c r="AA93" s="848"/>
      <c r="AB93" s="848"/>
      <c r="AC93" s="848"/>
      <c r="AD93" s="848"/>
      <c r="AE93" s="848"/>
      <c r="AF93" s="848"/>
      <c r="AG93" s="848"/>
      <c r="AH93" s="855"/>
      <c r="AI93" s="855">
        <f t="shared" si="81"/>
        <v>220</v>
      </c>
      <c r="AJ93" s="855">
        <v>220</v>
      </c>
      <c r="AK93" s="848"/>
      <c r="AL93" s="848"/>
      <c r="AM93" s="848"/>
      <c r="AN93" s="848"/>
      <c r="AO93" s="848"/>
      <c r="AP93" s="848"/>
      <c r="AQ93" s="848"/>
      <c r="AR93" s="848"/>
      <c r="AS93" s="848"/>
      <c r="AT93" s="848"/>
      <c r="AU93" s="848"/>
      <c r="AV93" s="848"/>
      <c r="AW93" s="848"/>
      <c r="AX93" s="848"/>
      <c r="AY93" s="855">
        <f t="shared" si="79"/>
        <v>0</v>
      </c>
      <c r="AZ93" s="848"/>
      <c r="BA93" s="848"/>
      <c r="BB93" s="848"/>
      <c r="BC93" s="848"/>
      <c r="BD93" s="848"/>
      <c r="BE93" s="848"/>
      <c r="BF93" s="848"/>
      <c r="BG93" s="848"/>
      <c r="BH93" s="848"/>
      <c r="BI93" s="848"/>
      <c r="BJ93" s="848"/>
      <c r="BK93" s="848"/>
      <c r="BL93" s="848"/>
      <c r="BM93" s="848"/>
      <c r="BN93" s="848"/>
      <c r="BO93" s="848">
        <f t="shared" si="80"/>
        <v>39.782640000000001</v>
      </c>
      <c r="BP93" s="855">
        <v>39.782640000000001</v>
      </c>
      <c r="BQ93" s="848"/>
      <c r="BR93" s="848"/>
      <c r="BS93" s="848"/>
      <c r="BT93" s="848"/>
      <c r="BU93" s="848"/>
      <c r="BV93" s="848"/>
      <c r="BW93" s="848"/>
      <c r="BX93" s="848"/>
      <c r="BY93" s="848"/>
      <c r="BZ93" s="848"/>
      <c r="CA93" s="848"/>
      <c r="CB93" s="848"/>
      <c r="CC93" s="848"/>
      <c r="CD93" s="848"/>
      <c r="CE93" s="848"/>
      <c r="CF93" s="848"/>
      <c r="CG93" s="848"/>
      <c r="CH93" s="848"/>
      <c r="CI93" s="848"/>
      <c r="CJ93" s="848"/>
      <c r="CK93" s="848"/>
      <c r="CL93" s="848"/>
      <c r="CM93" s="848"/>
      <c r="CN93" s="848"/>
      <c r="CO93" s="848"/>
      <c r="CP93" s="848"/>
      <c r="CQ93" s="848"/>
      <c r="CR93" s="848"/>
      <c r="CS93" s="848"/>
      <c r="CT93" s="848"/>
      <c r="CU93" s="848"/>
      <c r="CV93" s="848"/>
      <c r="CW93" s="848"/>
    </row>
    <row r="94" spans="1:101" s="851" customFormat="1" ht="37.9" customHeight="1">
      <c r="A94" s="845"/>
      <c r="B94" s="864" t="s">
        <v>465</v>
      </c>
      <c r="C94" s="852" t="s">
        <v>491</v>
      </c>
      <c r="D94" s="846"/>
      <c r="E94" s="845"/>
      <c r="F94" s="861">
        <v>2016</v>
      </c>
      <c r="G94" s="861" t="s">
        <v>473</v>
      </c>
      <c r="H94" s="850">
        <f t="shared" si="82"/>
        <v>0</v>
      </c>
      <c r="I94" s="848"/>
      <c r="J94" s="848"/>
      <c r="K94" s="848"/>
      <c r="L94" s="848"/>
      <c r="M94" s="848"/>
      <c r="N94" s="848"/>
      <c r="O94" s="848"/>
      <c r="P94" s="848"/>
      <c r="Q94" s="848"/>
      <c r="R94" s="848"/>
      <c r="S94" s="855"/>
      <c r="T94" s="855">
        <f t="shared" si="83"/>
        <v>291</v>
      </c>
      <c r="U94" s="855">
        <v>291</v>
      </c>
      <c r="V94" s="848"/>
      <c r="W94" s="848"/>
      <c r="X94" s="848"/>
      <c r="Y94" s="848"/>
      <c r="Z94" s="848"/>
      <c r="AA94" s="848"/>
      <c r="AB94" s="848"/>
      <c r="AC94" s="848"/>
      <c r="AD94" s="848"/>
      <c r="AE94" s="848"/>
      <c r="AF94" s="848"/>
      <c r="AG94" s="848"/>
      <c r="AH94" s="855"/>
      <c r="AI94" s="855">
        <f t="shared" si="81"/>
        <v>375</v>
      </c>
      <c r="AJ94" s="855">
        <v>375</v>
      </c>
      <c r="AK94" s="848"/>
      <c r="AL94" s="848"/>
      <c r="AM94" s="848"/>
      <c r="AN94" s="848"/>
      <c r="AO94" s="848"/>
      <c r="AP94" s="848"/>
      <c r="AQ94" s="848"/>
      <c r="AR94" s="848"/>
      <c r="AS94" s="848"/>
      <c r="AT94" s="848"/>
      <c r="AU94" s="848"/>
      <c r="AV94" s="848"/>
      <c r="AW94" s="848"/>
      <c r="AX94" s="848"/>
      <c r="AY94" s="855">
        <f t="shared" si="79"/>
        <v>0</v>
      </c>
      <c r="AZ94" s="848"/>
      <c r="BA94" s="848"/>
      <c r="BB94" s="848"/>
      <c r="BC94" s="848"/>
      <c r="BD94" s="848"/>
      <c r="BE94" s="848"/>
      <c r="BF94" s="848"/>
      <c r="BG94" s="848"/>
      <c r="BH94" s="848"/>
      <c r="BI94" s="848"/>
      <c r="BJ94" s="848"/>
      <c r="BK94" s="848"/>
      <c r="BL94" s="848"/>
      <c r="BM94" s="848"/>
      <c r="BN94" s="848"/>
      <c r="BO94" s="848">
        <f t="shared" si="80"/>
        <v>83.957228000000001</v>
      </c>
      <c r="BP94" s="855">
        <v>83.957228000000001</v>
      </c>
      <c r="BQ94" s="848"/>
      <c r="BR94" s="848"/>
      <c r="BS94" s="848"/>
      <c r="BT94" s="848"/>
      <c r="BU94" s="848"/>
      <c r="BV94" s="848"/>
      <c r="BW94" s="848"/>
      <c r="BX94" s="848"/>
      <c r="BY94" s="848"/>
      <c r="BZ94" s="848"/>
      <c r="CA94" s="848"/>
      <c r="CB94" s="848"/>
      <c r="CC94" s="848"/>
      <c r="CD94" s="848"/>
      <c r="CE94" s="848"/>
      <c r="CF94" s="848"/>
      <c r="CG94" s="848"/>
      <c r="CH94" s="848"/>
      <c r="CI94" s="848"/>
      <c r="CJ94" s="848"/>
      <c r="CK94" s="848"/>
      <c r="CL94" s="848"/>
      <c r="CM94" s="848"/>
      <c r="CN94" s="848"/>
      <c r="CO94" s="848"/>
      <c r="CP94" s="848"/>
      <c r="CQ94" s="848"/>
      <c r="CR94" s="848"/>
      <c r="CS94" s="848"/>
      <c r="CT94" s="848"/>
      <c r="CU94" s="848"/>
      <c r="CV94" s="848"/>
      <c r="CW94" s="848"/>
    </row>
    <row r="95" spans="1:101" s="851" customFormat="1" ht="39.6" customHeight="1">
      <c r="A95" s="845"/>
      <c r="B95" s="864" t="s">
        <v>465</v>
      </c>
      <c r="C95" s="852" t="s">
        <v>492</v>
      </c>
      <c r="D95" s="846"/>
      <c r="E95" s="845"/>
      <c r="F95" s="861">
        <v>2016</v>
      </c>
      <c r="G95" s="861" t="s">
        <v>473</v>
      </c>
      <c r="H95" s="850">
        <f t="shared" si="82"/>
        <v>0</v>
      </c>
      <c r="I95" s="848"/>
      <c r="J95" s="848"/>
      <c r="K95" s="848"/>
      <c r="L95" s="848"/>
      <c r="M95" s="848"/>
      <c r="N95" s="848"/>
      <c r="O95" s="848"/>
      <c r="P95" s="848"/>
      <c r="Q95" s="848"/>
      <c r="R95" s="848"/>
      <c r="S95" s="848"/>
      <c r="T95" s="855">
        <f t="shared" si="83"/>
        <v>390</v>
      </c>
      <c r="U95" s="855">
        <v>390</v>
      </c>
      <c r="V95" s="848"/>
      <c r="W95" s="848"/>
      <c r="X95" s="848"/>
      <c r="Y95" s="848"/>
      <c r="Z95" s="848"/>
      <c r="AA95" s="848"/>
      <c r="AB95" s="848"/>
      <c r="AC95" s="848"/>
      <c r="AD95" s="848"/>
      <c r="AE95" s="848"/>
      <c r="AF95" s="848"/>
      <c r="AG95" s="848"/>
      <c r="AH95" s="855"/>
      <c r="AI95" s="855">
        <f t="shared" si="81"/>
        <v>504</v>
      </c>
      <c r="AJ95" s="855">
        <v>504</v>
      </c>
      <c r="AK95" s="848"/>
      <c r="AL95" s="848"/>
      <c r="AM95" s="848"/>
      <c r="AN95" s="848"/>
      <c r="AO95" s="848"/>
      <c r="AP95" s="848"/>
      <c r="AQ95" s="848"/>
      <c r="AR95" s="848"/>
      <c r="AS95" s="848"/>
      <c r="AT95" s="848"/>
      <c r="AU95" s="848"/>
      <c r="AV95" s="848"/>
      <c r="AW95" s="848"/>
      <c r="AX95" s="848"/>
      <c r="AY95" s="855">
        <f t="shared" si="79"/>
        <v>0</v>
      </c>
      <c r="AZ95" s="848"/>
      <c r="BA95" s="848"/>
      <c r="BB95" s="848"/>
      <c r="BC95" s="848"/>
      <c r="BD95" s="848"/>
      <c r="BE95" s="848"/>
      <c r="BF95" s="848"/>
      <c r="BG95" s="848"/>
      <c r="BH95" s="848"/>
      <c r="BI95" s="848"/>
      <c r="BJ95" s="848"/>
      <c r="BK95" s="848"/>
      <c r="BL95" s="848"/>
      <c r="BM95" s="848"/>
      <c r="BN95" s="848"/>
      <c r="BO95" s="848">
        <f t="shared" si="80"/>
        <v>113.939004</v>
      </c>
      <c r="BP95" s="855">
        <v>113.939004</v>
      </c>
      <c r="BQ95" s="848"/>
      <c r="BR95" s="848"/>
      <c r="BS95" s="848"/>
      <c r="BT95" s="848"/>
      <c r="BU95" s="848"/>
      <c r="BV95" s="848"/>
      <c r="BW95" s="848"/>
      <c r="BX95" s="848"/>
      <c r="BY95" s="848"/>
      <c r="BZ95" s="848"/>
      <c r="CA95" s="848"/>
      <c r="CB95" s="848"/>
      <c r="CC95" s="848"/>
      <c r="CD95" s="848"/>
      <c r="CE95" s="848"/>
      <c r="CF95" s="848"/>
      <c r="CG95" s="848"/>
      <c r="CH95" s="848"/>
      <c r="CI95" s="848"/>
      <c r="CJ95" s="848"/>
      <c r="CK95" s="848"/>
      <c r="CL95" s="848"/>
      <c r="CM95" s="848"/>
      <c r="CN95" s="848"/>
      <c r="CO95" s="848"/>
      <c r="CP95" s="848"/>
      <c r="CQ95" s="848"/>
      <c r="CR95" s="848"/>
      <c r="CS95" s="848"/>
      <c r="CT95" s="848"/>
      <c r="CU95" s="848"/>
      <c r="CV95" s="848"/>
      <c r="CW95" s="848"/>
    </row>
    <row r="96" spans="1:101" s="851" customFormat="1" ht="29.45" customHeight="1">
      <c r="A96" s="845"/>
      <c r="B96" s="864" t="s">
        <v>465</v>
      </c>
      <c r="C96" s="852" t="s">
        <v>493</v>
      </c>
      <c r="D96" s="846"/>
      <c r="E96" s="845"/>
      <c r="F96" s="861">
        <v>2016</v>
      </c>
      <c r="G96" s="861" t="s">
        <v>473</v>
      </c>
      <c r="H96" s="850">
        <f t="shared" si="82"/>
        <v>0</v>
      </c>
      <c r="I96" s="848"/>
      <c r="J96" s="848"/>
      <c r="K96" s="848"/>
      <c r="L96" s="848"/>
      <c r="M96" s="848"/>
      <c r="N96" s="848"/>
      <c r="O96" s="848"/>
      <c r="P96" s="848"/>
      <c r="Q96" s="848"/>
      <c r="R96" s="848"/>
      <c r="S96" s="848"/>
      <c r="T96" s="855">
        <f t="shared" si="83"/>
        <v>800</v>
      </c>
      <c r="U96" s="855">
        <v>800</v>
      </c>
      <c r="V96" s="848"/>
      <c r="W96" s="848"/>
      <c r="X96" s="848"/>
      <c r="Y96" s="848"/>
      <c r="Z96" s="848"/>
      <c r="AA96" s="848"/>
      <c r="AB96" s="848"/>
      <c r="AC96" s="848"/>
      <c r="AD96" s="848"/>
      <c r="AE96" s="848"/>
      <c r="AF96" s="848"/>
      <c r="AG96" s="848"/>
      <c r="AH96" s="848"/>
      <c r="AI96" s="855">
        <f t="shared" si="81"/>
        <v>1100</v>
      </c>
      <c r="AJ96" s="855">
        <v>1100</v>
      </c>
      <c r="AK96" s="848"/>
      <c r="AL96" s="848"/>
      <c r="AM96" s="848"/>
      <c r="AN96" s="848"/>
      <c r="AO96" s="848"/>
      <c r="AP96" s="848"/>
      <c r="AQ96" s="848"/>
      <c r="AR96" s="848"/>
      <c r="AS96" s="848"/>
      <c r="AT96" s="848"/>
      <c r="AU96" s="848"/>
      <c r="AV96" s="848"/>
      <c r="AW96" s="848"/>
      <c r="AX96" s="848"/>
      <c r="AY96" s="855">
        <f t="shared" si="79"/>
        <v>0</v>
      </c>
      <c r="AZ96" s="848"/>
      <c r="BA96" s="848"/>
      <c r="BB96" s="848"/>
      <c r="BC96" s="848"/>
      <c r="BD96" s="848"/>
      <c r="BE96" s="848"/>
      <c r="BF96" s="848"/>
      <c r="BG96" s="848"/>
      <c r="BH96" s="848"/>
      <c r="BI96" s="848"/>
      <c r="BJ96" s="848"/>
      <c r="BK96" s="848"/>
      <c r="BL96" s="848"/>
      <c r="BM96" s="848"/>
      <c r="BN96" s="848"/>
      <c r="BO96" s="848">
        <f t="shared" si="80"/>
        <v>299.77939500000002</v>
      </c>
      <c r="BP96" s="855">
        <v>299.77939500000002</v>
      </c>
      <c r="BQ96" s="848"/>
      <c r="BR96" s="848"/>
      <c r="BS96" s="848"/>
      <c r="BT96" s="848"/>
      <c r="BU96" s="848"/>
      <c r="BV96" s="848"/>
      <c r="BW96" s="848"/>
      <c r="BX96" s="848"/>
      <c r="BY96" s="848"/>
      <c r="BZ96" s="848"/>
      <c r="CA96" s="848"/>
      <c r="CB96" s="848"/>
      <c r="CC96" s="848"/>
      <c r="CD96" s="848"/>
      <c r="CE96" s="848"/>
      <c r="CF96" s="848"/>
      <c r="CG96" s="848"/>
      <c r="CH96" s="848"/>
      <c r="CI96" s="848"/>
      <c r="CJ96" s="848"/>
      <c r="CK96" s="848"/>
      <c r="CL96" s="848"/>
      <c r="CM96" s="848"/>
      <c r="CN96" s="848"/>
      <c r="CO96" s="848"/>
      <c r="CP96" s="848"/>
      <c r="CQ96" s="848"/>
      <c r="CR96" s="848"/>
      <c r="CS96" s="848"/>
      <c r="CT96" s="848"/>
      <c r="CU96" s="848"/>
      <c r="CV96" s="848"/>
      <c r="CW96" s="848"/>
    </row>
    <row r="97" spans="1:101" s="851" customFormat="1" ht="41.45" customHeight="1">
      <c r="A97" s="845"/>
      <c r="B97" s="864" t="s">
        <v>465</v>
      </c>
      <c r="C97" s="852" t="s">
        <v>494</v>
      </c>
      <c r="D97" s="846"/>
      <c r="E97" s="845"/>
      <c r="F97" s="861">
        <v>2016</v>
      </c>
      <c r="G97" s="861" t="s">
        <v>473</v>
      </c>
      <c r="H97" s="850">
        <f t="shared" si="82"/>
        <v>0</v>
      </c>
      <c r="I97" s="848"/>
      <c r="J97" s="848"/>
      <c r="K97" s="848"/>
      <c r="L97" s="848"/>
      <c r="M97" s="848"/>
      <c r="N97" s="848"/>
      <c r="O97" s="848"/>
      <c r="P97" s="848"/>
      <c r="Q97" s="848"/>
      <c r="R97" s="848"/>
      <c r="S97" s="848"/>
      <c r="T97" s="855">
        <f>U97</f>
        <v>0</v>
      </c>
      <c r="U97" s="855">
        <v>0</v>
      </c>
      <c r="V97" s="855"/>
      <c r="W97" s="855"/>
      <c r="X97" s="855"/>
      <c r="Y97" s="855"/>
      <c r="Z97" s="855"/>
      <c r="AA97" s="855"/>
      <c r="AB97" s="855"/>
      <c r="AC97" s="855"/>
      <c r="AD97" s="855"/>
      <c r="AE97" s="855"/>
      <c r="AF97" s="855"/>
      <c r="AG97" s="855"/>
      <c r="AH97" s="855"/>
      <c r="AI97" s="855">
        <f t="shared" si="81"/>
        <v>158</v>
      </c>
      <c r="AJ97" s="855">
        <v>158</v>
      </c>
      <c r="AK97" s="848"/>
      <c r="AL97" s="848"/>
      <c r="AM97" s="848"/>
      <c r="AN97" s="848"/>
      <c r="AO97" s="848"/>
      <c r="AP97" s="848"/>
      <c r="AQ97" s="848"/>
      <c r="AR97" s="848"/>
      <c r="AS97" s="848"/>
      <c r="AT97" s="848"/>
      <c r="AU97" s="848"/>
      <c r="AV97" s="848"/>
      <c r="AW97" s="848"/>
      <c r="AX97" s="848"/>
      <c r="AY97" s="855">
        <f t="shared" si="79"/>
        <v>0</v>
      </c>
      <c r="AZ97" s="848"/>
      <c r="BA97" s="848"/>
      <c r="BB97" s="848"/>
      <c r="BC97" s="848"/>
      <c r="BD97" s="848"/>
      <c r="BE97" s="848"/>
      <c r="BF97" s="848"/>
      <c r="BG97" s="848"/>
      <c r="BH97" s="848"/>
      <c r="BI97" s="848"/>
      <c r="BJ97" s="848"/>
      <c r="BK97" s="848"/>
      <c r="BL97" s="848"/>
      <c r="BM97" s="848"/>
      <c r="BN97" s="848"/>
      <c r="BO97" s="848">
        <f t="shared" si="80"/>
        <v>157.897785</v>
      </c>
      <c r="BP97" s="855">
        <v>157.897785</v>
      </c>
      <c r="BQ97" s="848"/>
      <c r="BR97" s="848"/>
      <c r="BS97" s="848"/>
      <c r="BT97" s="848"/>
      <c r="BU97" s="848"/>
      <c r="BV97" s="848"/>
      <c r="BW97" s="848"/>
      <c r="BX97" s="848"/>
      <c r="BY97" s="848"/>
      <c r="BZ97" s="848"/>
      <c r="CA97" s="848"/>
      <c r="CB97" s="848"/>
      <c r="CC97" s="848"/>
      <c r="CD97" s="848"/>
      <c r="CE97" s="848"/>
      <c r="CF97" s="848"/>
      <c r="CG97" s="848"/>
      <c r="CH97" s="848"/>
      <c r="CI97" s="848"/>
      <c r="CJ97" s="848"/>
      <c r="CK97" s="848"/>
      <c r="CL97" s="848"/>
      <c r="CM97" s="848"/>
      <c r="CN97" s="848"/>
      <c r="CO97" s="848"/>
      <c r="CP97" s="848"/>
      <c r="CQ97" s="848"/>
      <c r="CR97" s="848"/>
      <c r="CS97" s="848"/>
      <c r="CT97" s="848"/>
      <c r="CU97" s="848"/>
      <c r="CV97" s="848"/>
      <c r="CW97" s="848"/>
    </row>
    <row r="98" spans="1:101" s="851" customFormat="1" ht="45.6" customHeight="1">
      <c r="A98" s="845"/>
      <c r="B98" s="864" t="s">
        <v>465</v>
      </c>
      <c r="C98" s="852" t="s">
        <v>495</v>
      </c>
      <c r="D98" s="846"/>
      <c r="E98" s="845"/>
      <c r="F98" s="861">
        <v>2016</v>
      </c>
      <c r="G98" s="861" t="s">
        <v>473</v>
      </c>
      <c r="H98" s="850">
        <f t="shared" si="82"/>
        <v>0</v>
      </c>
      <c r="I98" s="848"/>
      <c r="J98" s="848"/>
      <c r="K98" s="848"/>
      <c r="L98" s="848"/>
      <c r="M98" s="848"/>
      <c r="N98" s="848"/>
      <c r="O98" s="848"/>
      <c r="P98" s="848"/>
      <c r="Q98" s="848"/>
      <c r="R98" s="848"/>
      <c r="S98" s="848"/>
      <c r="T98" s="855">
        <f t="shared" si="83"/>
        <v>508</v>
      </c>
      <c r="U98" s="855">
        <v>508</v>
      </c>
      <c r="V98" s="848"/>
      <c r="W98" s="848"/>
      <c r="X98" s="848"/>
      <c r="Y98" s="848"/>
      <c r="Z98" s="848"/>
      <c r="AA98" s="848"/>
      <c r="AB98" s="848"/>
      <c r="AC98" s="848"/>
      <c r="AD98" s="848"/>
      <c r="AE98" s="848"/>
      <c r="AF98" s="848"/>
      <c r="AG98" s="848"/>
      <c r="AH98" s="855"/>
      <c r="AI98" s="855">
        <f t="shared" si="81"/>
        <v>524</v>
      </c>
      <c r="AJ98" s="855">
        <v>524</v>
      </c>
      <c r="AK98" s="848"/>
      <c r="AL98" s="848"/>
      <c r="AM98" s="848"/>
      <c r="AN98" s="848"/>
      <c r="AO98" s="848"/>
      <c r="AP98" s="848"/>
      <c r="AQ98" s="848"/>
      <c r="AR98" s="848"/>
      <c r="AS98" s="848"/>
      <c r="AT98" s="848"/>
      <c r="AU98" s="848"/>
      <c r="AV98" s="848"/>
      <c r="AW98" s="848"/>
      <c r="AX98" s="848"/>
      <c r="AY98" s="855">
        <f t="shared" si="79"/>
        <v>0</v>
      </c>
      <c r="AZ98" s="848"/>
      <c r="BA98" s="848"/>
      <c r="BB98" s="848"/>
      <c r="BC98" s="848"/>
      <c r="BD98" s="848"/>
      <c r="BE98" s="848"/>
      <c r="BF98" s="848"/>
      <c r="BG98" s="848"/>
      <c r="BH98" s="848"/>
      <c r="BI98" s="848"/>
      <c r="BJ98" s="848"/>
      <c r="BK98" s="848"/>
      <c r="BL98" s="848"/>
      <c r="BM98" s="848"/>
      <c r="BN98" s="848"/>
      <c r="BO98" s="848">
        <f t="shared" si="80"/>
        <v>15.668067000000001</v>
      </c>
      <c r="BP98" s="855">
        <v>15.668067000000001</v>
      </c>
      <c r="BQ98" s="848"/>
      <c r="BR98" s="848"/>
      <c r="BS98" s="848"/>
      <c r="BT98" s="848"/>
      <c r="BU98" s="848"/>
      <c r="BV98" s="848"/>
      <c r="BW98" s="848"/>
      <c r="BX98" s="848"/>
      <c r="BY98" s="848"/>
      <c r="BZ98" s="848"/>
      <c r="CA98" s="848"/>
      <c r="CB98" s="848"/>
      <c r="CC98" s="848"/>
      <c r="CD98" s="848"/>
      <c r="CE98" s="848"/>
      <c r="CF98" s="848"/>
      <c r="CG98" s="848"/>
      <c r="CH98" s="848"/>
      <c r="CI98" s="848"/>
      <c r="CJ98" s="848"/>
      <c r="CK98" s="848"/>
      <c r="CL98" s="848"/>
      <c r="CM98" s="848"/>
      <c r="CN98" s="848"/>
      <c r="CO98" s="848"/>
      <c r="CP98" s="848"/>
      <c r="CQ98" s="848"/>
      <c r="CR98" s="848"/>
      <c r="CS98" s="848"/>
      <c r="CT98" s="848"/>
      <c r="CU98" s="848"/>
      <c r="CV98" s="848"/>
      <c r="CW98" s="848"/>
    </row>
    <row r="99" spans="1:101" s="851" customFormat="1" ht="35.450000000000003" customHeight="1">
      <c r="A99" s="845"/>
      <c r="B99" s="864" t="s">
        <v>465</v>
      </c>
      <c r="C99" s="852" t="s">
        <v>496</v>
      </c>
      <c r="D99" s="846"/>
      <c r="E99" s="845"/>
      <c r="F99" s="861">
        <v>2016</v>
      </c>
      <c r="G99" s="861" t="s">
        <v>473</v>
      </c>
      <c r="H99" s="850">
        <f t="shared" si="82"/>
        <v>0</v>
      </c>
      <c r="I99" s="848"/>
      <c r="J99" s="848"/>
      <c r="K99" s="848"/>
      <c r="L99" s="848"/>
      <c r="M99" s="848"/>
      <c r="N99" s="848"/>
      <c r="O99" s="848"/>
      <c r="P99" s="848"/>
      <c r="Q99" s="848"/>
      <c r="R99" s="848"/>
      <c r="S99" s="848"/>
      <c r="T99" s="855">
        <f t="shared" si="83"/>
        <v>0</v>
      </c>
      <c r="U99" s="848"/>
      <c r="V99" s="848"/>
      <c r="W99" s="848"/>
      <c r="X99" s="848"/>
      <c r="Y99" s="848"/>
      <c r="Z99" s="848"/>
      <c r="AA99" s="848"/>
      <c r="AB99" s="848"/>
      <c r="AC99" s="848"/>
      <c r="AD99" s="848"/>
      <c r="AE99" s="848"/>
      <c r="AF99" s="848"/>
      <c r="AG99" s="848"/>
      <c r="AH99" s="848"/>
      <c r="AI99" s="855">
        <f>AJ99</f>
        <v>190</v>
      </c>
      <c r="AJ99" s="855">
        <v>190</v>
      </c>
      <c r="AK99" s="848"/>
      <c r="AL99" s="848"/>
      <c r="AM99" s="848"/>
      <c r="AN99" s="848"/>
      <c r="AO99" s="848"/>
      <c r="AP99" s="848"/>
      <c r="AQ99" s="848"/>
      <c r="AR99" s="848"/>
      <c r="AS99" s="848"/>
      <c r="AT99" s="848"/>
      <c r="AU99" s="848"/>
      <c r="AV99" s="848"/>
      <c r="AW99" s="848"/>
      <c r="AX99" s="848"/>
      <c r="AY99" s="855">
        <f t="shared" si="79"/>
        <v>0</v>
      </c>
      <c r="AZ99" s="848"/>
      <c r="BA99" s="848"/>
      <c r="BB99" s="848"/>
      <c r="BC99" s="848"/>
      <c r="BD99" s="848"/>
      <c r="BE99" s="848"/>
      <c r="BF99" s="848"/>
      <c r="BG99" s="848"/>
      <c r="BH99" s="848"/>
      <c r="BI99" s="848"/>
      <c r="BJ99" s="848"/>
      <c r="BK99" s="848"/>
      <c r="BL99" s="848"/>
      <c r="BM99" s="848"/>
      <c r="BN99" s="848"/>
      <c r="BO99" s="848">
        <f t="shared" si="80"/>
        <v>186.07743199999999</v>
      </c>
      <c r="BP99" s="855">
        <v>186.07743199999999</v>
      </c>
      <c r="BQ99" s="848"/>
      <c r="BR99" s="848"/>
      <c r="BS99" s="848"/>
      <c r="BT99" s="848"/>
      <c r="BU99" s="848"/>
      <c r="BV99" s="848"/>
      <c r="BW99" s="848"/>
      <c r="BX99" s="848"/>
      <c r="BY99" s="848"/>
      <c r="BZ99" s="848"/>
      <c r="CA99" s="848"/>
      <c r="CB99" s="848"/>
      <c r="CC99" s="848"/>
      <c r="CD99" s="848"/>
      <c r="CE99" s="848"/>
      <c r="CF99" s="848"/>
      <c r="CG99" s="848"/>
      <c r="CH99" s="848"/>
      <c r="CI99" s="848"/>
      <c r="CJ99" s="848"/>
      <c r="CK99" s="848"/>
      <c r="CL99" s="848"/>
      <c r="CM99" s="848"/>
      <c r="CN99" s="848"/>
      <c r="CO99" s="848"/>
      <c r="CP99" s="848"/>
      <c r="CQ99" s="848"/>
      <c r="CR99" s="848"/>
      <c r="CS99" s="848"/>
      <c r="CT99" s="848"/>
      <c r="CU99" s="848"/>
      <c r="CV99" s="848"/>
      <c r="CW99" s="848"/>
    </row>
    <row r="100" spans="1:101" s="851" customFormat="1" ht="40.15" customHeight="1">
      <c r="A100" s="845"/>
      <c r="B100" s="864" t="s">
        <v>465</v>
      </c>
      <c r="C100" s="852" t="s">
        <v>497</v>
      </c>
      <c r="D100" s="846"/>
      <c r="E100" s="845"/>
      <c r="F100" s="861">
        <v>2016</v>
      </c>
      <c r="G100" s="861" t="s">
        <v>473</v>
      </c>
      <c r="H100" s="850">
        <f t="shared" si="82"/>
        <v>0</v>
      </c>
      <c r="I100" s="848"/>
      <c r="J100" s="848"/>
      <c r="K100" s="848"/>
      <c r="L100" s="848"/>
      <c r="M100" s="848"/>
      <c r="N100" s="848"/>
      <c r="O100" s="848"/>
      <c r="P100" s="848"/>
      <c r="Q100" s="848"/>
      <c r="R100" s="848"/>
      <c r="S100" s="848"/>
      <c r="T100" s="855">
        <f t="shared" si="83"/>
        <v>0</v>
      </c>
      <c r="U100" s="848"/>
      <c r="V100" s="848"/>
      <c r="W100" s="848"/>
      <c r="X100" s="848"/>
      <c r="Y100" s="848"/>
      <c r="Z100" s="848"/>
      <c r="AA100" s="848"/>
      <c r="AB100" s="848"/>
      <c r="AC100" s="848"/>
      <c r="AD100" s="848"/>
      <c r="AE100" s="848"/>
      <c r="AF100" s="848"/>
      <c r="AG100" s="855"/>
      <c r="AH100" s="855"/>
      <c r="AI100" s="855">
        <f t="shared" ref="AI100:AI105" si="84">AJ100</f>
        <v>165</v>
      </c>
      <c r="AJ100" s="855">
        <v>165</v>
      </c>
      <c r="AK100" s="848"/>
      <c r="AL100" s="848"/>
      <c r="AM100" s="848"/>
      <c r="AN100" s="848"/>
      <c r="AO100" s="848"/>
      <c r="AP100" s="848"/>
      <c r="AQ100" s="848"/>
      <c r="AR100" s="848"/>
      <c r="AS100" s="848"/>
      <c r="AT100" s="848"/>
      <c r="AU100" s="848"/>
      <c r="AV100" s="848"/>
      <c r="AW100" s="848"/>
      <c r="AX100" s="848"/>
      <c r="AY100" s="855">
        <f t="shared" si="79"/>
        <v>0</v>
      </c>
      <c r="AZ100" s="848"/>
      <c r="BA100" s="848"/>
      <c r="BB100" s="848"/>
      <c r="BC100" s="848"/>
      <c r="BD100" s="848"/>
      <c r="BE100" s="848"/>
      <c r="BF100" s="848"/>
      <c r="BG100" s="848"/>
      <c r="BH100" s="848"/>
      <c r="BI100" s="848"/>
      <c r="BJ100" s="848"/>
      <c r="BK100" s="848"/>
      <c r="BL100" s="848"/>
      <c r="BM100" s="848"/>
      <c r="BN100" s="848"/>
      <c r="BO100" s="848">
        <f t="shared" si="80"/>
        <v>162.563097</v>
      </c>
      <c r="BP100" s="855">
        <v>162.563097</v>
      </c>
      <c r="BQ100" s="848"/>
      <c r="BR100" s="848"/>
      <c r="BS100" s="848"/>
      <c r="BT100" s="848"/>
      <c r="BU100" s="848"/>
      <c r="BV100" s="848"/>
      <c r="BW100" s="848"/>
      <c r="BX100" s="848"/>
      <c r="BY100" s="848"/>
      <c r="BZ100" s="848"/>
      <c r="CA100" s="848"/>
      <c r="CB100" s="848"/>
      <c r="CC100" s="848"/>
      <c r="CD100" s="848"/>
      <c r="CE100" s="848"/>
      <c r="CF100" s="848"/>
      <c r="CG100" s="848"/>
      <c r="CH100" s="848"/>
      <c r="CI100" s="848"/>
      <c r="CJ100" s="848"/>
      <c r="CK100" s="848"/>
      <c r="CL100" s="848"/>
      <c r="CM100" s="848"/>
      <c r="CN100" s="848"/>
      <c r="CO100" s="848"/>
      <c r="CP100" s="848"/>
      <c r="CQ100" s="848"/>
      <c r="CR100" s="848"/>
      <c r="CS100" s="848"/>
      <c r="CT100" s="848"/>
      <c r="CU100" s="848"/>
      <c r="CV100" s="848"/>
      <c r="CW100" s="848"/>
    </row>
    <row r="101" spans="1:101" s="851" customFormat="1" ht="34.9" customHeight="1">
      <c r="A101" s="845"/>
      <c r="B101" s="864" t="s">
        <v>465</v>
      </c>
      <c r="C101" s="852" t="s">
        <v>498</v>
      </c>
      <c r="D101" s="846"/>
      <c r="E101" s="845"/>
      <c r="F101" s="861">
        <v>2016</v>
      </c>
      <c r="G101" s="861" t="s">
        <v>473</v>
      </c>
      <c r="H101" s="850">
        <f t="shared" si="82"/>
        <v>0</v>
      </c>
      <c r="I101" s="848"/>
      <c r="J101" s="848"/>
      <c r="K101" s="848"/>
      <c r="L101" s="848"/>
      <c r="M101" s="848"/>
      <c r="N101" s="848"/>
      <c r="O101" s="848"/>
      <c r="P101" s="848"/>
      <c r="Q101" s="848"/>
      <c r="R101" s="848"/>
      <c r="S101" s="848"/>
      <c r="T101" s="855">
        <f t="shared" si="83"/>
        <v>334</v>
      </c>
      <c r="U101" s="855">
        <v>334</v>
      </c>
      <c r="V101" s="848"/>
      <c r="W101" s="848"/>
      <c r="X101" s="848"/>
      <c r="Y101" s="848"/>
      <c r="Z101" s="848"/>
      <c r="AA101" s="848"/>
      <c r="AB101" s="848"/>
      <c r="AC101" s="848"/>
      <c r="AD101" s="848"/>
      <c r="AE101" s="848"/>
      <c r="AF101" s="848"/>
      <c r="AG101" s="848"/>
      <c r="AH101" s="855"/>
      <c r="AI101" s="855">
        <f t="shared" si="84"/>
        <v>764</v>
      </c>
      <c r="AJ101" s="855">
        <v>764</v>
      </c>
      <c r="AK101" s="848"/>
      <c r="AL101" s="848"/>
      <c r="AM101" s="848"/>
      <c r="AN101" s="848"/>
      <c r="AO101" s="848"/>
      <c r="AP101" s="848"/>
      <c r="AQ101" s="848"/>
      <c r="AR101" s="848"/>
      <c r="AS101" s="848"/>
      <c r="AT101" s="848"/>
      <c r="AU101" s="848"/>
      <c r="AV101" s="848"/>
      <c r="AW101" s="848"/>
      <c r="AX101" s="848"/>
      <c r="AY101" s="855">
        <f t="shared" si="79"/>
        <v>0</v>
      </c>
      <c r="AZ101" s="848"/>
      <c r="BA101" s="848"/>
      <c r="BB101" s="848"/>
      <c r="BC101" s="848"/>
      <c r="BD101" s="848"/>
      <c r="BE101" s="848"/>
      <c r="BF101" s="848"/>
      <c r="BG101" s="848"/>
      <c r="BH101" s="848"/>
      <c r="BI101" s="848"/>
      <c r="BJ101" s="848"/>
      <c r="BK101" s="848"/>
      <c r="BL101" s="848"/>
      <c r="BM101" s="848"/>
      <c r="BN101" s="848"/>
      <c r="BO101" s="848">
        <f t="shared" si="80"/>
        <v>428.55020300000001</v>
      </c>
      <c r="BP101" s="855">
        <v>428.55020300000001</v>
      </c>
      <c r="BQ101" s="848"/>
      <c r="BR101" s="848"/>
      <c r="BS101" s="848"/>
      <c r="BT101" s="848"/>
      <c r="BU101" s="848"/>
      <c r="BV101" s="848"/>
      <c r="BW101" s="848"/>
      <c r="BX101" s="848"/>
      <c r="BY101" s="848"/>
      <c r="BZ101" s="848"/>
      <c r="CA101" s="848"/>
      <c r="CB101" s="848"/>
      <c r="CC101" s="848"/>
      <c r="CD101" s="848"/>
      <c r="CE101" s="848"/>
      <c r="CF101" s="848"/>
      <c r="CG101" s="848"/>
      <c r="CH101" s="848"/>
      <c r="CI101" s="848"/>
      <c r="CJ101" s="848"/>
      <c r="CK101" s="848"/>
      <c r="CL101" s="848"/>
      <c r="CM101" s="848"/>
      <c r="CN101" s="848"/>
      <c r="CO101" s="848"/>
      <c r="CP101" s="848"/>
      <c r="CQ101" s="848"/>
      <c r="CR101" s="848"/>
      <c r="CS101" s="848"/>
      <c r="CT101" s="848"/>
      <c r="CU101" s="848"/>
      <c r="CV101" s="848"/>
      <c r="CW101" s="848"/>
    </row>
    <row r="102" spans="1:101" s="851" customFormat="1" ht="33" customHeight="1">
      <c r="A102" s="845"/>
      <c r="B102" s="864" t="s">
        <v>465</v>
      </c>
      <c r="C102" s="852" t="s">
        <v>499</v>
      </c>
      <c r="D102" s="846"/>
      <c r="E102" s="845"/>
      <c r="F102" s="861">
        <v>2016</v>
      </c>
      <c r="G102" s="861" t="s">
        <v>473</v>
      </c>
      <c r="H102" s="850">
        <f t="shared" si="82"/>
        <v>0</v>
      </c>
      <c r="I102" s="848"/>
      <c r="J102" s="848"/>
      <c r="K102" s="848"/>
      <c r="L102" s="848"/>
      <c r="M102" s="848"/>
      <c r="N102" s="848"/>
      <c r="O102" s="848"/>
      <c r="P102" s="848"/>
      <c r="Q102" s="848"/>
      <c r="R102" s="848"/>
      <c r="S102" s="848"/>
      <c r="T102" s="855">
        <f t="shared" si="83"/>
        <v>114.228109</v>
      </c>
      <c r="U102" s="855">
        <v>114.228109</v>
      </c>
      <c r="V102" s="848"/>
      <c r="W102" s="848"/>
      <c r="X102" s="848"/>
      <c r="Y102" s="848"/>
      <c r="Z102" s="848"/>
      <c r="AA102" s="848"/>
      <c r="AB102" s="848"/>
      <c r="AC102" s="848"/>
      <c r="AD102" s="848"/>
      <c r="AE102" s="848"/>
      <c r="AF102" s="848"/>
      <c r="AG102" s="848"/>
      <c r="AH102" s="855"/>
      <c r="AI102" s="855">
        <f t="shared" si="84"/>
        <v>115</v>
      </c>
      <c r="AJ102" s="855">
        <v>115</v>
      </c>
      <c r="AK102" s="848"/>
      <c r="AL102" s="848"/>
      <c r="AM102" s="848"/>
      <c r="AN102" s="848"/>
      <c r="AO102" s="848"/>
      <c r="AP102" s="848"/>
      <c r="AQ102" s="848"/>
      <c r="AR102" s="848"/>
      <c r="AS102" s="848"/>
      <c r="AT102" s="848"/>
      <c r="AU102" s="848"/>
      <c r="AV102" s="848"/>
      <c r="AW102" s="848"/>
      <c r="AX102" s="848"/>
      <c r="AY102" s="855">
        <f t="shared" si="79"/>
        <v>0</v>
      </c>
      <c r="AZ102" s="848"/>
      <c r="BA102" s="848"/>
      <c r="BB102" s="848"/>
      <c r="BC102" s="848"/>
      <c r="BD102" s="848"/>
      <c r="BE102" s="848"/>
      <c r="BF102" s="848"/>
      <c r="BG102" s="848"/>
      <c r="BH102" s="848"/>
      <c r="BI102" s="848"/>
      <c r="BJ102" s="848"/>
      <c r="BK102" s="848"/>
      <c r="BL102" s="848"/>
      <c r="BM102" s="848"/>
      <c r="BN102" s="848"/>
      <c r="BO102" s="848">
        <f t="shared" si="80"/>
        <v>0</v>
      </c>
      <c r="BP102" s="855">
        <v>0</v>
      </c>
      <c r="BQ102" s="848"/>
      <c r="BR102" s="848"/>
      <c r="BS102" s="848"/>
      <c r="BT102" s="848"/>
      <c r="BU102" s="848"/>
      <c r="BV102" s="848"/>
      <c r="BW102" s="848"/>
      <c r="BX102" s="848"/>
      <c r="BY102" s="848"/>
      <c r="BZ102" s="848"/>
      <c r="CA102" s="848"/>
      <c r="CB102" s="848"/>
      <c r="CC102" s="848"/>
      <c r="CD102" s="848"/>
      <c r="CE102" s="848"/>
      <c r="CF102" s="848"/>
      <c r="CG102" s="848"/>
      <c r="CH102" s="848"/>
      <c r="CI102" s="848"/>
      <c r="CJ102" s="848"/>
      <c r="CK102" s="848"/>
      <c r="CL102" s="848"/>
      <c r="CM102" s="848"/>
      <c r="CN102" s="848"/>
      <c r="CO102" s="848"/>
      <c r="CP102" s="848"/>
      <c r="CQ102" s="848"/>
      <c r="CR102" s="848"/>
      <c r="CS102" s="848"/>
      <c r="CT102" s="848"/>
      <c r="CU102" s="848"/>
      <c r="CV102" s="848"/>
      <c r="CW102" s="848"/>
    </row>
    <row r="103" spans="1:101" s="851" customFormat="1" ht="34.9" customHeight="1">
      <c r="A103" s="845"/>
      <c r="B103" s="864" t="s">
        <v>465</v>
      </c>
      <c r="C103" s="852" t="s">
        <v>500</v>
      </c>
      <c r="D103" s="846"/>
      <c r="E103" s="845"/>
      <c r="F103" s="861">
        <v>2016</v>
      </c>
      <c r="G103" s="861" t="s">
        <v>473</v>
      </c>
      <c r="H103" s="850">
        <f t="shared" si="82"/>
        <v>0</v>
      </c>
      <c r="I103" s="848"/>
      <c r="J103" s="848"/>
      <c r="K103" s="848"/>
      <c r="L103" s="848"/>
      <c r="M103" s="848"/>
      <c r="N103" s="848"/>
      <c r="O103" s="848"/>
      <c r="P103" s="848"/>
      <c r="Q103" s="848"/>
      <c r="R103" s="848"/>
      <c r="S103" s="848"/>
      <c r="T103" s="855">
        <f t="shared" si="83"/>
        <v>353.5</v>
      </c>
      <c r="U103" s="855">
        <v>353.5</v>
      </c>
      <c r="V103" s="848"/>
      <c r="W103" s="848"/>
      <c r="X103" s="848"/>
      <c r="Y103" s="848"/>
      <c r="Z103" s="848"/>
      <c r="AA103" s="848"/>
      <c r="AB103" s="848"/>
      <c r="AC103" s="848"/>
      <c r="AD103" s="848"/>
      <c r="AE103" s="848"/>
      <c r="AF103" s="848"/>
      <c r="AG103" s="848"/>
      <c r="AH103" s="848"/>
      <c r="AI103" s="855">
        <f t="shared" si="84"/>
        <v>462</v>
      </c>
      <c r="AJ103" s="855">
        <v>462</v>
      </c>
      <c r="AK103" s="848"/>
      <c r="AL103" s="848"/>
      <c r="AM103" s="848"/>
      <c r="AN103" s="848"/>
      <c r="AO103" s="848"/>
      <c r="AP103" s="848"/>
      <c r="AQ103" s="848"/>
      <c r="AR103" s="848"/>
      <c r="AS103" s="848"/>
      <c r="AT103" s="848"/>
      <c r="AU103" s="848"/>
      <c r="AV103" s="848"/>
      <c r="AW103" s="848"/>
      <c r="AX103" s="848"/>
      <c r="AY103" s="855">
        <f t="shared" si="79"/>
        <v>0</v>
      </c>
      <c r="AZ103" s="848"/>
      <c r="BA103" s="848"/>
      <c r="BB103" s="848"/>
      <c r="BC103" s="848"/>
      <c r="BD103" s="848"/>
      <c r="BE103" s="848"/>
      <c r="BF103" s="848"/>
      <c r="BG103" s="848"/>
      <c r="BH103" s="848"/>
      <c r="BI103" s="848"/>
      <c r="BJ103" s="848"/>
      <c r="BK103" s="848"/>
      <c r="BL103" s="848"/>
      <c r="BM103" s="848"/>
      <c r="BN103" s="848"/>
      <c r="BO103" s="848">
        <f t="shared" si="80"/>
        <v>94.580786000000003</v>
      </c>
      <c r="BP103" s="855">
        <v>94.580786000000003</v>
      </c>
      <c r="BQ103" s="848"/>
      <c r="BR103" s="848"/>
      <c r="BS103" s="848"/>
      <c r="BT103" s="848"/>
      <c r="BU103" s="848"/>
      <c r="BV103" s="848"/>
      <c r="BW103" s="848"/>
      <c r="BX103" s="848"/>
      <c r="BY103" s="848"/>
      <c r="BZ103" s="848"/>
      <c r="CA103" s="848"/>
      <c r="CB103" s="848"/>
      <c r="CC103" s="848"/>
      <c r="CD103" s="848"/>
      <c r="CE103" s="848"/>
      <c r="CF103" s="848"/>
      <c r="CG103" s="848"/>
      <c r="CH103" s="848"/>
      <c r="CI103" s="848"/>
      <c r="CJ103" s="848"/>
      <c r="CK103" s="848"/>
      <c r="CL103" s="848"/>
      <c r="CM103" s="848"/>
      <c r="CN103" s="848"/>
      <c r="CO103" s="848"/>
      <c r="CP103" s="848"/>
      <c r="CQ103" s="848"/>
      <c r="CR103" s="848"/>
      <c r="CS103" s="848"/>
      <c r="CT103" s="848"/>
      <c r="CU103" s="848"/>
      <c r="CV103" s="848"/>
      <c r="CW103" s="848"/>
    </row>
    <row r="104" spans="1:101" s="851" customFormat="1" ht="26.45" customHeight="1">
      <c r="A104" s="845"/>
      <c r="B104" s="864" t="s">
        <v>465</v>
      </c>
      <c r="C104" s="852" t="s">
        <v>501</v>
      </c>
      <c r="D104" s="846"/>
      <c r="E104" s="845"/>
      <c r="F104" s="861">
        <v>2016</v>
      </c>
      <c r="G104" s="861" t="s">
        <v>473</v>
      </c>
      <c r="H104" s="850">
        <f t="shared" si="82"/>
        <v>0</v>
      </c>
      <c r="I104" s="848"/>
      <c r="J104" s="848"/>
      <c r="K104" s="848"/>
      <c r="L104" s="848"/>
      <c r="M104" s="848"/>
      <c r="N104" s="848"/>
      <c r="O104" s="848"/>
      <c r="P104" s="848"/>
      <c r="Q104" s="848"/>
      <c r="R104" s="848"/>
      <c r="S104" s="848"/>
      <c r="T104" s="855">
        <f t="shared" si="83"/>
        <v>30.242073999999999</v>
      </c>
      <c r="U104" s="855">
        <v>30.242073999999999</v>
      </c>
      <c r="V104" s="855"/>
      <c r="W104" s="855"/>
      <c r="X104" s="855"/>
      <c r="Y104" s="855"/>
      <c r="Z104" s="855"/>
      <c r="AA104" s="855"/>
      <c r="AB104" s="855"/>
      <c r="AC104" s="855"/>
      <c r="AD104" s="855"/>
      <c r="AE104" s="855"/>
      <c r="AF104" s="855"/>
      <c r="AG104" s="855"/>
      <c r="AH104" s="855"/>
      <c r="AI104" s="855">
        <f t="shared" si="84"/>
        <v>32</v>
      </c>
      <c r="AJ104" s="855">
        <v>32</v>
      </c>
      <c r="AK104" s="848"/>
      <c r="AL104" s="848"/>
      <c r="AM104" s="848"/>
      <c r="AN104" s="848"/>
      <c r="AO104" s="848"/>
      <c r="AP104" s="848"/>
      <c r="AQ104" s="848"/>
      <c r="AR104" s="848"/>
      <c r="AS104" s="848"/>
      <c r="AT104" s="848"/>
      <c r="AU104" s="848"/>
      <c r="AV104" s="848"/>
      <c r="AW104" s="848"/>
      <c r="AX104" s="848"/>
      <c r="AY104" s="855">
        <f t="shared" si="79"/>
        <v>0</v>
      </c>
      <c r="AZ104" s="848"/>
      <c r="BA104" s="848"/>
      <c r="BB104" s="848"/>
      <c r="BC104" s="848"/>
      <c r="BD104" s="848"/>
      <c r="BE104" s="848"/>
      <c r="BF104" s="848"/>
      <c r="BG104" s="848"/>
      <c r="BH104" s="848"/>
      <c r="BI104" s="848"/>
      <c r="BJ104" s="848"/>
      <c r="BK104" s="848"/>
      <c r="BL104" s="848"/>
      <c r="BM104" s="848"/>
      <c r="BN104" s="848"/>
      <c r="BO104" s="848">
        <f t="shared" si="80"/>
        <v>1.7579260000000001</v>
      </c>
      <c r="BP104" s="855">
        <v>1.7579260000000001</v>
      </c>
      <c r="BQ104" s="848"/>
      <c r="BR104" s="848"/>
      <c r="BS104" s="848"/>
      <c r="BT104" s="848"/>
      <c r="BU104" s="848"/>
      <c r="BV104" s="848"/>
      <c r="BW104" s="848"/>
      <c r="BX104" s="848"/>
      <c r="BY104" s="848"/>
      <c r="BZ104" s="848"/>
      <c r="CA104" s="848"/>
      <c r="CB104" s="848"/>
      <c r="CC104" s="848"/>
      <c r="CD104" s="848"/>
      <c r="CE104" s="848"/>
      <c r="CF104" s="848"/>
      <c r="CG104" s="848"/>
      <c r="CH104" s="848"/>
      <c r="CI104" s="848"/>
      <c r="CJ104" s="848"/>
      <c r="CK104" s="848"/>
      <c r="CL104" s="848"/>
      <c r="CM104" s="848"/>
      <c r="CN104" s="848"/>
      <c r="CO104" s="848"/>
      <c r="CP104" s="848"/>
      <c r="CQ104" s="848"/>
      <c r="CR104" s="848"/>
      <c r="CS104" s="848"/>
      <c r="CT104" s="848"/>
      <c r="CU104" s="848"/>
      <c r="CV104" s="848"/>
      <c r="CW104" s="848"/>
    </row>
    <row r="105" spans="1:101" s="851" customFormat="1" ht="31.15" customHeight="1">
      <c r="A105" s="845"/>
      <c r="B105" s="864" t="s">
        <v>465</v>
      </c>
      <c r="C105" s="852" t="s">
        <v>502</v>
      </c>
      <c r="D105" s="846"/>
      <c r="E105" s="845"/>
      <c r="F105" s="861">
        <v>2016</v>
      </c>
      <c r="G105" s="861" t="s">
        <v>473</v>
      </c>
      <c r="H105" s="850">
        <f t="shared" si="82"/>
        <v>0</v>
      </c>
      <c r="I105" s="848"/>
      <c r="J105" s="848"/>
      <c r="K105" s="848"/>
      <c r="L105" s="848"/>
      <c r="M105" s="848"/>
      <c r="N105" s="848"/>
      <c r="O105" s="848"/>
      <c r="P105" s="848"/>
      <c r="Q105" s="848"/>
      <c r="R105" s="848"/>
      <c r="S105" s="848"/>
      <c r="T105" s="855">
        <f t="shared" si="83"/>
        <v>28.527792000000002</v>
      </c>
      <c r="U105" s="855">
        <v>28.527792000000002</v>
      </c>
      <c r="V105" s="855"/>
      <c r="W105" s="855"/>
      <c r="X105" s="855"/>
      <c r="Y105" s="855"/>
      <c r="Z105" s="855"/>
      <c r="AA105" s="855"/>
      <c r="AB105" s="855"/>
      <c r="AC105" s="855"/>
      <c r="AD105" s="855"/>
      <c r="AE105" s="855"/>
      <c r="AF105" s="855"/>
      <c r="AG105" s="855"/>
      <c r="AH105" s="855"/>
      <c r="AI105" s="855">
        <f t="shared" si="84"/>
        <v>30</v>
      </c>
      <c r="AJ105" s="855">
        <v>30</v>
      </c>
      <c r="AK105" s="848"/>
      <c r="AL105" s="848"/>
      <c r="AM105" s="848"/>
      <c r="AN105" s="848"/>
      <c r="AO105" s="848"/>
      <c r="AP105" s="848"/>
      <c r="AQ105" s="848"/>
      <c r="AR105" s="848"/>
      <c r="AS105" s="848"/>
      <c r="AT105" s="848"/>
      <c r="AU105" s="848"/>
      <c r="AV105" s="848"/>
      <c r="AW105" s="848"/>
      <c r="AX105" s="848"/>
      <c r="AY105" s="855">
        <f t="shared" si="79"/>
        <v>0</v>
      </c>
      <c r="AZ105" s="848"/>
      <c r="BA105" s="848"/>
      <c r="BB105" s="848"/>
      <c r="BC105" s="848"/>
      <c r="BD105" s="848"/>
      <c r="BE105" s="848"/>
      <c r="BF105" s="848"/>
      <c r="BG105" s="848"/>
      <c r="BH105" s="848"/>
      <c r="BI105" s="848"/>
      <c r="BJ105" s="848"/>
      <c r="BK105" s="848"/>
      <c r="BL105" s="848"/>
      <c r="BM105" s="848"/>
      <c r="BN105" s="848"/>
      <c r="BO105" s="848">
        <f t="shared" si="80"/>
        <v>1.472208</v>
      </c>
      <c r="BP105" s="855">
        <v>1.472208</v>
      </c>
      <c r="BQ105" s="848"/>
      <c r="BR105" s="848"/>
      <c r="BS105" s="848"/>
      <c r="BT105" s="848"/>
      <c r="BU105" s="848"/>
      <c r="BV105" s="848"/>
      <c r="BW105" s="848"/>
      <c r="BX105" s="848"/>
      <c r="BY105" s="848"/>
      <c r="BZ105" s="848"/>
      <c r="CA105" s="848"/>
      <c r="CB105" s="848"/>
      <c r="CC105" s="848"/>
      <c r="CD105" s="848"/>
      <c r="CE105" s="848"/>
      <c r="CF105" s="848"/>
      <c r="CG105" s="848"/>
      <c r="CH105" s="848"/>
      <c r="CI105" s="848"/>
      <c r="CJ105" s="848"/>
      <c r="CK105" s="848"/>
      <c r="CL105" s="848"/>
      <c r="CM105" s="848"/>
      <c r="CN105" s="848"/>
      <c r="CO105" s="848"/>
      <c r="CP105" s="848"/>
      <c r="CQ105" s="848"/>
      <c r="CR105" s="848"/>
      <c r="CS105" s="848"/>
      <c r="CT105" s="848"/>
      <c r="CU105" s="848"/>
      <c r="CV105" s="848"/>
      <c r="CW105" s="848"/>
    </row>
    <row r="106" spans="1:101" s="851" customFormat="1" ht="36" customHeight="1">
      <c r="A106" s="845"/>
      <c r="B106" s="864" t="s">
        <v>465</v>
      </c>
      <c r="C106" s="852" t="s">
        <v>503</v>
      </c>
      <c r="D106" s="846"/>
      <c r="E106" s="845"/>
      <c r="F106" s="861">
        <v>2016</v>
      </c>
      <c r="G106" s="861" t="s">
        <v>473</v>
      </c>
      <c r="H106" s="850">
        <f>SUM(I106:S106)</f>
        <v>0</v>
      </c>
      <c r="I106" s="848"/>
      <c r="J106" s="848"/>
      <c r="K106" s="848"/>
      <c r="L106" s="848"/>
      <c r="M106" s="848"/>
      <c r="N106" s="848"/>
      <c r="O106" s="848"/>
      <c r="P106" s="848"/>
      <c r="Q106" s="848"/>
      <c r="R106" s="848"/>
      <c r="S106" s="848"/>
      <c r="T106" s="855">
        <f t="shared" si="83"/>
        <v>0</v>
      </c>
      <c r="U106" s="848"/>
      <c r="V106" s="848"/>
      <c r="W106" s="848"/>
      <c r="X106" s="848"/>
      <c r="Y106" s="848"/>
      <c r="Z106" s="848"/>
      <c r="AA106" s="848"/>
      <c r="AB106" s="848"/>
      <c r="AC106" s="848"/>
      <c r="AD106" s="848"/>
      <c r="AE106" s="848"/>
      <c r="AF106" s="848"/>
      <c r="AG106" s="848"/>
      <c r="AH106" s="848"/>
      <c r="AI106" s="855">
        <f>AJ106</f>
        <v>220</v>
      </c>
      <c r="AJ106" s="855">
        <v>220</v>
      </c>
      <c r="AK106" s="848"/>
      <c r="AL106" s="848"/>
      <c r="AM106" s="848"/>
      <c r="AN106" s="848"/>
      <c r="AO106" s="848"/>
      <c r="AP106" s="848"/>
      <c r="AQ106" s="848"/>
      <c r="AR106" s="848"/>
      <c r="AS106" s="848"/>
      <c r="AT106" s="848"/>
      <c r="AU106" s="848"/>
      <c r="AV106" s="848"/>
      <c r="AW106" s="848"/>
      <c r="AX106" s="848"/>
      <c r="AY106" s="855">
        <f t="shared" si="79"/>
        <v>0</v>
      </c>
      <c r="AZ106" s="848"/>
      <c r="BA106" s="848"/>
      <c r="BB106" s="848"/>
      <c r="BC106" s="848"/>
      <c r="BD106" s="848"/>
      <c r="BE106" s="848"/>
      <c r="BF106" s="848"/>
      <c r="BG106" s="848"/>
      <c r="BH106" s="848"/>
      <c r="BI106" s="848"/>
      <c r="BJ106" s="848"/>
      <c r="BK106" s="848"/>
      <c r="BL106" s="848"/>
      <c r="BM106" s="848"/>
      <c r="BN106" s="848"/>
      <c r="BO106" s="848">
        <f t="shared" si="80"/>
        <v>220</v>
      </c>
      <c r="BP106" s="855">
        <v>220</v>
      </c>
      <c r="BQ106" s="848"/>
      <c r="BR106" s="848"/>
      <c r="BS106" s="848"/>
      <c r="BT106" s="848"/>
      <c r="BU106" s="848"/>
      <c r="BV106" s="848"/>
      <c r="BW106" s="848"/>
      <c r="BX106" s="848"/>
      <c r="BY106" s="848"/>
      <c r="BZ106" s="848"/>
      <c r="CA106" s="848"/>
      <c r="CB106" s="848"/>
      <c r="CC106" s="848"/>
      <c r="CD106" s="848"/>
      <c r="CE106" s="848"/>
      <c r="CF106" s="848"/>
      <c r="CG106" s="848"/>
      <c r="CH106" s="848"/>
      <c r="CI106" s="848"/>
      <c r="CJ106" s="848"/>
      <c r="CK106" s="848"/>
      <c r="CL106" s="848"/>
      <c r="CM106" s="848"/>
      <c r="CN106" s="848"/>
      <c r="CO106" s="848"/>
      <c r="CP106" s="848"/>
      <c r="CQ106" s="848"/>
      <c r="CR106" s="848"/>
      <c r="CS106" s="848"/>
      <c r="CT106" s="848"/>
      <c r="CU106" s="848"/>
      <c r="CV106" s="848"/>
      <c r="CW106" s="848"/>
    </row>
    <row r="107" spans="1:101" s="851" customFormat="1" ht="24.75" customHeight="1">
      <c r="A107" s="845" t="s">
        <v>504</v>
      </c>
      <c r="B107" s="845"/>
      <c r="C107" s="864" t="s">
        <v>505</v>
      </c>
      <c r="D107" s="846">
        <f>D108+D110</f>
        <v>0</v>
      </c>
      <c r="E107" s="845">
        <f t="shared" ref="E107:CE107" si="85">E108+E110</f>
        <v>0</v>
      </c>
      <c r="F107" s="847"/>
      <c r="G107" s="845"/>
      <c r="H107" s="850">
        <f t="shared" si="82"/>
        <v>3893</v>
      </c>
      <c r="I107" s="848">
        <f>I108+I110</f>
        <v>3893</v>
      </c>
      <c r="J107" s="848">
        <f t="shared" si="85"/>
        <v>0</v>
      </c>
      <c r="K107" s="848">
        <f t="shared" si="85"/>
        <v>0</v>
      </c>
      <c r="L107" s="848">
        <f t="shared" si="85"/>
        <v>0</v>
      </c>
      <c r="M107" s="848">
        <f t="shared" si="85"/>
        <v>0</v>
      </c>
      <c r="N107" s="848">
        <f t="shared" si="85"/>
        <v>0</v>
      </c>
      <c r="O107" s="848">
        <f t="shared" si="85"/>
        <v>0</v>
      </c>
      <c r="P107" s="848">
        <f t="shared" si="85"/>
        <v>0</v>
      </c>
      <c r="Q107" s="848">
        <f t="shared" si="85"/>
        <v>0</v>
      </c>
      <c r="R107" s="848">
        <v>0</v>
      </c>
      <c r="S107" s="848">
        <f t="shared" si="85"/>
        <v>0</v>
      </c>
      <c r="T107" s="848">
        <f t="shared" si="85"/>
        <v>0</v>
      </c>
      <c r="U107" s="848">
        <f t="shared" si="85"/>
        <v>0</v>
      </c>
      <c r="V107" s="848">
        <f t="shared" si="85"/>
        <v>0</v>
      </c>
      <c r="W107" s="848">
        <f t="shared" si="85"/>
        <v>0</v>
      </c>
      <c r="X107" s="848">
        <f t="shared" si="85"/>
        <v>0</v>
      </c>
      <c r="Y107" s="848">
        <f t="shared" si="85"/>
        <v>0</v>
      </c>
      <c r="Z107" s="848">
        <f t="shared" si="85"/>
        <v>0</v>
      </c>
      <c r="AA107" s="848">
        <f t="shared" si="85"/>
        <v>0</v>
      </c>
      <c r="AB107" s="848">
        <f t="shared" si="85"/>
        <v>0</v>
      </c>
      <c r="AC107" s="848">
        <f t="shared" si="85"/>
        <v>0</v>
      </c>
      <c r="AD107" s="848">
        <f t="shared" si="85"/>
        <v>0</v>
      </c>
      <c r="AE107" s="848">
        <f t="shared" si="85"/>
        <v>0</v>
      </c>
      <c r="AF107" s="848">
        <f t="shared" si="85"/>
        <v>0</v>
      </c>
      <c r="AG107" s="848">
        <f t="shared" si="85"/>
        <v>0</v>
      </c>
      <c r="AH107" s="848">
        <f t="shared" si="85"/>
        <v>0</v>
      </c>
      <c r="AI107" s="848">
        <f t="shared" si="85"/>
        <v>288</v>
      </c>
      <c r="AJ107" s="848">
        <f t="shared" si="85"/>
        <v>0</v>
      </c>
      <c r="AK107" s="848">
        <f t="shared" si="85"/>
        <v>0</v>
      </c>
      <c r="AL107" s="848">
        <f t="shared" si="85"/>
        <v>0</v>
      </c>
      <c r="AM107" s="848">
        <f t="shared" si="85"/>
        <v>0</v>
      </c>
      <c r="AN107" s="848">
        <f t="shared" si="85"/>
        <v>0</v>
      </c>
      <c r="AO107" s="848">
        <f t="shared" si="85"/>
        <v>0</v>
      </c>
      <c r="AP107" s="848">
        <f t="shared" si="85"/>
        <v>0</v>
      </c>
      <c r="AQ107" s="848">
        <f t="shared" si="85"/>
        <v>0</v>
      </c>
      <c r="AR107" s="848">
        <f t="shared" si="85"/>
        <v>0</v>
      </c>
      <c r="AS107" s="848">
        <f t="shared" si="85"/>
        <v>0</v>
      </c>
      <c r="AT107" s="848">
        <f t="shared" si="85"/>
        <v>0</v>
      </c>
      <c r="AU107" s="848">
        <f t="shared" si="85"/>
        <v>0</v>
      </c>
      <c r="AV107" s="848">
        <f t="shared" si="85"/>
        <v>0</v>
      </c>
      <c r="AW107" s="848">
        <f t="shared" si="85"/>
        <v>0</v>
      </c>
      <c r="AX107" s="848">
        <f t="shared" si="85"/>
        <v>288</v>
      </c>
      <c r="AY107" s="848">
        <f t="shared" si="85"/>
        <v>788</v>
      </c>
      <c r="AZ107" s="848">
        <f t="shared" si="85"/>
        <v>0</v>
      </c>
      <c r="BA107" s="848">
        <f t="shared" si="85"/>
        <v>0</v>
      </c>
      <c r="BB107" s="848">
        <f t="shared" si="85"/>
        <v>0</v>
      </c>
      <c r="BC107" s="848">
        <f t="shared" si="85"/>
        <v>0</v>
      </c>
      <c r="BD107" s="848">
        <f t="shared" si="85"/>
        <v>0</v>
      </c>
      <c r="BE107" s="848">
        <f t="shared" si="85"/>
        <v>0</v>
      </c>
      <c r="BF107" s="848">
        <f t="shared" si="85"/>
        <v>0</v>
      </c>
      <c r="BG107" s="848">
        <f t="shared" si="85"/>
        <v>0</v>
      </c>
      <c r="BH107" s="848">
        <f t="shared" si="85"/>
        <v>0</v>
      </c>
      <c r="BI107" s="848">
        <f t="shared" si="85"/>
        <v>0</v>
      </c>
      <c r="BJ107" s="848">
        <f t="shared" si="85"/>
        <v>0</v>
      </c>
      <c r="BK107" s="848">
        <f t="shared" si="85"/>
        <v>0</v>
      </c>
      <c r="BL107" s="848">
        <f t="shared" si="85"/>
        <v>0</v>
      </c>
      <c r="BM107" s="848">
        <f t="shared" si="85"/>
        <v>0</v>
      </c>
      <c r="BN107" s="848">
        <f t="shared" si="85"/>
        <v>788</v>
      </c>
      <c r="BO107" s="848">
        <f t="shared" si="80"/>
        <v>351.79300000000001</v>
      </c>
      <c r="BP107" s="848">
        <f t="shared" si="85"/>
        <v>0</v>
      </c>
      <c r="BQ107" s="848">
        <f t="shared" si="85"/>
        <v>0</v>
      </c>
      <c r="BR107" s="848">
        <f t="shared" si="85"/>
        <v>0</v>
      </c>
      <c r="BS107" s="848">
        <f t="shared" si="85"/>
        <v>0</v>
      </c>
      <c r="BT107" s="848">
        <f t="shared" si="85"/>
        <v>0</v>
      </c>
      <c r="BU107" s="848">
        <f t="shared" si="85"/>
        <v>0</v>
      </c>
      <c r="BV107" s="848">
        <f t="shared" si="85"/>
        <v>0</v>
      </c>
      <c r="BW107" s="848">
        <f t="shared" si="85"/>
        <v>0</v>
      </c>
      <c r="BX107" s="848">
        <f t="shared" si="85"/>
        <v>0</v>
      </c>
      <c r="BY107" s="848">
        <f t="shared" si="85"/>
        <v>0</v>
      </c>
      <c r="BZ107" s="848">
        <f t="shared" si="85"/>
        <v>0</v>
      </c>
      <c r="CA107" s="848">
        <f t="shared" si="85"/>
        <v>0</v>
      </c>
      <c r="CB107" s="848">
        <f t="shared" si="85"/>
        <v>0</v>
      </c>
      <c r="CC107" s="848">
        <f t="shared" si="85"/>
        <v>0</v>
      </c>
      <c r="CD107" s="848">
        <f t="shared" si="85"/>
        <v>0</v>
      </c>
      <c r="CE107" s="848">
        <f t="shared" si="85"/>
        <v>351.79300000000001</v>
      </c>
      <c r="CF107" s="848">
        <f t="shared" ref="CF107:CS107" si="86">CF108+CF110</f>
        <v>112.68881666666667</v>
      </c>
      <c r="CG107" s="848"/>
      <c r="CH107" s="848"/>
      <c r="CI107" s="848"/>
      <c r="CJ107" s="848"/>
      <c r="CK107" s="848"/>
      <c r="CL107" s="848"/>
      <c r="CM107" s="848"/>
      <c r="CN107" s="848"/>
      <c r="CO107" s="848"/>
      <c r="CP107" s="848"/>
      <c r="CQ107" s="848"/>
      <c r="CR107" s="848"/>
      <c r="CS107" s="848">
        <f t="shared" si="86"/>
        <v>0</v>
      </c>
      <c r="CT107" s="848"/>
      <c r="CU107" s="848"/>
      <c r="CV107" s="848"/>
      <c r="CW107" s="848">
        <f t="shared" ref="CW107:CW117" si="87">CE107/BN107*100</f>
        <v>44.643781725888324</v>
      </c>
    </row>
    <row r="108" spans="1:101" s="851" customFormat="1" ht="24.75" customHeight="1">
      <c r="A108" s="845"/>
      <c r="B108" s="845"/>
      <c r="C108" s="864" t="s">
        <v>358</v>
      </c>
      <c r="D108" s="846">
        <f>D109</f>
        <v>0</v>
      </c>
      <c r="E108" s="845">
        <f t="shared" ref="E108:CE108" si="88">E109</f>
        <v>0</v>
      </c>
      <c r="F108" s="847"/>
      <c r="G108" s="845"/>
      <c r="H108" s="850">
        <f>SUM(I108:S108)</f>
        <v>2612</v>
      </c>
      <c r="I108" s="848">
        <f>I109</f>
        <v>2612</v>
      </c>
      <c r="J108" s="848">
        <f>J109</f>
        <v>0</v>
      </c>
      <c r="K108" s="848">
        <f t="shared" ref="K108:AX108" si="89">K109</f>
        <v>0</v>
      </c>
      <c r="L108" s="848">
        <f t="shared" si="89"/>
        <v>0</v>
      </c>
      <c r="M108" s="848">
        <f t="shared" si="89"/>
        <v>0</v>
      </c>
      <c r="N108" s="848">
        <f t="shared" si="89"/>
        <v>0</v>
      </c>
      <c r="O108" s="848">
        <f t="shared" si="89"/>
        <v>0</v>
      </c>
      <c r="P108" s="848">
        <f t="shared" si="89"/>
        <v>0</v>
      </c>
      <c r="Q108" s="848">
        <f t="shared" si="89"/>
        <v>0</v>
      </c>
      <c r="R108" s="848">
        <v>0</v>
      </c>
      <c r="S108" s="848">
        <f t="shared" si="89"/>
        <v>0</v>
      </c>
      <c r="T108" s="848">
        <f t="shared" si="89"/>
        <v>0</v>
      </c>
      <c r="U108" s="848">
        <f t="shared" si="89"/>
        <v>0</v>
      </c>
      <c r="V108" s="848">
        <f t="shared" si="89"/>
        <v>0</v>
      </c>
      <c r="W108" s="848">
        <f t="shared" si="89"/>
        <v>0</v>
      </c>
      <c r="X108" s="848">
        <f t="shared" si="89"/>
        <v>0</v>
      </c>
      <c r="Y108" s="848">
        <f t="shared" si="89"/>
        <v>0</v>
      </c>
      <c r="Z108" s="848">
        <f t="shared" si="89"/>
        <v>0</v>
      </c>
      <c r="AA108" s="848">
        <f t="shared" si="89"/>
        <v>0</v>
      </c>
      <c r="AB108" s="848">
        <f t="shared" si="89"/>
        <v>0</v>
      </c>
      <c r="AC108" s="848">
        <f t="shared" si="89"/>
        <v>0</v>
      </c>
      <c r="AD108" s="848">
        <f t="shared" si="89"/>
        <v>0</v>
      </c>
      <c r="AE108" s="848">
        <f t="shared" si="89"/>
        <v>0</v>
      </c>
      <c r="AF108" s="848">
        <f t="shared" si="89"/>
        <v>0</v>
      </c>
      <c r="AG108" s="848">
        <f t="shared" si="89"/>
        <v>0</v>
      </c>
      <c r="AH108" s="848">
        <f t="shared" si="89"/>
        <v>0</v>
      </c>
      <c r="AI108" s="848">
        <f t="shared" si="89"/>
        <v>288</v>
      </c>
      <c r="AJ108" s="848">
        <f t="shared" si="89"/>
        <v>0</v>
      </c>
      <c r="AK108" s="848">
        <f t="shared" si="89"/>
        <v>0</v>
      </c>
      <c r="AL108" s="848">
        <f t="shared" si="89"/>
        <v>0</v>
      </c>
      <c r="AM108" s="848">
        <f t="shared" si="89"/>
        <v>0</v>
      </c>
      <c r="AN108" s="848">
        <f t="shared" si="89"/>
        <v>0</v>
      </c>
      <c r="AO108" s="848">
        <f t="shared" si="89"/>
        <v>0</v>
      </c>
      <c r="AP108" s="848">
        <f t="shared" si="89"/>
        <v>0</v>
      </c>
      <c r="AQ108" s="848">
        <f t="shared" si="89"/>
        <v>0</v>
      </c>
      <c r="AR108" s="848">
        <f t="shared" si="89"/>
        <v>0</v>
      </c>
      <c r="AS108" s="848">
        <f t="shared" si="89"/>
        <v>0</v>
      </c>
      <c r="AT108" s="848">
        <f t="shared" si="89"/>
        <v>0</v>
      </c>
      <c r="AU108" s="848">
        <f t="shared" si="89"/>
        <v>0</v>
      </c>
      <c r="AV108" s="848">
        <f t="shared" si="89"/>
        <v>0</v>
      </c>
      <c r="AW108" s="848">
        <f t="shared" si="89"/>
        <v>0</v>
      </c>
      <c r="AX108" s="848">
        <f t="shared" si="89"/>
        <v>288</v>
      </c>
      <c r="AY108" s="848">
        <f t="shared" si="88"/>
        <v>288</v>
      </c>
      <c r="AZ108" s="848">
        <f t="shared" si="88"/>
        <v>0</v>
      </c>
      <c r="BA108" s="848"/>
      <c r="BB108" s="848"/>
      <c r="BC108" s="848">
        <f t="shared" si="88"/>
        <v>0</v>
      </c>
      <c r="BD108" s="848">
        <f t="shared" si="88"/>
        <v>0</v>
      </c>
      <c r="BE108" s="848"/>
      <c r="BF108" s="848">
        <f t="shared" si="88"/>
        <v>0</v>
      </c>
      <c r="BG108" s="848">
        <f t="shared" si="88"/>
        <v>0</v>
      </c>
      <c r="BH108" s="848">
        <f t="shared" si="88"/>
        <v>0</v>
      </c>
      <c r="BI108" s="848">
        <f t="shared" si="88"/>
        <v>0</v>
      </c>
      <c r="BJ108" s="848">
        <f t="shared" si="88"/>
        <v>0</v>
      </c>
      <c r="BK108" s="848">
        <f t="shared" si="88"/>
        <v>0</v>
      </c>
      <c r="BL108" s="848">
        <f t="shared" si="88"/>
        <v>0</v>
      </c>
      <c r="BM108" s="848">
        <f t="shared" si="88"/>
        <v>0</v>
      </c>
      <c r="BN108" s="848">
        <f t="shared" si="88"/>
        <v>288</v>
      </c>
      <c r="BO108" s="848">
        <f t="shared" si="80"/>
        <v>287.52600000000001</v>
      </c>
      <c r="BP108" s="848">
        <f t="shared" si="88"/>
        <v>0</v>
      </c>
      <c r="BQ108" s="848"/>
      <c r="BR108" s="848"/>
      <c r="BS108" s="848">
        <f t="shared" si="88"/>
        <v>0</v>
      </c>
      <c r="BT108" s="848">
        <f t="shared" si="88"/>
        <v>0</v>
      </c>
      <c r="BU108" s="848"/>
      <c r="BV108" s="848">
        <f t="shared" si="88"/>
        <v>0</v>
      </c>
      <c r="BW108" s="848">
        <f t="shared" si="88"/>
        <v>0</v>
      </c>
      <c r="BX108" s="848">
        <f t="shared" si="88"/>
        <v>0</v>
      </c>
      <c r="BY108" s="848">
        <f t="shared" si="88"/>
        <v>0</v>
      </c>
      <c r="BZ108" s="848">
        <f t="shared" si="88"/>
        <v>0</v>
      </c>
      <c r="CA108" s="848">
        <f t="shared" si="88"/>
        <v>0</v>
      </c>
      <c r="CB108" s="848">
        <f t="shared" si="88"/>
        <v>0</v>
      </c>
      <c r="CC108" s="848">
        <f t="shared" si="88"/>
        <v>0</v>
      </c>
      <c r="CD108" s="848">
        <f t="shared" si="88"/>
        <v>0</v>
      </c>
      <c r="CE108" s="848">
        <f t="shared" si="88"/>
        <v>287.52600000000001</v>
      </c>
      <c r="CF108" s="848">
        <f t="shared" ref="CF108:CF117" si="90">BO108/AY108%</f>
        <v>99.835416666666674</v>
      </c>
      <c r="CG108" s="848"/>
      <c r="CH108" s="848"/>
      <c r="CI108" s="848"/>
      <c r="CJ108" s="848"/>
      <c r="CK108" s="848"/>
      <c r="CL108" s="848"/>
      <c r="CM108" s="848"/>
      <c r="CN108" s="848"/>
      <c r="CO108" s="848"/>
      <c r="CP108" s="848"/>
      <c r="CQ108" s="848"/>
      <c r="CR108" s="848"/>
      <c r="CS108" s="848"/>
      <c r="CT108" s="848"/>
      <c r="CU108" s="848"/>
      <c r="CV108" s="848"/>
      <c r="CW108" s="848">
        <f t="shared" si="87"/>
        <v>99.83541666666666</v>
      </c>
    </row>
    <row r="109" spans="1:101" ht="29.45" customHeight="1">
      <c r="A109" s="845"/>
      <c r="B109" s="867" t="s">
        <v>505</v>
      </c>
      <c r="C109" s="852" t="s">
        <v>506</v>
      </c>
      <c r="D109" s="846"/>
      <c r="E109" s="845"/>
      <c r="F109" s="853">
        <v>2004</v>
      </c>
      <c r="G109" s="846" t="s">
        <v>507</v>
      </c>
      <c r="H109" s="850">
        <f t="shared" ref="H109:H173" si="91">SUM(I109:S109)</f>
        <v>2612</v>
      </c>
      <c r="I109" s="860">
        <v>2612</v>
      </c>
      <c r="J109" s="848"/>
      <c r="K109" s="848"/>
      <c r="L109" s="848"/>
      <c r="M109" s="848"/>
      <c r="N109" s="848"/>
      <c r="O109" s="848"/>
      <c r="P109" s="848"/>
      <c r="Q109" s="848"/>
      <c r="R109" s="848"/>
      <c r="S109" s="848"/>
      <c r="T109" s="855">
        <f t="shared" si="83"/>
        <v>0</v>
      </c>
      <c r="U109" s="848"/>
      <c r="V109" s="848"/>
      <c r="W109" s="848"/>
      <c r="X109" s="848"/>
      <c r="Y109" s="848"/>
      <c r="Z109" s="848"/>
      <c r="AA109" s="848"/>
      <c r="AB109" s="848"/>
      <c r="AC109" s="848"/>
      <c r="AD109" s="848"/>
      <c r="AE109" s="848"/>
      <c r="AF109" s="848"/>
      <c r="AG109" s="848"/>
      <c r="AH109" s="855"/>
      <c r="AI109" s="855">
        <f>AX109</f>
        <v>288</v>
      </c>
      <c r="AJ109" s="855"/>
      <c r="AK109" s="855"/>
      <c r="AL109" s="855"/>
      <c r="AM109" s="855"/>
      <c r="AN109" s="855"/>
      <c r="AO109" s="855"/>
      <c r="AP109" s="855"/>
      <c r="AQ109" s="855"/>
      <c r="AR109" s="855"/>
      <c r="AS109" s="855"/>
      <c r="AT109" s="855"/>
      <c r="AU109" s="855"/>
      <c r="AV109" s="855"/>
      <c r="AW109" s="855"/>
      <c r="AX109" s="855">
        <v>288</v>
      </c>
      <c r="AY109" s="855">
        <f t="shared" ref="AY109" si="92">SUM(AZ109:BN109)</f>
        <v>288</v>
      </c>
      <c r="AZ109" s="855"/>
      <c r="BA109" s="855"/>
      <c r="BB109" s="855"/>
      <c r="BC109" s="855"/>
      <c r="BD109" s="855"/>
      <c r="BE109" s="855"/>
      <c r="BF109" s="855"/>
      <c r="BG109" s="855"/>
      <c r="BH109" s="855"/>
      <c r="BI109" s="855"/>
      <c r="BJ109" s="855"/>
      <c r="BK109" s="855"/>
      <c r="BL109" s="855"/>
      <c r="BM109" s="855"/>
      <c r="BN109" s="855">
        <f>'[10]bieu cu'!H40</f>
        <v>288</v>
      </c>
      <c r="BO109" s="848">
        <f t="shared" si="80"/>
        <v>287.52600000000001</v>
      </c>
      <c r="BP109" s="855"/>
      <c r="BQ109" s="855"/>
      <c r="BR109" s="855"/>
      <c r="BS109" s="855"/>
      <c r="BT109" s="855"/>
      <c r="BU109" s="855"/>
      <c r="BV109" s="855"/>
      <c r="BW109" s="855"/>
      <c r="BX109" s="855"/>
      <c r="BY109" s="855"/>
      <c r="BZ109" s="855"/>
      <c r="CA109" s="855"/>
      <c r="CB109" s="855"/>
      <c r="CC109" s="855"/>
      <c r="CD109" s="855"/>
      <c r="CE109" s="855">
        <v>287.52600000000001</v>
      </c>
      <c r="CF109" s="848">
        <f t="shared" si="90"/>
        <v>99.835416666666674</v>
      </c>
      <c r="CG109" s="848"/>
      <c r="CH109" s="848"/>
      <c r="CI109" s="848"/>
      <c r="CJ109" s="848"/>
      <c r="CK109" s="848"/>
      <c r="CL109" s="848"/>
      <c r="CM109" s="848"/>
      <c r="CN109" s="848"/>
      <c r="CO109" s="848"/>
      <c r="CP109" s="848"/>
      <c r="CQ109" s="848"/>
      <c r="CR109" s="848"/>
      <c r="CS109" s="848"/>
      <c r="CT109" s="848"/>
      <c r="CU109" s="848"/>
      <c r="CV109" s="848"/>
      <c r="CW109" s="848">
        <f t="shared" si="87"/>
        <v>99.83541666666666</v>
      </c>
    </row>
    <row r="110" spans="1:101" ht="24.75" customHeight="1">
      <c r="A110" s="845"/>
      <c r="B110" s="845"/>
      <c r="C110" s="857" t="s">
        <v>508</v>
      </c>
      <c r="D110" s="846">
        <f>D111</f>
        <v>0</v>
      </c>
      <c r="E110" s="845">
        <f t="shared" ref="E110" si="93">E111</f>
        <v>0</v>
      </c>
      <c r="F110" s="847"/>
      <c r="G110" s="845"/>
      <c r="H110" s="850">
        <f t="shared" si="91"/>
        <v>1281</v>
      </c>
      <c r="I110" s="848">
        <f t="shared" ref="I110:BT110" si="94">I111</f>
        <v>1281</v>
      </c>
      <c r="J110" s="848">
        <f t="shared" si="94"/>
        <v>0</v>
      </c>
      <c r="K110" s="848">
        <f t="shared" si="94"/>
        <v>0</v>
      </c>
      <c r="L110" s="848">
        <f t="shared" si="94"/>
        <v>0</v>
      </c>
      <c r="M110" s="848">
        <f t="shared" si="94"/>
        <v>0</v>
      </c>
      <c r="N110" s="848">
        <f t="shared" si="94"/>
        <v>0</v>
      </c>
      <c r="O110" s="848">
        <f t="shared" si="94"/>
        <v>0</v>
      </c>
      <c r="P110" s="848">
        <f t="shared" si="94"/>
        <v>0</v>
      </c>
      <c r="Q110" s="848">
        <f t="shared" si="94"/>
        <v>0</v>
      </c>
      <c r="R110" s="848">
        <v>0</v>
      </c>
      <c r="S110" s="848">
        <f t="shared" si="94"/>
        <v>0</v>
      </c>
      <c r="T110" s="848">
        <f t="shared" si="94"/>
        <v>0</v>
      </c>
      <c r="U110" s="848">
        <f t="shared" si="94"/>
        <v>0</v>
      </c>
      <c r="V110" s="848">
        <f t="shared" si="94"/>
        <v>0</v>
      </c>
      <c r="W110" s="848">
        <f t="shared" si="94"/>
        <v>0</v>
      </c>
      <c r="X110" s="848">
        <f t="shared" si="94"/>
        <v>0</v>
      </c>
      <c r="Y110" s="848">
        <f t="shared" si="94"/>
        <v>0</v>
      </c>
      <c r="Z110" s="848">
        <f t="shared" si="94"/>
        <v>0</v>
      </c>
      <c r="AA110" s="848">
        <f t="shared" si="94"/>
        <v>0</v>
      </c>
      <c r="AB110" s="848">
        <f t="shared" si="94"/>
        <v>0</v>
      </c>
      <c r="AC110" s="848">
        <f t="shared" si="94"/>
        <v>0</v>
      </c>
      <c r="AD110" s="848">
        <f t="shared" si="94"/>
        <v>0</v>
      </c>
      <c r="AE110" s="848">
        <f t="shared" si="94"/>
        <v>0</v>
      </c>
      <c r="AF110" s="848">
        <f t="shared" si="94"/>
        <v>0</v>
      </c>
      <c r="AG110" s="848">
        <f t="shared" si="94"/>
        <v>0</v>
      </c>
      <c r="AH110" s="848">
        <f t="shared" si="94"/>
        <v>0</v>
      </c>
      <c r="AI110" s="848">
        <f t="shared" si="94"/>
        <v>0</v>
      </c>
      <c r="AJ110" s="848">
        <f t="shared" si="94"/>
        <v>0</v>
      </c>
      <c r="AK110" s="848">
        <f t="shared" si="94"/>
        <v>0</v>
      </c>
      <c r="AL110" s="848">
        <f t="shared" si="94"/>
        <v>0</v>
      </c>
      <c r="AM110" s="848">
        <f t="shared" si="94"/>
        <v>0</v>
      </c>
      <c r="AN110" s="848">
        <f t="shared" si="94"/>
        <v>0</v>
      </c>
      <c r="AO110" s="848">
        <f t="shared" si="94"/>
        <v>0</v>
      </c>
      <c r="AP110" s="848">
        <f t="shared" si="94"/>
        <v>0</v>
      </c>
      <c r="AQ110" s="848">
        <f t="shared" si="94"/>
        <v>0</v>
      </c>
      <c r="AR110" s="848">
        <f t="shared" si="94"/>
        <v>0</v>
      </c>
      <c r="AS110" s="848"/>
      <c r="AT110" s="848">
        <f t="shared" si="94"/>
        <v>0</v>
      </c>
      <c r="AU110" s="848">
        <f t="shared" si="94"/>
        <v>0</v>
      </c>
      <c r="AV110" s="848">
        <f t="shared" si="94"/>
        <v>0</v>
      </c>
      <c r="AW110" s="848">
        <f t="shared" si="94"/>
        <v>0</v>
      </c>
      <c r="AX110" s="848">
        <f t="shared" si="94"/>
        <v>0</v>
      </c>
      <c r="AY110" s="848">
        <f t="shared" si="94"/>
        <v>500</v>
      </c>
      <c r="AZ110" s="848">
        <f t="shared" si="94"/>
        <v>0</v>
      </c>
      <c r="BA110" s="848">
        <f t="shared" si="94"/>
        <v>0</v>
      </c>
      <c r="BB110" s="848">
        <f t="shared" si="94"/>
        <v>0</v>
      </c>
      <c r="BC110" s="848">
        <f t="shared" si="94"/>
        <v>0</v>
      </c>
      <c r="BD110" s="848">
        <f t="shared" si="94"/>
        <v>0</v>
      </c>
      <c r="BE110" s="848">
        <f t="shared" si="94"/>
        <v>0</v>
      </c>
      <c r="BF110" s="848">
        <f t="shared" si="94"/>
        <v>0</v>
      </c>
      <c r="BG110" s="848">
        <f t="shared" si="94"/>
        <v>0</v>
      </c>
      <c r="BH110" s="848">
        <f t="shared" si="94"/>
        <v>0</v>
      </c>
      <c r="BI110" s="848">
        <f t="shared" si="94"/>
        <v>0</v>
      </c>
      <c r="BJ110" s="848">
        <f t="shared" si="94"/>
        <v>0</v>
      </c>
      <c r="BK110" s="848">
        <f t="shared" si="94"/>
        <v>0</v>
      </c>
      <c r="BL110" s="848">
        <f t="shared" si="94"/>
        <v>0</v>
      </c>
      <c r="BM110" s="848">
        <f t="shared" si="94"/>
        <v>0</v>
      </c>
      <c r="BN110" s="848">
        <f t="shared" si="94"/>
        <v>500</v>
      </c>
      <c r="BO110" s="848">
        <f t="shared" si="80"/>
        <v>64.266999999999996</v>
      </c>
      <c r="BP110" s="848">
        <f t="shared" si="94"/>
        <v>0</v>
      </c>
      <c r="BQ110" s="848">
        <f t="shared" si="94"/>
        <v>0</v>
      </c>
      <c r="BR110" s="848">
        <f t="shared" si="94"/>
        <v>0</v>
      </c>
      <c r="BS110" s="848">
        <f t="shared" si="94"/>
        <v>0</v>
      </c>
      <c r="BT110" s="848">
        <f t="shared" si="94"/>
        <v>0</v>
      </c>
      <c r="BU110" s="848">
        <f t="shared" ref="BU110:CS110" si="95">BU111</f>
        <v>0</v>
      </c>
      <c r="BV110" s="848">
        <f t="shared" si="95"/>
        <v>0</v>
      </c>
      <c r="BW110" s="848">
        <f t="shared" si="95"/>
        <v>0</v>
      </c>
      <c r="BX110" s="848">
        <f t="shared" si="95"/>
        <v>0</v>
      </c>
      <c r="BY110" s="848">
        <f t="shared" si="95"/>
        <v>0</v>
      </c>
      <c r="BZ110" s="848">
        <f t="shared" si="95"/>
        <v>0</v>
      </c>
      <c r="CA110" s="848">
        <f t="shared" si="95"/>
        <v>0</v>
      </c>
      <c r="CB110" s="848">
        <f t="shared" si="95"/>
        <v>0</v>
      </c>
      <c r="CC110" s="848">
        <f t="shared" si="95"/>
        <v>0</v>
      </c>
      <c r="CD110" s="848">
        <f t="shared" si="95"/>
        <v>0</v>
      </c>
      <c r="CE110" s="848">
        <f t="shared" si="95"/>
        <v>64.266999999999996</v>
      </c>
      <c r="CF110" s="848">
        <f t="shared" si="95"/>
        <v>12.853399999999999</v>
      </c>
      <c r="CG110" s="848"/>
      <c r="CH110" s="848"/>
      <c r="CI110" s="848"/>
      <c r="CJ110" s="848"/>
      <c r="CK110" s="848"/>
      <c r="CL110" s="848"/>
      <c r="CM110" s="848"/>
      <c r="CN110" s="848"/>
      <c r="CO110" s="848"/>
      <c r="CP110" s="848"/>
      <c r="CQ110" s="848"/>
      <c r="CR110" s="848"/>
      <c r="CS110" s="848">
        <f t="shared" si="95"/>
        <v>0</v>
      </c>
      <c r="CT110" s="848"/>
      <c r="CU110" s="848"/>
      <c r="CV110" s="848"/>
      <c r="CW110" s="848">
        <f t="shared" si="87"/>
        <v>12.853399999999999</v>
      </c>
    </row>
    <row r="111" spans="1:101" ht="33.6" customHeight="1">
      <c r="A111" s="845"/>
      <c r="B111" s="867" t="s">
        <v>505</v>
      </c>
      <c r="C111" s="852" t="s">
        <v>509</v>
      </c>
      <c r="D111" s="846"/>
      <c r="E111" s="845"/>
      <c r="F111" s="853" t="s">
        <v>382</v>
      </c>
      <c r="G111" s="846" t="s">
        <v>510</v>
      </c>
      <c r="H111" s="850">
        <f t="shared" si="91"/>
        <v>1281</v>
      </c>
      <c r="I111" s="860">
        <v>1281</v>
      </c>
      <c r="J111" s="848"/>
      <c r="K111" s="848"/>
      <c r="L111" s="848"/>
      <c r="M111" s="848"/>
      <c r="N111" s="848"/>
      <c r="O111" s="848"/>
      <c r="P111" s="848"/>
      <c r="Q111" s="848"/>
      <c r="R111" s="848"/>
      <c r="S111" s="848"/>
      <c r="T111" s="855">
        <f t="shared" si="83"/>
        <v>0</v>
      </c>
      <c r="U111" s="848"/>
      <c r="V111" s="848"/>
      <c r="W111" s="848"/>
      <c r="X111" s="848"/>
      <c r="Y111" s="848"/>
      <c r="Z111" s="848"/>
      <c r="AA111" s="848"/>
      <c r="AB111" s="848"/>
      <c r="AC111" s="848"/>
      <c r="AD111" s="848"/>
      <c r="AE111" s="848"/>
      <c r="AF111" s="848"/>
      <c r="AG111" s="848"/>
      <c r="AH111" s="855"/>
      <c r="AI111" s="855"/>
      <c r="AJ111" s="855"/>
      <c r="AK111" s="855"/>
      <c r="AL111" s="855"/>
      <c r="AM111" s="855"/>
      <c r="AN111" s="855"/>
      <c r="AO111" s="855"/>
      <c r="AP111" s="855"/>
      <c r="AQ111" s="855"/>
      <c r="AR111" s="855"/>
      <c r="AS111" s="855"/>
      <c r="AT111" s="855"/>
      <c r="AU111" s="855"/>
      <c r="AV111" s="855"/>
      <c r="AW111" s="855"/>
      <c r="AX111" s="855"/>
      <c r="AY111" s="855">
        <f t="shared" ref="AY111" si="96">SUM(AZ111:BN111)</f>
        <v>500</v>
      </c>
      <c r="AZ111" s="855"/>
      <c r="BA111" s="855"/>
      <c r="BB111" s="855"/>
      <c r="BC111" s="855"/>
      <c r="BD111" s="855"/>
      <c r="BE111" s="855"/>
      <c r="BF111" s="855"/>
      <c r="BG111" s="855"/>
      <c r="BH111" s="855"/>
      <c r="BI111" s="855"/>
      <c r="BJ111" s="855"/>
      <c r="BK111" s="855"/>
      <c r="BL111" s="855"/>
      <c r="BM111" s="855"/>
      <c r="BN111" s="855">
        <f>'[10]bieu cu'!H116</f>
        <v>500</v>
      </c>
      <c r="BO111" s="848">
        <f t="shared" si="80"/>
        <v>64.266999999999996</v>
      </c>
      <c r="BP111" s="855"/>
      <c r="BQ111" s="855"/>
      <c r="BR111" s="855"/>
      <c r="BS111" s="855"/>
      <c r="BT111" s="855"/>
      <c r="BU111" s="855"/>
      <c r="BV111" s="855"/>
      <c r="BW111" s="855"/>
      <c r="BX111" s="855"/>
      <c r="BY111" s="855"/>
      <c r="BZ111" s="855"/>
      <c r="CA111" s="855"/>
      <c r="CB111" s="855"/>
      <c r="CC111" s="855"/>
      <c r="CD111" s="855"/>
      <c r="CE111" s="855">
        <v>64.266999999999996</v>
      </c>
      <c r="CF111" s="848">
        <f t="shared" si="90"/>
        <v>12.853399999999999</v>
      </c>
      <c r="CG111" s="848"/>
      <c r="CH111" s="848"/>
      <c r="CI111" s="848"/>
      <c r="CJ111" s="848"/>
      <c r="CK111" s="848"/>
      <c r="CL111" s="848"/>
      <c r="CM111" s="848"/>
      <c r="CN111" s="848"/>
      <c r="CO111" s="848"/>
      <c r="CP111" s="848"/>
      <c r="CQ111" s="848"/>
      <c r="CR111" s="848"/>
      <c r="CS111" s="848"/>
      <c r="CT111" s="848"/>
      <c r="CU111" s="848"/>
      <c r="CV111" s="848"/>
      <c r="CW111" s="848">
        <f t="shared" si="87"/>
        <v>12.853399999999999</v>
      </c>
    </row>
    <row r="112" spans="1:101" s="851" customFormat="1" ht="22.15" customHeight="1">
      <c r="A112" s="868" t="s">
        <v>511</v>
      </c>
      <c r="B112" s="868"/>
      <c r="C112" s="864" t="s">
        <v>512</v>
      </c>
      <c r="D112" s="867">
        <f>D113</f>
        <v>0</v>
      </c>
      <c r="E112" s="864">
        <f t="shared" ref="E112:CE112" si="97">E113</f>
        <v>0</v>
      </c>
      <c r="F112" s="869"/>
      <c r="G112" s="864"/>
      <c r="H112" s="850">
        <f t="shared" si="91"/>
        <v>31128</v>
      </c>
      <c r="I112" s="870">
        <f t="shared" si="97"/>
        <v>6572</v>
      </c>
      <c r="J112" s="870">
        <f t="shared" si="97"/>
        <v>0</v>
      </c>
      <c r="K112" s="870">
        <f t="shared" si="97"/>
        <v>0</v>
      </c>
      <c r="L112" s="870">
        <f t="shared" si="97"/>
        <v>0</v>
      </c>
      <c r="M112" s="870">
        <f t="shared" si="97"/>
        <v>0</v>
      </c>
      <c r="N112" s="870">
        <f t="shared" si="97"/>
        <v>0</v>
      </c>
      <c r="O112" s="870">
        <f t="shared" si="97"/>
        <v>0</v>
      </c>
      <c r="P112" s="870">
        <f t="shared" si="97"/>
        <v>0</v>
      </c>
      <c r="Q112" s="870">
        <f t="shared" si="97"/>
        <v>0</v>
      </c>
      <c r="R112" s="870">
        <v>0</v>
      </c>
      <c r="S112" s="870">
        <f t="shared" si="97"/>
        <v>24556</v>
      </c>
      <c r="T112" s="870">
        <f t="shared" si="97"/>
        <v>87715.492499999993</v>
      </c>
      <c r="U112" s="870">
        <f t="shared" si="97"/>
        <v>77241.983999999997</v>
      </c>
      <c r="V112" s="870">
        <f t="shared" si="97"/>
        <v>0</v>
      </c>
      <c r="W112" s="870">
        <f t="shared" si="97"/>
        <v>2673.5084999999999</v>
      </c>
      <c r="X112" s="870">
        <f t="shared" si="97"/>
        <v>0</v>
      </c>
      <c r="Y112" s="870">
        <f t="shared" si="97"/>
        <v>0</v>
      </c>
      <c r="Z112" s="870">
        <f t="shared" si="97"/>
        <v>0</v>
      </c>
      <c r="AA112" s="870">
        <f t="shared" si="97"/>
        <v>0</v>
      </c>
      <c r="AB112" s="870">
        <f t="shared" si="97"/>
        <v>0</v>
      </c>
      <c r="AC112" s="870">
        <f t="shared" si="97"/>
        <v>0</v>
      </c>
      <c r="AD112" s="870">
        <f t="shared" si="97"/>
        <v>0</v>
      </c>
      <c r="AE112" s="870">
        <f t="shared" si="97"/>
        <v>0</v>
      </c>
      <c r="AF112" s="870">
        <f t="shared" si="97"/>
        <v>0</v>
      </c>
      <c r="AG112" s="870">
        <f t="shared" si="97"/>
        <v>0</v>
      </c>
      <c r="AH112" s="870">
        <f t="shared" si="97"/>
        <v>7800</v>
      </c>
      <c r="AI112" s="870">
        <f t="shared" si="97"/>
        <v>23032</v>
      </c>
      <c r="AJ112" s="870">
        <f t="shared" si="97"/>
        <v>15468</v>
      </c>
      <c r="AK112" s="870">
        <f t="shared" si="97"/>
        <v>0</v>
      </c>
      <c r="AL112" s="870">
        <f t="shared" si="97"/>
        <v>2674</v>
      </c>
      <c r="AM112" s="870">
        <f t="shared" si="97"/>
        <v>0</v>
      </c>
      <c r="AN112" s="870">
        <f t="shared" si="97"/>
        <v>0</v>
      </c>
      <c r="AO112" s="870">
        <f t="shared" si="97"/>
        <v>0</v>
      </c>
      <c r="AP112" s="870">
        <f t="shared" si="97"/>
        <v>0</v>
      </c>
      <c r="AQ112" s="870">
        <f t="shared" si="97"/>
        <v>0</v>
      </c>
      <c r="AR112" s="870">
        <f t="shared" si="97"/>
        <v>0</v>
      </c>
      <c r="AS112" s="870">
        <f t="shared" si="97"/>
        <v>2837</v>
      </c>
      <c r="AT112" s="870">
        <f t="shared" si="97"/>
        <v>0</v>
      </c>
      <c r="AU112" s="870">
        <f t="shared" si="97"/>
        <v>0</v>
      </c>
      <c r="AV112" s="870">
        <f t="shared" si="97"/>
        <v>0</v>
      </c>
      <c r="AW112" s="870">
        <f t="shared" si="97"/>
        <v>0</v>
      </c>
      <c r="AX112" s="870">
        <f t="shared" si="97"/>
        <v>2053</v>
      </c>
      <c r="AY112" s="870">
        <f t="shared" si="97"/>
        <v>750</v>
      </c>
      <c r="AZ112" s="870">
        <f t="shared" si="97"/>
        <v>0</v>
      </c>
      <c r="BA112" s="870">
        <f t="shared" si="97"/>
        <v>0</v>
      </c>
      <c r="BB112" s="870">
        <f t="shared" si="97"/>
        <v>0</v>
      </c>
      <c r="BC112" s="870">
        <f t="shared" si="97"/>
        <v>0</v>
      </c>
      <c r="BD112" s="870">
        <f t="shared" si="97"/>
        <v>0</v>
      </c>
      <c r="BE112" s="870">
        <f t="shared" si="97"/>
        <v>0</v>
      </c>
      <c r="BF112" s="870">
        <f t="shared" si="97"/>
        <v>0</v>
      </c>
      <c r="BG112" s="870">
        <f t="shared" si="97"/>
        <v>0</v>
      </c>
      <c r="BH112" s="870">
        <f t="shared" si="97"/>
        <v>0</v>
      </c>
      <c r="BI112" s="870">
        <f t="shared" si="97"/>
        <v>0</v>
      </c>
      <c r="BJ112" s="870">
        <f t="shared" si="97"/>
        <v>0</v>
      </c>
      <c r="BK112" s="870">
        <f t="shared" si="97"/>
        <v>0</v>
      </c>
      <c r="BL112" s="870">
        <f t="shared" si="97"/>
        <v>0</v>
      </c>
      <c r="BM112" s="870">
        <f t="shared" si="97"/>
        <v>0</v>
      </c>
      <c r="BN112" s="870">
        <f t="shared" si="97"/>
        <v>750</v>
      </c>
      <c r="BO112" s="848">
        <f t="shared" si="80"/>
        <v>5452.8834999999999</v>
      </c>
      <c r="BP112" s="870">
        <f t="shared" si="97"/>
        <v>3465.4049999999997</v>
      </c>
      <c r="BQ112" s="870">
        <f t="shared" si="97"/>
        <v>0</v>
      </c>
      <c r="BR112" s="870">
        <f t="shared" si="97"/>
        <v>0</v>
      </c>
      <c r="BS112" s="870">
        <f>BS113</f>
        <v>1237.4784999999999</v>
      </c>
      <c r="BT112" s="870">
        <f t="shared" si="97"/>
        <v>0</v>
      </c>
      <c r="BU112" s="870">
        <f t="shared" si="97"/>
        <v>0</v>
      </c>
      <c r="BV112" s="870">
        <f t="shared" si="97"/>
        <v>0</v>
      </c>
      <c r="BW112" s="870">
        <f t="shared" si="97"/>
        <v>0</v>
      </c>
      <c r="BX112" s="870">
        <f t="shared" si="97"/>
        <v>0</v>
      </c>
      <c r="BY112" s="870">
        <f t="shared" si="97"/>
        <v>0</v>
      </c>
      <c r="BZ112" s="870">
        <f t="shared" si="97"/>
        <v>0</v>
      </c>
      <c r="CA112" s="870">
        <f>CA113</f>
        <v>0</v>
      </c>
      <c r="CB112" s="870">
        <f t="shared" si="97"/>
        <v>0</v>
      </c>
      <c r="CC112" s="870">
        <f t="shared" si="97"/>
        <v>0</v>
      </c>
      <c r="CD112" s="870">
        <f t="shared" si="97"/>
        <v>0</v>
      </c>
      <c r="CE112" s="870">
        <f t="shared" si="97"/>
        <v>750</v>
      </c>
      <c r="CF112" s="848">
        <f t="shared" si="90"/>
        <v>727.05113333333327</v>
      </c>
      <c r="CG112" s="848"/>
      <c r="CH112" s="848"/>
      <c r="CI112" s="848"/>
      <c r="CJ112" s="848"/>
      <c r="CK112" s="848"/>
      <c r="CL112" s="848"/>
      <c r="CM112" s="848"/>
      <c r="CN112" s="848"/>
      <c r="CO112" s="848"/>
      <c r="CP112" s="848"/>
      <c r="CQ112" s="848"/>
      <c r="CR112" s="848"/>
      <c r="CS112" s="848"/>
      <c r="CT112" s="848"/>
      <c r="CU112" s="848"/>
      <c r="CV112" s="848"/>
      <c r="CW112" s="848">
        <f t="shared" si="87"/>
        <v>100</v>
      </c>
    </row>
    <row r="113" spans="1:101" s="851" customFormat="1" ht="17.45" customHeight="1">
      <c r="A113" s="868"/>
      <c r="B113" s="868"/>
      <c r="C113" s="864" t="s">
        <v>358</v>
      </c>
      <c r="D113" s="864">
        <f>D115+D116+D117</f>
        <v>0</v>
      </c>
      <c r="E113" s="864">
        <f t="shared" ref="E113" si="98">E115+E116+E117</f>
        <v>0</v>
      </c>
      <c r="F113" s="869"/>
      <c r="G113" s="864"/>
      <c r="H113" s="850">
        <f t="shared" si="91"/>
        <v>31128</v>
      </c>
      <c r="I113" s="870">
        <f t="shared" ref="I113:M113" si="99">SUM(I114:I139)</f>
        <v>6572</v>
      </c>
      <c r="J113" s="870">
        <f t="shared" si="99"/>
        <v>0</v>
      </c>
      <c r="K113" s="870">
        <f t="shared" si="99"/>
        <v>0</v>
      </c>
      <c r="L113" s="870">
        <f t="shared" si="99"/>
        <v>0</v>
      </c>
      <c r="M113" s="870">
        <f t="shared" si="99"/>
        <v>0</v>
      </c>
      <c r="N113" s="870">
        <f t="shared" ref="N113:Q113" si="100">SUM(N114:N139)</f>
        <v>0</v>
      </c>
      <c r="O113" s="870">
        <f t="shared" si="100"/>
        <v>0</v>
      </c>
      <c r="P113" s="870">
        <f t="shared" si="100"/>
        <v>0</v>
      </c>
      <c r="Q113" s="870">
        <f t="shared" si="100"/>
        <v>0</v>
      </c>
      <c r="R113" s="870">
        <v>0</v>
      </c>
      <c r="S113" s="870">
        <f t="shared" ref="S113:CD113" si="101">SUM(S114:S139)</f>
        <v>24556</v>
      </c>
      <c r="T113" s="870">
        <f t="shared" si="101"/>
        <v>87715.492499999993</v>
      </c>
      <c r="U113" s="870">
        <f t="shared" si="101"/>
        <v>77241.983999999997</v>
      </c>
      <c r="V113" s="870">
        <f t="shared" si="101"/>
        <v>0</v>
      </c>
      <c r="W113" s="870">
        <f t="shared" si="101"/>
        <v>2673.5084999999999</v>
      </c>
      <c r="X113" s="870">
        <f t="shared" si="101"/>
        <v>0</v>
      </c>
      <c r="Y113" s="870">
        <f t="shared" si="101"/>
        <v>0</v>
      </c>
      <c r="Z113" s="870">
        <f t="shared" si="101"/>
        <v>0</v>
      </c>
      <c r="AA113" s="870">
        <f t="shared" si="101"/>
        <v>0</v>
      </c>
      <c r="AB113" s="870">
        <f t="shared" si="101"/>
        <v>0</v>
      </c>
      <c r="AC113" s="870">
        <f t="shared" si="101"/>
        <v>0</v>
      </c>
      <c r="AD113" s="870">
        <f t="shared" si="101"/>
        <v>0</v>
      </c>
      <c r="AE113" s="870">
        <f t="shared" si="101"/>
        <v>0</v>
      </c>
      <c r="AF113" s="870">
        <f t="shared" si="101"/>
        <v>0</v>
      </c>
      <c r="AG113" s="870">
        <f t="shared" si="101"/>
        <v>0</v>
      </c>
      <c r="AH113" s="870">
        <f t="shared" si="101"/>
        <v>7800</v>
      </c>
      <c r="AI113" s="870">
        <f t="shared" si="101"/>
        <v>23032</v>
      </c>
      <c r="AJ113" s="870">
        <f t="shared" si="101"/>
        <v>15468</v>
      </c>
      <c r="AK113" s="870">
        <f t="shared" si="101"/>
        <v>0</v>
      </c>
      <c r="AL113" s="870">
        <f t="shared" si="101"/>
        <v>2674</v>
      </c>
      <c r="AM113" s="870">
        <f t="shared" si="101"/>
        <v>0</v>
      </c>
      <c r="AN113" s="870">
        <f t="shared" si="101"/>
        <v>0</v>
      </c>
      <c r="AO113" s="870">
        <f t="shared" si="101"/>
        <v>0</v>
      </c>
      <c r="AP113" s="870">
        <f t="shared" si="101"/>
        <v>0</v>
      </c>
      <c r="AQ113" s="870">
        <f>SUM(AQ114:AQ139)</f>
        <v>0</v>
      </c>
      <c r="AR113" s="870">
        <f t="shared" ref="AR113:AX113" si="102">SUM(AR114:AR139)</f>
        <v>0</v>
      </c>
      <c r="AS113" s="870">
        <f t="shared" si="102"/>
        <v>2837</v>
      </c>
      <c r="AT113" s="870">
        <f t="shared" si="102"/>
        <v>0</v>
      </c>
      <c r="AU113" s="870">
        <f t="shared" si="102"/>
        <v>0</v>
      </c>
      <c r="AV113" s="870">
        <f t="shared" si="102"/>
        <v>0</v>
      </c>
      <c r="AW113" s="870">
        <f t="shared" si="102"/>
        <v>0</v>
      </c>
      <c r="AX113" s="870">
        <f t="shared" si="102"/>
        <v>2053</v>
      </c>
      <c r="AY113" s="870">
        <f t="shared" si="101"/>
        <v>750</v>
      </c>
      <c r="AZ113" s="870">
        <f t="shared" si="101"/>
        <v>0</v>
      </c>
      <c r="BA113" s="870">
        <f t="shared" si="101"/>
        <v>0</v>
      </c>
      <c r="BB113" s="870">
        <f t="shared" si="101"/>
        <v>0</v>
      </c>
      <c r="BC113" s="870">
        <f>SUM(BC114:BC139)</f>
        <v>0</v>
      </c>
      <c r="BD113" s="870">
        <f t="shared" si="101"/>
        <v>0</v>
      </c>
      <c r="BE113" s="870">
        <f t="shared" si="101"/>
        <v>0</v>
      </c>
      <c r="BF113" s="870">
        <f t="shared" si="101"/>
        <v>0</v>
      </c>
      <c r="BG113" s="870">
        <f t="shared" si="101"/>
        <v>0</v>
      </c>
      <c r="BH113" s="870">
        <f t="shared" si="101"/>
        <v>0</v>
      </c>
      <c r="BI113" s="870">
        <f t="shared" si="101"/>
        <v>0</v>
      </c>
      <c r="BJ113" s="870">
        <f t="shared" si="101"/>
        <v>0</v>
      </c>
      <c r="BK113" s="870">
        <f t="shared" si="101"/>
        <v>0</v>
      </c>
      <c r="BL113" s="870">
        <f t="shared" si="101"/>
        <v>0</v>
      </c>
      <c r="BM113" s="870">
        <f t="shared" si="101"/>
        <v>0</v>
      </c>
      <c r="BN113" s="870">
        <f t="shared" si="101"/>
        <v>750</v>
      </c>
      <c r="BO113" s="848">
        <f t="shared" si="80"/>
        <v>5452.8834999999999</v>
      </c>
      <c r="BP113" s="870">
        <f t="shared" si="101"/>
        <v>3465.4049999999997</v>
      </c>
      <c r="BQ113" s="870">
        <f t="shared" si="101"/>
        <v>0</v>
      </c>
      <c r="BR113" s="870">
        <f t="shared" si="101"/>
        <v>0</v>
      </c>
      <c r="BS113" s="870">
        <f t="shared" si="101"/>
        <v>1237.4784999999999</v>
      </c>
      <c r="BT113" s="870">
        <f t="shared" si="101"/>
        <v>0</v>
      </c>
      <c r="BU113" s="870">
        <f t="shared" si="101"/>
        <v>0</v>
      </c>
      <c r="BV113" s="870">
        <f t="shared" si="101"/>
        <v>0</v>
      </c>
      <c r="BW113" s="870">
        <f t="shared" si="101"/>
        <v>0</v>
      </c>
      <c r="BX113" s="870">
        <f t="shared" si="101"/>
        <v>0</v>
      </c>
      <c r="BY113" s="870">
        <f t="shared" si="101"/>
        <v>0</v>
      </c>
      <c r="BZ113" s="870">
        <f t="shared" si="101"/>
        <v>0</v>
      </c>
      <c r="CA113" s="870">
        <f>SUM(CA114:CA139)</f>
        <v>0</v>
      </c>
      <c r="CB113" s="870">
        <f t="shared" si="101"/>
        <v>0</v>
      </c>
      <c r="CC113" s="870">
        <f t="shared" si="101"/>
        <v>0</v>
      </c>
      <c r="CD113" s="870">
        <f t="shared" si="101"/>
        <v>0</v>
      </c>
      <c r="CE113" s="870">
        <f t="shared" ref="CE113" si="103">SUM(CE114:CE139)</f>
        <v>750</v>
      </c>
      <c r="CF113" s="848">
        <f t="shared" si="90"/>
        <v>727.05113333333327</v>
      </c>
      <c r="CG113" s="848"/>
      <c r="CH113" s="848"/>
      <c r="CI113" s="848"/>
      <c r="CJ113" s="848"/>
      <c r="CK113" s="848"/>
      <c r="CL113" s="848"/>
      <c r="CM113" s="848"/>
      <c r="CN113" s="848"/>
      <c r="CO113" s="848"/>
      <c r="CP113" s="848"/>
      <c r="CQ113" s="848"/>
      <c r="CR113" s="848"/>
      <c r="CS113" s="848"/>
      <c r="CT113" s="848"/>
      <c r="CU113" s="848"/>
      <c r="CV113" s="848"/>
      <c r="CW113" s="848">
        <f t="shared" si="87"/>
        <v>100</v>
      </c>
    </row>
    <row r="114" spans="1:101" ht="37.15" customHeight="1">
      <c r="A114" s="871"/>
      <c r="B114" s="864" t="s">
        <v>512</v>
      </c>
      <c r="C114" s="852" t="s">
        <v>513</v>
      </c>
      <c r="D114" s="867"/>
      <c r="E114" s="867"/>
      <c r="F114" s="858"/>
      <c r="G114" s="867"/>
      <c r="H114" s="850">
        <f t="shared" si="91"/>
        <v>0</v>
      </c>
      <c r="I114" s="860"/>
      <c r="J114" s="860"/>
      <c r="K114" s="860"/>
      <c r="L114" s="860"/>
      <c r="M114" s="860"/>
      <c r="N114" s="860"/>
      <c r="O114" s="860"/>
      <c r="P114" s="860"/>
      <c r="Q114" s="860"/>
      <c r="R114" s="860"/>
      <c r="S114" s="860"/>
      <c r="T114" s="855">
        <f t="shared" si="83"/>
        <v>2673.5084999999999</v>
      </c>
      <c r="U114" s="860"/>
      <c r="V114" s="860"/>
      <c r="W114" s="860">
        <v>2673.5084999999999</v>
      </c>
      <c r="X114" s="860"/>
      <c r="Y114" s="860"/>
      <c r="Z114" s="860"/>
      <c r="AA114" s="860"/>
      <c r="AB114" s="860"/>
      <c r="AC114" s="860"/>
      <c r="AD114" s="860"/>
      <c r="AE114" s="860"/>
      <c r="AF114" s="860"/>
      <c r="AG114" s="860"/>
      <c r="AH114" s="860"/>
      <c r="AI114" s="860">
        <f>AL114+AS114</f>
        <v>4674</v>
      </c>
      <c r="AJ114" s="860"/>
      <c r="AK114" s="860"/>
      <c r="AL114" s="860">
        <v>2674</v>
      </c>
      <c r="AM114" s="860"/>
      <c r="AN114" s="860"/>
      <c r="AO114" s="860"/>
      <c r="AP114" s="860"/>
      <c r="AQ114" s="860"/>
      <c r="AR114" s="860"/>
      <c r="AS114" s="860">
        <v>2000</v>
      </c>
      <c r="AT114" s="860"/>
      <c r="AU114" s="860"/>
      <c r="AV114" s="860"/>
      <c r="AW114" s="860"/>
      <c r="AX114" s="860"/>
      <c r="AY114" s="855">
        <f t="shared" ref="AY114:AY139" si="104">SUM(AZ114:BN114)</f>
        <v>0</v>
      </c>
      <c r="AZ114" s="860"/>
      <c r="BA114" s="860"/>
      <c r="BB114" s="860"/>
      <c r="BC114" s="860"/>
      <c r="BD114" s="860"/>
      <c r="BE114" s="860"/>
      <c r="BF114" s="860"/>
      <c r="BG114" s="860"/>
      <c r="BH114" s="860"/>
      <c r="BI114" s="860"/>
      <c r="BJ114" s="860"/>
      <c r="BK114" s="860"/>
      <c r="BL114" s="860"/>
      <c r="BM114" s="860"/>
      <c r="BN114" s="860"/>
      <c r="BO114" s="848">
        <f t="shared" si="80"/>
        <v>1237.4784999999999</v>
      </c>
      <c r="BP114" s="860"/>
      <c r="BQ114" s="860"/>
      <c r="BR114" s="860"/>
      <c r="BS114" s="860">
        <v>1237.4784999999999</v>
      </c>
      <c r="BT114" s="860"/>
      <c r="BU114" s="860"/>
      <c r="BV114" s="860"/>
      <c r="BW114" s="860"/>
      <c r="BX114" s="860"/>
      <c r="BY114" s="860"/>
      <c r="BZ114" s="860"/>
      <c r="CA114" s="860"/>
      <c r="CB114" s="860"/>
      <c r="CC114" s="860"/>
      <c r="CD114" s="860"/>
      <c r="CE114" s="860"/>
      <c r="CF114" s="848"/>
      <c r="CG114" s="848"/>
      <c r="CH114" s="848"/>
      <c r="CI114" s="848"/>
      <c r="CJ114" s="848"/>
      <c r="CK114" s="848"/>
      <c r="CL114" s="848"/>
      <c r="CM114" s="848"/>
      <c r="CN114" s="848"/>
      <c r="CO114" s="848"/>
      <c r="CP114" s="848"/>
      <c r="CQ114" s="848"/>
      <c r="CR114" s="848"/>
      <c r="CS114" s="848"/>
      <c r="CT114" s="848"/>
      <c r="CU114" s="848"/>
      <c r="CV114" s="848"/>
      <c r="CW114" s="848"/>
    </row>
    <row r="115" spans="1:101" ht="49.5">
      <c r="A115" s="871"/>
      <c r="B115" s="864" t="s">
        <v>512</v>
      </c>
      <c r="C115" s="852" t="s">
        <v>514</v>
      </c>
      <c r="D115" s="867"/>
      <c r="E115" s="867"/>
      <c r="F115" s="853" t="s">
        <v>515</v>
      </c>
      <c r="G115" s="846" t="s">
        <v>516</v>
      </c>
      <c r="H115" s="850">
        <f t="shared" si="91"/>
        <v>9681</v>
      </c>
      <c r="I115" s="872"/>
      <c r="J115" s="860"/>
      <c r="K115" s="860"/>
      <c r="L115" s="860"/>
      <c r="M115" s="860"/>
      <c r="N115" s="860"/>
      <c r="O115" s="860"/>
      <c r="P115" s="860"/>
      <c r="Q115" s="860"/>
      <c r="R115" s="860"/>
      <c r="S115" s="860">
        <v>9681</v>
      </c>
      <c r="T115" s="855">
        <f t="shared" si="83"/>
        <v>7800</v>
      </c>
      <c r="U115" s="860"/>
      <c r="V115" s="860"/>
      <c r="W115" s="860"/>
      <c r="X115" s="860"/>
      <c r="Y115" s="860"/>
      <c r="Z115" s="860"/>
      <c r="AA115" s="860"/>
      <c r="AB115" s="860"/>
      <c r="AC115" s="860"/>
      <c r="AD115" s="860"/>
      <c r="AE115" s="860"/>
      <c r="AF115" s="860"/>
      <c r="AG115" s="860"/>
      <c r="AH115" s="860">
        <v>7800</v>
      </c>
      <c r="AI115" s="860">
        <f>AS115</f>
        <v>837</v>
      </c>
      <c r="AJ115" s="860"/>
      <c r="AK115" s="860"/>
      <c r="AL115" s="860"/>
      <c r="AM115" s="860"/>
      <c r="AN115" s="860"/>
      <c r="AO115" s="860"/>
      <c r="AP115" s="860"/>
      <c r="AQ115" s="860"/>
      <c r="AR115" s="860"/>
      <c r="AS115" s="860">
        <v>837</v>
      </c>
      <c r="AT115" s="860"/>
      <c r="AU115" s="860"/>
      <c r="AV115" s="860"/>
      <c r="AW115" s="860"/>
      <c r="AX115" s="860"/>
      <c r="AY115" s="855">
        <f t="shared" si="104"/>
        <v>200</v>
      </c>
      <c r="AZ115" s="860"/>
      <c r="BA115" s="860"/>
      <c r="BB115" s="860"/>
      <c r="BC115" s="860"/>
      <c r="BD115" s="860"/>
      <c r="BE115" s="860"/>
      <c r="BF115" s="860"/>
      <c r="BG115" s="860"/>
      <c r="BH115" s="860"/>
      <c r="BI115" s="860"/>
      <c r="BJ115" s="860"/>
      <c r="BK115" s="860"/>
      <c r="BL115" s="860"/>
      <c r="BM115" s="860"/>
      <c r="BN115" s="860">
        <f>'[10]bieu cu'!H85</f>
        <v>200</v>
      </c>
      <c r="BO115" s="848">
        <f t="shared" si="80"/>
        <v>200</v>
      </c>
      <c r="BP115" s="860"/>
      <c r="BQ115" s="860"/>
      <c r="BR115" s="860"/>
      <c r="BS115" s="860"/>
      <c r="BT115" s="860"/>
      <c r="BU115" s="860"/>
      <c r="BV115" s="860"/>
      <c r="BW115" s="860"/>
      <c r="BX115" s="860"/>
      <c r="BY115" s="860"/>
      <c r="BZ115" s="860"/>
      <c r="CA115" s="860"/>
      <c r="CB115" s="860"/>
      <c r="CC115" s="860"/>
      <c r="CD115" s="860"/>
      <c r="CE115" s="860">
        <f>'[10]bieu cu'!M85</f>
        <v>200</v>
      </c>
      <c r="CF115" s="848">
        <f t="shared" si="90"/>
        <v>100</v>
      </c>
      <c r="CG115" s="848"/>
      <c r="CH115" s="848"/>
      <c r="CI115" s="848"/>
      <c r="CJ115" s="848"/>
      <c r="CK115" s="848"/>
      <c r="CL115" s="848"/>
      <c r="CM115" s="848"/>
      <c r="CN115" s="848"/>
      <c r="CO115" s="848"/>
      <c r="CP115" s="848"/>
      <c r="CQ115" s="848"/>
      <c r="CR115" s="848"/>
      <c r="CS115" s="848"/>
      <c r="CT115" s="848"/>
      <c r="CU115" s="848"/>
      <c r="CV115" s="848"/>
      <c r="CW115" s="848">
        <f t="shared" si="87"/>
        <v>100</v>
      </c>
    </row>
    <row r="116" spans="1:101" ht="23.45" customHeight="1">
      <c r="A116" s="871"/>
      <c r="B116" s="864" t="s">
        <v>512</v>
      </c>
      <c r="C116" s="852" t="s">
        <v>517</v>
      </c>
      <c r="D116" s="867"/>
      <c r="E116" s="867"/>
      <c r="F116" s="853" t="s">
        <v>518</v>
      </c>
      <c r="G116" s="846" t="s">
        <v>519</v>
      </c>
      <c r="H116" s="850">
        <f t="shared" si="91"/>
        <v>7991</v>
      </c>
      <c r="I116" s="850"/>
      <c r="J116" s="860"/>
      <c r="K116" s="860"/>
      <c r="L116" s="860"/>
      <c r="M116" s="860"/>
      <c r="N116" s="860"/>
      <c r="O116" s="860"/>
      <c r="P116" s="860"/>
      <c r="Q116" s="860"/>
      <c r="R116" s="860"/>
      <c r="S116" s="860">
        <v>7991</v>
      </c>
      <c r="T116" s="855">
        <f t="shared" si="83"/>
        <v>30315.116000000002</v>
      </c>
      <c r="U116" s="860">
        <v>30315.116000000002</v>
      </c>
      <c r="V116" s="860"/>
      <c r="W116" s="860"/>
      <c r="X116" s="860"/>
      <c r="Y116" s="860"/>
      <c r="Z116" s="860"/>
      <c r="AA116" s="860"/>
      <c r="AB116" s="860"/>
      <c r="AC116" s="860"/>
      <c r="AD116" s="860"/>
      <c r="AE116" s="860"/>
      <c r="AF116" s="860"/>
      <c r="AG116" s="860"/>
      <c r="AH116" s="860"/>
      <c r="AI116" s="860"/>
      <c r="AJ116" s="860"/>
      <c r="AK116" s="860"/>
      <c r="AL116" s="860"/>
      <c r="AM116" s="860"/>
      <c r="AN116" s="860"/>
      <c r="AO116" s="860"/>
      <c r="AP116" s="860"/>
      <c r="AQ116" s="860"/>
      <c r="AR116" s="860"/>
      <c r="AS116" s="860"/>
      <c r="AT116" s="860"/>
      <c r="AU116" s="860"/>
      <c r="AV116" s="860"/>
      <c r="AW116" s="860"/>
      <c r="AX116" s="860"/>
      <c r="AY116" s="855">
        <f t="shared" si="104"/>
        <v>200</v>
      </c>
      <c r="AZ116" s="860"/>
      <c r="BA116" s="860"/>
      <c r="BB116" s="860"/>
      <c r="BC116" s="860"/>
      <c r="BD116" s="860"/>
      <c r="BE116" s="860"/>
      <c r="BF116" s="860"/>
      <c r="BG116" s="860"/>
      <c r="BH116" s="860"/>
      <c r="BI116" s="860"/>
      <c r="BJ116" s="860"/>
      <c r="BK116" s="860"/>
      <c r="BL116" s="860"/>
      <c r="BM116" s="860"/>
      <c r="BN116" s="860">
        <f>'[10]bieu cu'!H80</f>
        <v>200</v>
      </c>
      <c r="BO116" s="848">
        <f t="shared" si="80"/>
        <v>200</v>
      </c>
      <c r="BP116" s="860"/>
      <c r="BQ116" s="860"/>
      <c r="BR116" s="860"/>
      <c r="BS116" s="860"/>
      <c r="BT116" s="860"/>
      <c r="BU116" s="860"/>
      <c r="BV116" s="860"/>
      <c r="BW116" s="860"/>
      <c r="BX116" s="860"/>
      <c r="BY116" s="860"/>
      <c r="BZ116" s="860"/>
      <c r="CA116" s="860"/>
      <c r="CB116" s="860"/>
      <c r="CC116" s="860"/>
      <c r="CD116" s="860"/>
      <c r="CE116" s="860">
        <f>'[10]bieu cu'!M80</f>
        <v>200</v>
      </c>
      <c r="CF116" s="848">
        <f t="shared" si="90"/>
        <v>100</v>
      </c>
      <c r="CG116" s="848"/>
      <c r="CH116" s="848"/>
      <c r="CI116" s="848"/>
      <c r="CJ116" s="848"/>
      <c r="CK116" s="848"/>
      <c r="CL116" s="848"/>
      <c r="CM116" s="848"/>
      <c r="CN116" s="848"/>
      <c r="CO116" s="848"/>
      <c r="CP116" s="848"/>
      <c r="CQ116" s="848"/>
      <c r="CR116" s="848"/>
      <c r="CS116" s="848"/>
      <c r="CT116" s="848"/>
      <c r="CU116" s="848"/>
      <c r="CV116" s="848"/>
      <c r="CW116" s="848">
        <f t="shared" si="87"/>
        <v>100</v>
      </c>
    </row>
    <row r="117" spans="1:101" ht="33.6" customHeight="1">
      <c r="A117" s="871"/>
      <c r="B117" s="864" t="s">
        <v>512</v>
      </c>
      <c r="C117" s="852" t="s">
        <v>520</v>
      </c>
      <c r="D117" s="867"/>
      <c r="E117" s="867"/>
      <c r="F117" s="853" t="s">
        <v>521</v>
      </c>
      <c r="G117" s="846" t="s">
        <v>522</v>
      </c>
      <c r="H117" s="850">
        <f t="shared" si="91"/>
        <v>6884</v>
      </c>
      <c r="I117" s="850"/>
      <c r="J117" s="860"/>
      <c r="K117" s="860"/>
      <c r="L117" s="860"/>
      <c r="M117" s="860"/>
      <c r="N117" s="860"/>
      <c r="O117" s="860"/>
      <c r="P117" s="860"/>
      <c r="Q117" s="860"/>
      <c r="R117" s="860"/>
      <c r="S117" s="860">
        <v>6884</v>
      </c>
      <c r="T117" s="855">
        <f t="shared" si="83"/>
        <v>42360</v>
      </c>
      <c r="U117" s="860">
        <v>42360</v>
      </c>
      <c r="V117" s="860"/>
      <c r="W117" s="860"/>
      <c r="X117" s="860"/>
      <c r="Y117" s="860"/>
      <c r="Z117" s="860"/>
      <c r="AA117" s="860"/>
      <c r="AB117" s="860"/>
      <c r="AC117" s="860"/>
      <c r="AD117" s="860"/>
      <c r="AE117" s="860"/>
      <c r="AF117" s="860"/>
      <c r="AG117" s="860"/>
      <c r="AH117" s="860"/>
      <c r="AI117" s="860">
        <f>AX117+AJ117</f>
        <v>9590</v>
      </c>
      <c r="AJ117" s="860">
        <v>7537</v>
      </c>
      <c r="AK117" s="860"/>
      <c r="AL117" s="860"/>
      <c r="AM117" s="860"/>
      <c r="AN117" s="860"/>
      <c r="AO117" s="860"/>
      <c r="AP117" s="860"/>
      <c r="AQ117" s="860"/>
      <c r="AR117" s="860"/>
      <c r="AS117" s="860"/>
      <c r="AT117" s="860"/>
      <c r="AU117" s="860"/>
      <c r="AV117" s="860"/>
      <c r="AW117" s="860"/>
      <c r="AX117" s="860">
        <v>2053</v>
      </c>
      <c r="AY117" s="855">
        <f t="shared" si="104"/>
        <v>350</v>
      </c>
      <c r="AZ117" s="860"/>
      <c r="BA117" s="860"/>
      <c r="BB117" s="860"/>
      <c r="BC117" s="860"/>
      <c r="BD117" s="860"/>
      <c r="BE117" s="860"/>
      <c r="BF117" s="860"/>
      <c r="BG117" s="860"/>
      <c r="BH117" s="860"/>
      <c r="BI117" s="860"/>
      <c r="BJ117" s="860"/>
      <c r="BK117" s="860"/>
      <c r="BL117" s="860"/>
      <c r="BM117" s="860"/>
      <c r="BN117" s="860">
        <v>350</v>
      </c>
      <c r="BO117" s="848">
        <f t="shared" si="80"/>
        <v>350</v>
      </c>
      <c r="BP117" s="860"/>
      <c r="BQ117" s="860"/>
      <c r="BR117" s="860"/>
      <c r="BS117" s="860"/>
      <c r="BT117" s="860"/>
      <c r="BU117" s="860"/>
      <c r="BV117" s="860"/>
      <c r="BW117" s="860"/>
      <c r="BX117" s="860"/>
      <c r="BY117" s="860"/>
      <c r="BZ117" s="860"/>
      <c r="CA117" s="860"/>
      <c r="CB117" s="860"/>
      <c r="CC117" s="860"/>
      <c r="CD117" s="860"/>
      <c r="CE117" s="860">
        <v>350</v>
      </c>
      <c r="CF117" s="848">
        <f t="shared" si="90"/>
        <v>100</v>
      </c>
      <c r="CG117" s="848"/>
      <c r="CH117" s="848"/>
      <c r="CI117" s="848"/>
      <c r="CJ117" s="848"/>
      <c r="CK117" s="848"/>
      <c r="CL117" s="848"/>
      <c r="CM117" s="848"/>
      <c r="CN117" s="848"/>
      <c r="CO117" s="848"/>
      <c r="CP117" s="848"/>
      <c r="CQ117" s="848"/>
      <c r="CR117" s="848"/>
      <c r="CS117" s="848"/>
      <c r="CT117" s="848"/>
      <c r="CU117" s="848"/>
      <c r="CV117" s="848"/>
      <c r="CW117" s="848">
        <f t="shared" si="87"/>
        <v>100</v>
      </c>
    </row>
    <row r="118" spans="1:101" ht="33.6" customHeight="1">
      <c r="A118" s="871"/>
      <c r="B118" s="864" t="s">
        <v>512</v>
      </c>
      <c r="C118" s="852" t="s">
        <v>523</v>
      </c>
      <c r="D118" s="867"/>
      <c r="E118" s="867"/>
      <c r="F118" s="861">
        <v>2016</v>
      </c>
      <c r="G118" s="873" t="s">
        <v>524</v>
      </c>
      <c r="H118" s="850">
        <f t="shared" si="91"/>
        <v>0</v>
      </c>
      <c r="I118" s="860"/>
      <c r="J118" s="860"/>
      <c r="K118" s="860"/>
      <c r="L118" s="860"/>
      <c r="M118" s="860"/>
      <c r="N118" s="860"/>
      <c r="O118" s="860"/>
      <c r="P118" s="860"/>
      <c r="Q118" s="860"/>
      <c r="R118" s="860"/>
      <c r="S118" s="860"/>
      <c r="T118" s="855">
        <f t="shared" si="83"/>
        <v>170</v>
      </c>
      <c r="U118" s="860">
        <v>170</v>
      </c>
      <c r="V118" s="860"/>
      <c r="W118" s="860"/>
      <c r="X118" s="860"/>
      <c r="Y118" s="860"/>
      <c r="Z118" s="860"/>
      <c r="AA118" s="860"/>
      <c r="AB118" s="860"/>
      <c r="AC118" s="860"/>
      <c r="AD118" s="860"/>
      <c r="AE118" s="860"/>
      <c r="AF118" s="860"/>
      <c r="AG118" s="860"/>
      <c r="AH118" s="860"/>
      <c r="AI118" s="860">
        <f t="shared" ref="AI118:AI123" si="105">AJ118</f>
        <v>220</v>
      </c>
      <c r="AJ118" s="860">
        <v>220</v>
      </c>
      <c r="AK118" s="860"/>
      <c r="AL118" s="860"/>
      <c r="AM118" s="860"/>
      <c r="AN118" s="860"/>
      <c r="AO118" s="860"/>
      <c r="AP118" s="860"/>
      <c r="AQ118" s="860"/>
      <c r="AR118" s="860"/>
      <c r="AS118" s="860"/>
      <c r="AT118" s="860"/>
      <c r="AU118" s="860"/>
      <c r="AV118" s="860"/>
      <c r="AW118" s="860"/>
      <c r="AX118" s="860"/>
      <c r="AY118" s="855">
        <f t="shared" si="104"/>
        <v>0</v>
      </c>
      <c r="AZ118" s="860"/>
      <c r="BA118" s="860"/>
      <c r="BB118" s="860"/>
      <c r="BC118" s="860"/>
      <c r="BD118" s="860"/>
      <c r="BE118" s="860"/>
      <c r="BF118" s="860"/>
      <c r="BG118" s="860"/>
      <c r="BH118" s="860"/>
      <c r="BI118" s="860"/>
      <c r="BJ118" s="860"/>
      <c r="BK118" s="860"/>
      <c r="BL118" s="860"/>
      <c r="BM118" s="860"/>
      <c r="BN118" s="860"/>
      <c r="BO118" s="848">
        <f t="shared" si="80"/>
        <v>46.116999999999997</v>
      </c>
      <c r="BP118" s="860">
        <v>46.116999999999997</v>
      </c>
      <c r="BQ118" s="860"/>
      <c r="BR118" s="860"/>
      <c r="BS118" s="860"/>
      <c r="BT118" s="860"/>
      <c r="BU118" s="860"/>
      <c r="BV118" s="860"/>
      <c r="BW118" s="860"/>
      <c r="BX118" s="860"/>
      <c r="BY118" s="860"/>
      <c r="BZ118" s="860"/>
      <c r="CA118" s="860"/>
      <c r="CB118" s="860"/>
      <c r="CC118" s="860"/>
      <c r="CD118" s="860"/>
      <c r="CE118" s="860"/>
      <c r="CF118" s="848"/>
      <c r="CG118" s="848"/>
      <c r="CH118" s="848"/>
      <c r="CI118" s="848"/>
      <c r="CJ118" s="848"/>
      <c r="CK118" s="848"/>
      <c r="CL118" s="848"/>
      <c r="CM118" s="848"/>
      <c r="CN118" s="848"/>
      <c r="CO118" s="848"/>
      <c r="CP118" s="848"/>
      <c r="CQ118" s="848"/>
      <c r="CR118" s="848"/>
      <c r="CS118" s="848"/>
      <c r="CT118" s="848"/>
      <c r="CU118" s="848"/>
      <c r="CV118" s="848"/>
      <c r="CW118" s="848"/>
    </row>
    <row r="119" spans="1:101" ht="33.6" customHeight="1">
      <c r="A119" s="871"/>
      <c r="B119" s="864" t="s">
        <v>512</v>
      </c>
      <c r="C119" s="852" t="s">
        <v>525</v>
      </c>
      <c r="D119" s="867"/>
      <c r="E119" s="867"/>
      <c r="F119" s="874" t="s">
        <v>526</v>
      </c>
      <c r="G119" s="853" t="s">
        <v>527</v>
      </c>
      <c r="H119" s="850">
        <f t="shared" si="91"/>
        <v>0</v>
      </c>
      <c r="I119" s="860"/>
      <c r="J119" s="860"/>
      <c r="K119" s="860"/>
      <c r="L119" s="860"/>
      <c r="M119" s="860"/>
      <c r="N119" s="860"/>
      <c r="O119" s="860"/>
      <c r="P119" s="860"/>
      <c r="Q119" s="860"/>
      <c r="R119" s="860"/>
      <c r="S119" s="860"/>
      <c r="T119" s="855">
        <f t="shared" si="83"/>
        <v>318.01100000000002</v>
      </c>
      <c r="U119" s="860">
        <v>318.01100000000002</v>
      </c>
      <c r="V119" s="860"/>
      <c r="W119" s="860"/>
      <c r="X119" s="860"/>
      <c r="Y119" s="860"/>
      <c r="Z119" s="860"/>
      <c r="AA119" s="860"/>
      <c r="AB119" s="860"/>
      <c r="AC119" s="860"/>
      <c r="AD119" s="860"/>
      <c r="AE119" s="860"/>
      <c r="AF119" s="860"/>
      <c r="AG119" s="860"/>
      <c r="AH119" s="860"/>
      <c r="AI119" s="860">
        <f t="shared" si="105"/>
        <v>325</v>
      </c>
      <c r="AJ119" s="860">
        <v>325</v>
      </c>
      <c r="AK119" s="860"/>
      <c r="AL119" s="860"/>
      <c r="AM119" s="860"/>
      <c r="AN119" s="860"/>
      <c r="AO119" s="860"/>
      <c r="AP119" s="860"/>
      <c r="AQ119" s="860"/>
      <c r="AR119" s="860"/>
      <c r="AS119" s="860"/>
      <c r="AT119" s="860"/>
      <c r="AU119" s="860"/>
      <c r="AV119" s="860"/>
      <c r="AW119" s="860"/>
      <c r="AX119" s="860"/>
      <c r="AY119" s="855">
        <f t="shared" si="104"/>
        <v>0</v>
      </c>
      <c r="AZ119" s="860"/>
      <c r="BA119" s="860"/>
      <c r="BB119" s="860"/>
      <c r="BC119" s="860"/>
      <c r="BD119" s="860"/>
      <c r="BE119" s="860"/>
      <c r="BF119" s="860"/>
      <c r="BG119" s="860"/>
      <c r="BH119" s="860"/>
      <c r="BI119" s="860"/>
      <c r="BJ119" s="860"/>
      <c r="BK119" s="860"/>
      <c r="BL119" s="860"/>
      <c r="BM119" s="860"/>
      <c r="BN119" s="860"/>
      <c r="BO119" s="848">
        <f t="shared" si="80"/>
        <v>6.95</v>
      </c>
      <c r="BP119" s="860">
        <v>6.95</v>
      </c>
      <c r="BQ119" s="860"/>
      <c r="BR119" s="860"/>
      <c r="BS119" s="860"/>
      <c r="BT119" s="860"/>
      <c r="BU119" s="860"/>
      <c r="BV119" s="860"/>
      <c r="BW119" s="860"/>
      <c r="BX119" s="860"/>
      <c r="BY119" s="860"/>
      <c r="BZ119" s="860"/>
      <c r="CA119" s="860"/>
      <c r="CB119" s="860"/>
      <c r="CC119" s="860"/>
      <c r="CD119" s="860"/>
      <c r="CE119" s="860"/>
      <c r="CF119" s="848"/>
      <c r="CG119" s="848"/>
      <c r="CH119" s="848"/>
      <c r="CI119" s="848"/>
      <c r="CJ119" s="848"/>
      <c r="CK119" s="848"/>
      <c r="CL119" s="848"/>
      <c r="CM119" s="848"/>
      <c r="CN119" s="848"/>
      <c r="CO119" s="848"/>
      <c r="CP119" s="848"/>
      <c r="CQ119" s="848"/>
      <c r="CR119" s="848"/>
      <c r="CS119" s="848"/>
      <c r="CT119" s="848"/>
      <c r="CU119" s="848"/>
      <c r="CV119" s="848"/>
      <c r="CW119" s="848"/>
    </row>
    <row r="120" spans="1:101" ht="33.6" customHeight="1">
      <c r="A120" s="871"/>
      <c r="B120" s="864" t="s">
        <v>512</v>
      </c>
      <c r="C120" s="852" t="s">
        <v>528</v>
      </c>
      <c r="D120" s="867"/>
      <c r="E120" s="867"/>
      <c r="F120" s="861" t="s">
        <v>529</v>
      </c>
      <c r="G120" s="861" t="s">
        <v>530</v>
      </c>
      <c r="H120" s="850">
        <f t="shared" si="91"/>
        <v>0</v>
      </c>
      <c r="I120" s="860"/>
      <c r="J120" s="860"/>
      <c r="K120" s="860"/>
      <c r="L120" s="860"/>
      <c r="M120" s="860"/>
      <c r="N120" s="860"/>
      <c r="O120" s="860"/>
      <c r="P120" s="860"/>
      <c r="Q120" s="860"/>
      <c r="R120" s="860"/>
      <c r="S120" s="860"/>
      <c r="T120" s="855">
        <f t="shared" si="83"/>
        <v>374.20699999999999</v>
      </c>
      <c r="U120" s="860">
        <v>374.20699999999999</v>
      </c>
      <c r="V120" s="860"/>
      <c r="W120" s="860"/>
      <c r="X120" s="860"/>
      <c r="Y120" s="860"/>
      <c r="Z120" s="860"/>
      <c r="AA120" s="860"/>
      <c r="AB120" s="860"/>
      <c r="AC120" s="860"/>
      <c r="AD120" s="860"/>
      <c r="AE120" s="860"/>
      <c r="AF120" s="860"/>
      <c r="AG120" s="860"/>
      <c r="AH120" s="860"/>
      <c r="AI120" s="860">
        <f t="shared" si="105"/>
        <v>425</v>
      </c>
      <c r="AJ120" s="860">
        <v>425</v>
      </c>
      <c r="AK120" s="860"/>
      <c r="AL120" s="860"/>
      <c r="AM120" s="860"/>
      <c r="AN120" s="860"/>
      <c r="AO120" s="860"/>
      <c r="AP120" s="860"/>
      <c r="AQ120" s="860"/>
      <c r="AR120" s="860"/>
      <c r="AS120" s="860"/>
      <c r="AT120" s="860"/>
      <c r="AU120" s="860"/>
      <c r="AV120" s="860"/>
      <c r="AW120" s="860"/>
      <c r="AX120" s="860"/>
      <c r="AY120" s="855">
        <f t="shared" si="104"/>
        <v>0</v>
      </c>
      <c r="AZ120" s="860"/>
      <c r="BA120" s="860"/>
      <c r="BB120" s="860"/>
      <c r="BC120" s="860"/>
      <c r="BD120" s="860"/>
      <c r="BE120" s="860"/>
      <c r="BF120" s="860"/>
      <c r="BG120" s="860"/>
      <c r="BH120" s="860"/>
      <c r="BI120" s="860"/>
      <c r="BJ120" s="860"/>
      <c r="BK120" s="860"/>
      <c r="BL120" s="860"/>
      <c r="BM120" s="860"/>
      <c r="BN120" s="860"/>
      <c r="BO120" s="848">
        <f t="shared" si="80"/>
        <v>35.542000000000002</v>
      </c>
      <c r="BP120" s="860">
        <v>35.542000000000002</v>
      </c>
      <c r="BQ120" s="860"/>
      <c r="BR120" s="860"/>
      <c r="BS120" s="860"/>
      <c r="BT120" s="860"/>
      <c r="BU120" s="860"/>
      <c r="BV120" s="860"/>
      <c r="BW120" s="860"/>
      <c r="BX120" s="860"/>
      <c r="BY120" s="860"/>
      <c r="BZ120" s="860"/>
      <c r="CA120" s="860"/>
      <c r="CB120" s="860"/>
      <c r="CC120" s="860"/>
      <c r="CD120" s="860"/>
      <c r="CE120" s="860"/>
      <c r="CF120" s="848"/>
      <c r="CG120" s="848"/>
      <c r="CH120" s="848"/>
      <c r="CI120" s="848"/>
      <c r="CJ120" s="848"/>
      <c r="CK120" s="848"/>
      <c r="CL120" s="848"/>
      <c r="CM120" s="848"/>
      <c r="CN120" s="848"/>
      <c r="CO120" s="848"/>
      <c r="CP120" s="848"/>
      <c r="CQ120" s="848"/>
      <c r="CR120" s="848"/>
      <c r="CS120" s="848"/>
      <c r="CT120" s="848"/>
      <c r="CU120" s="848"/>
      <c r="CV120" s="848"/>
      <c r="CW120" s="848"/>
    </row>
    <row r="121" spans="1:101" ht="33.6" customHeight="1">
      <c r="A121" s="871"/>
      <c r="B121" s="864" t="s">
        <v>512</v>
      </c>
      <c r="C121" s="852" t="s">
        <v>531</v>
      </c>
      <c r="D121" s="867"/>
      <c r="E121" s="867"/>
      <c r="F121" s="853" t="s">
        <v>532</v>
      </c>
      <c r="G121" s="853" t="s">
        <v>533</v>
      </c>
      <c r="H121" s="850">
        <f t="shared" si="91"/>
        <v>0</v>
      </c>
      <c r="I121" s="860"/>
      <c r="J121" s="860"/>
      <c r="K121" s="860"/>
      <c r="L121" s="860"/>
      <c r="M121" s="860"/>
      <c r="N121" s="860"/>
      <c r="O121" s="860"/>
      <c r="P121" s="860"/>
      <c r="Q121" s="860"/>
      <c r="R121" s="860"/>
      <c r="S121" s="860"/>
      <c r="T121" s="855">
        <f t="shared" si="83"/>
        <v>0</v>
      </c>
      <c r="U121" s="860"/>
      <c r="V121" s="860"/>
      <c r="W121" s="860"/>
      <c r="X121" s="860"/>
      <c r="Y121" s="860"/>
      <c r="Z121" s="860"/>
      <c r="AA121" s="860"/>
      <c r="AB121" s="860"/>
      <c r="AC121" s="860"/>
      <c r="AD121" s="860"/>
      <c r="AE121" s="860"/>
      <c r="AF121" s="860"/>
      <c r="AG121" s="860"/>
      <c r="AH121" s="860"/>
      <c r="AI121" s="860">
        <f t="shared" si="105"/>
        <v>118</v>
      </c>
      <c r="AJ121" s="860">
        <v>118</v>
      </c>
      <c r="AK121" s="860"/>
      <c r="AL121" s="860"/>
      <c r="AM121" s="860"/>
      <c r="AN121" s="860"/>
      <c r="AO121" s="860"/>
      <c r="AP121" s="860"/>
      <c r="AQ121" s="860"/>
      <c r="AR121" s="860"/>
      <c r="AS121" s="860"/>
      <c r="AT121" s="860"/>
      <c r="AU121" s="860"/>
      <c r="AV121" s="860"/>
      <c r="AW121" s="860"/>
      <c r="AX121" s="860"/>
      <c r="AY121" s="855">
        <f t="shared" si="104"/>
        <v>0</v>
      </c>
      <c r="AZ121" s="860"/>
      <c r="BA121" s="860"/>
      <c r="BB121" s="860"/>
      <c r="BC121" s="860"/>
      <c r="BD121" s="860"/>
      <c r="BE121" s="860"/>
      <c r="BF121" s="860"/>
      <c r="BG121" s="860"/>
      <c r="BH121" s="860"/>
      <c r="BI121" s="860"/>
      <c r="BJ121" s="860"/>
      <c r="BK121" s="860"/>
      <c r="BL121" s="860"/>
      <c r="BM121" s="860"/>
      <c r="BN121" s="860"/>
      <c r="BO121" s="848">
        <f t="shared" si="80"/>
        <v>117.742</v>
      </c>
      <c r="BP121" s="860">
        <v>117.742</v>
      </c>
      <c r="BQ121" s="860"/>
      <c r="BR121" s="860"/>
      <c r="BS121" s="860"/>
      <c r="BT121" s="860"/>
      <c r="BU121" s="860"/>
      <c r="BV121" s="860"/>
      <c r="BW121" s="860"/>
      <c r="BX121" s="860"/>
      <c r="BY121" s="860"/>
      <c r="BZ121" s="860"/>
      <c r="CA121" s="860"/>
      <c r="CB121" s="860"/>
      <c r="CC121" s="860"/>
      <c r="CD121" s="860"/>
      <c r="CE121" s="860"/>
      <c r="CF121" s="848"/>
      <c r="CG121" s="848"/>
      <c r="CH121" s="848"/>
      <c r="CI121" s="848"/>
      <c r="CJ121" s="848"/>
      <c r="CK121" s="848"/>
      <c r="CL121" s="848"/>
      <c r="CM121" s="848"/>
      <c r="CN121" s="848"/>
      <c r="CO121" s="848"/>
      <c r="CP121" s="848"/>
      <c r="CQ121" s="848"/>
      <c r="CR121" s="848"/>
      <c r="CS121" s="848"/>
      <c r="CT121" s="848"/>
      <c r="CU121" s="848"/>
      <c r="CV121" s="848"/>
      <c r="CW121" s="848"/>
    </row>
    <row r="122" spans="1:101" ht="33.6" customHeight="1">
      <c r="A122" s="871"/>
      <c r="B122" s="864" t="s">
        <v>512</v>
      </c>
      <c r="C122" s="852" t="s">
        <v>534</v>
      </c>
      <c r="D122" s="867"/>
      <c r="E122" s="867"/>
      <c r="F122" s="853" t="s">
        <v>535</v>
      </c>
      <c r="G122" s="853" t="s">
        <v>536</v>
      </c>
      <c r="H122" s="850">
        <f t="shared" si="91"/>
        <v>0</v>
      </c>
      <c r="I122" s="860"/>
      <c r="J122" s="860"/>
      <c r="K122" s="860"/>
      <c r="L122" s="860"/>
      <c r="M122" s="860"/>
      <c r="N122" s="860"/>
      <c r="O122" s="860"/>
      <c r="P122" s="860"/>
      <c r="Q122" s="860"/>
      <c r="R122" s="860"/>
      <c r="S122" s="860"/>
      <c r="T122" s="855">
        <f t="shared" si="83"/>
        <v>63.078000000000003</v>
      </c>
      <c r="U122" s="860">
        <v>63.078000000000003</v>
      </c>
      <c r="V122" s="860"/>
      <c r="W122" s="860"/>
      <c r="X122" s="860"/>
      <c r="Y122" s="860"/>
      <c r="Z122" s="860"/>
      <c r="AA122" s="860"/>
      <c r="AB122" s="860"/>
      <c r="AC122" s="860"/>
      <c r="AD122" s="860"/>
      <c r="AE122" s="860"/>
      <c r="AF122" s="860"/>
      <c r="AG122" s="860"/>
      <c r="AH122" s="860"/>
      <c r="AI122" s="860">
        <f t="shared" si="105"/>
        <v>65</v>
      </c>
      <c r="AJ122" s="860">
        <v>65</v>
      </c>
      <c r="AK122" s="860"/>
      <c r="AL122" s="860"/>
      <c r="AM122" s="860"/>
      <c r="AN122" s="860"/>
      <c r="AO122" s="860"/>
      <c r="AP122" s="860"/>
      <c r="AQ122" s="860"/>
      <c r="AR122" s="860"/>
      <c r="AS122" s="860"/>
      <c r="AT122" s="860"/>
      <c r="AU122" s="860"/>
      <c r="AV122" s="860"/>
      <c r="AW122" s="860"/>
      <c r="AX122" s="860"/>
      <c r="AY122" s="855">
        <f t="shared" si="104"/>
        <v>0</v>
      </c>
      <c r="AZ122" s="860"/>
      <c r="BA122" s="860"/>
      <c r="BB122" s="860"/>
      <c r="BC122" s="860"/>
      <c r="BD122" s="860"/>
      <c r="BE122" s="860"/>
      <c r="BF122" s="860"/>
      <c r="BG122" s="860"/>
      <c r="BH122" s="860"/>
      <c r="BI122" s="860"/>
      <c r="BJ122" s="860"/>
      <c r="BK122" s="860"/>
      <c r="BL122" s="860"/>
      <c r="BM122" s="860"/>
      <c r="BN122" s="860"/>
      <c r="BO122" s="848">
        <f t="shared" si="80"/>
        <v>1.393</v>
      </c>
      <c r="BP122" s="860">
        <v>1.393</v>
      </c>
      <c r="BQ122" s="860"/>
      <c r="BR122" s="860"/>
      <c r="BS122" s="860"/>
      <c r="BT122" s="860"/>
      <c r="BU122" s="860"/>
      <c r="BV122" s="860"/>
      <c r="BW122" s="860"/>
      <c r="BX122" s="860"/>
      <c r="BY122" s="860"/>
      <c r="BZ122" s="860"/>
      <c r="CA122" s="860"/>
      <c r="CB122" s="860"/>
      <c r="CC122" s="860"/>
      <c r="CD122" s="860"/>
      <c r="CE122" s="860"/>
      <c r="CF122" s="848"/>
      <c r="CG122" s="848"/>
      <c r="CH122" s="848"/>
      <c r="CI122" s="848"/>
      <c r="CJ122" s="848"/>
      <c r="CK122" s="848"/>
      <c r="CL122" s="848"/>
      <c r="CM122" s="848"/>
      <c r="CN122" s="848"/>
      <c r="CO122" s="848"/>
      <c r="CP122" s="848"/>
      <c r="CQ122" s="848"/>
      <c r="CR122" s="848"/>
      <c r="CS122" s="848"/>
      <c r="CT122" s="848"/>
      <c r="CU122" s="848"/>
      <c r="CV122" s="848"/>
      <c r="CW122" s="848"/>
    </row>
    <row r="123" spans="1:101" ht="33.6" customHeight="1">
      <c r="A123" s="871"/>
      <c r="B123" s="864" t="s">
        <v>512</v>
      </c>
      <c r="C123" s="852" t="s">
        <v>537</v>
      </c>
      <c r="D123" s="867"/>
      <c r="E123" s="867"/>
      <c r="F123" s="875" t="s">
        <v>538</v>
      </c>
      <c r="G123" s="853" t="s">
        <v>539</v>
      </c>
      <c r="H123" s="850">
        <f t="shared" si="91"/>
        <v>0</v>
      </c>
      <c r="I123" s="860"/>
      <c r="J123" s="860"/>
      <c r="K123" s="860"/>
      <c r="L123" s="860"/>
      <c r="M123" s="860"/>
      <c r="N123" s="860"/>
      <c r="O123" s="860"/>
      <c r="P123" s="860"/>
      <c r="Q123" s="860"/>
      <c r="R123" s="860"/>
      <c r="S123" s="860"/>
      <c r="T123" s="855">
        <f t="shared" si="83"/>
        <v>795.71299999999997</v>
      </c>
      <c r="U123" s="860">
        <v>795.71299999999997</v>
      </c>
      <c r="V123" s="860"/>
      <c r="W123" s="860"/>
      <c r="X123" s="860"/>
      <c r="Y123" s="860"/>
      <c r="Z123" s="860"/>
      <c r="AA123" s="860"/>
      <c r="AB123" s="860"/>
      <c r="AC123" s="860"/>
      <c r="AD123" s="860"/>
      <c r="AE123" s="860"/>
      <c r="AF123" s="860"/>
      <c r="AG123" s="860"/>
      <c r="AH123" s="860"/>
      <c r="AI123" s="860">
        <f t="shared" si="105"/>
        <v>814</v>
      </c>
      <c r="AJ123" s="860">
        <v>814</v>
      </c>
      <c r="AK123" s="860"/>
      <c r="AL123" s="860"/>
      <c r="AM123" s="860"/>
      <c r="AN123" s="860"/>
      <c r="AO123" s="860"/>
      <c r="AP123" s="860"/>
      <c r="AQ123" s="860"/>
      <c r="AR123" s="860"/>
      <c r="AS123" s="860"/>
      <c r="AT123" s="860"/>
      <c r="AU123" s="860"/>
      <c r="AV123" s="860"/>
      <c r="AW123" s="860"/>
      <c r="AX123" s="860"/>
      <c r="AY123" s="855">
        <f t="shared" si="104"/>
        <v>0</v>
      </c>
      <c r="AZ123" s="860"/>
      <c r="BA123" s="860"/>
      <c r="BB123" s="860"/>
      <c r="BC123" s="860"/>
      <c r="BD123" s="860"/>
      <c r="BE123" s="860"/>
      <c r="BF123" s="860"/>
      <c r="BG123" s="860"/>
      <c r="BH123" s="860"/>
      <c r="BI123" s="860"/>
      <c r="BJ123" s="860"/>
      <c r="BK123" s="860"/>
      <c r="BL123" s="860"/>
      <c r="BM123" s="860"/>
      <c r="BN123" s="860"/>
      <c r="BO123" s="848">
        <f t="shared" si="80"/>
        <v>17.975000000000001</v>
      </c>
      <c r="BP123" s="860">
        <v>17.975000000000001</v>
      </c>
      <c r="BQ123" s="860"/>
      <c r="BR123" s="860"/>
      <c r="BS123" s="860"/>
      <c r="BT123" s="860"/>
      <c r="BU123" s="860"/>
      <c r="BV123" s="860"/>
      <c r="BW123" s="860"/>
      <c r="BX123" s="860"/>
      <c r="BY123" s="860"/>
      <c r="BZ123" s="860"/>
      <c r="CA123" s="860"/>
      <c r="CB123" s="860"/>
      <c r="CC123" s="860"/>
      <c r="CD123" s="860"/>
      <c r="CE123" s="860"/>
      <c r="CF123" s="848"/>
      <c r="CG123" s="848"/>
      <c r="CH123" s="848"/>
      <c r="CI123" s="848"/>
      <c r="CJ123" s="848"/>
      <c r="CK123" s="848"/>
      <c r="CL123" s="848"/>
      <c r="CM123" s="848"/>
      <c r="CN123" s="848"/>
      <c r="CO123" s="848"/>
      <c r="CP123" s="848"/>
      <c r="CQ123" s="848"/>
      <c r="CR123" s="848"/>
      <c r="CS123" s="848"/>
      <c r="CT123" s="848"/>
      <c r="CU123" s="848"/>
      <c r="CV123" s="848"/>
      <c r="CW123" s="848"/>
    </row>
    <row r="124" spans="1:101" ht="33.6" customHeight="1">
      <c r="A124" s="871"/>
      <c r="B124" s="864" t="s">
        <v>512</v>
      </c>
      <c r="C124" s="852" t="s">
        <v>540</v>
      </c>
      <c r="D124" s="867"/>
      <c r="E124" s="867"/>
      <c r="F124" s="874" t="s">
        <v>541</v>
      </c>
      <c r="G124" s="853" t="s">
        <v>542</v>
      </c>
      <c r="H124" s="850">
        <f t="shared" si="91"/>
        <v>571</v>
      </c>
      <c r="I124" s="860">
        <v>571</v>
      </c>
      <c r="J124" s="860"/>
      <c r="K124" s="860"/>
      <c r="L124" s="860"/>
      <c r="M124" s="860"/>
      <c r="N124" s="860"/>
      <c r="O124" s="860"/>
      <c r="P124" s="860"/>
      <c r="Q124" s="860"/>
      <c r="R124" s="860"/>
      <c r="S124" s="860"/>
      <c r="T124" s="855">
        <f t="shared" si="83"/>
        <v>0</v>
      </c>
      <c r="U124" s="860"/>
      <c r="V124" s="860"/>
      <c r="W124" s="860"/>
      <c r="X124" s="860"/>
      <c r="Y124" s="860"/>
      <c r="Z124" s="860"/>
      <c r="AA124" s="860"/>
      <c r="AB124" s="860"/>
      <c r="AC124" s="860"/>
      <c r="AD124" s="860"/>
      <c r="AE124" s="860"/>
      <c r="AF124" s="860"/>
      <c r="AG124" s="860"/>
      <c r="AH124" s="860"/>
      <c r="AI124" s="860">
        <f>AJ124</f>
        <v>220</v>
      </c>
      <c r="AJ124" s="860">
        <v>220</v>
      </c>
      <c r="AK124" s="860"/>
      <c r="AL124" s="860"/>
      <c r="AM124" s="860"/>
      <c r="AN124" s="860"/>
      <c r="AO124" s="860"/>
      <c r="AP124" s="860"/>
      <c r="AQ124" s="860"/>
      <c r="AR124" s="860"/>
      <c r="AS124" s="860"/>
      <c r="AT124" s="860"/>
      <c r="AU124" s="860"/>
      <c r="AV124" s="860"/>
      <c r="AW124" s="860"/>
      <c r="AX124" s="860"/>
      <c r="AY124" s="855">
        <f t="shared" si="104"/>
        <v>0</v>
      </c>
      <c r="AZ124" s="860"/>
      <c r="BA124" s="860"/>
      <c r="BB124" s="860"/>
      <c r="BC124" s="860"/>
      <c r="BD124" s="860"/>
      <c r="BE124" s="860"/>
      <c r="BF124" s="860"/>
      <c r="BG124" s="860"/>
      <c r="BH124" s="860"/>
      <c r="BI124" s="860"/>
      <c r="BJ124" s="860"/>
      <c r="BK124" s="860"/>
      <c r="BL124" s="860"/>
      <c r="BM124" s="860"/>
      <c r="BN124" s="860"/>
      <c r="BO124" s="848">
        <f t="shared" si="80"/>
        <v>204.33799999999999</v>
      </c>
      <c r="BP124" s="860">
        <v>204.33799999999999</v>
      </c>
      <c r="BQ124" s="860"/>
      <c r="BR124" s="860"/>
      <c r="BS124" s="860"/>
      <c r="BT124" s="860"/>
      <c r="BU124" s="860"/>
      <c r="BV124" s="860"/>
      <c r="BW124" s="860"/>
      <c r="BX124" s="860"/>
      <c r="BY124" s="860"/>
      <c r="BZ124" s="860"/>
      <c r="CA124" s="860"/>
      <c r="CB124" s="860"/>
      <c r="CC124" s="860"/>
      <c r="CD124" s="860"/>
      <c r="CE124" s="860"/>
      <c r="CF124" s="848"/>
      <c r="CG124" s="848"/>
      <c r="CH124" s="848"/>
      <c r="CI124" s="848"/>
      <c r="CJ124" s="848"/>
      <c r="CK124" s="848"/>
      <c r="CL124" s="848"/>
      <c r="CM124" s="848"/>
      <c r="CN124" s="848"/>
      <c r="CO124" s="848"/>
      <c r="CP124" s="848"/>
      <c r="CQ124" s="848"/>
      <c r="CR124" s="848"/>
      <c r="CS124" s="848"/>
      <c r="CT124" s="848"/>
      <c r="CU124" s="848"/>
      <c r="CV124" s="848"/>
      <c r="CW124" s="848"/>
    </row>
    <row r="125" spans="1:101" ht="33.6" customHeight="1">
      <c r="A125" s="871"/>
      <c r="B125" s="864" t="s">
        <v>512</v>
      </c>
      <c r="C125" s="852" t="s">
        <v>543</v>
      </c>
      <c r="D125" s="867"/>
      <c r="E125" s="867"/>
      <c r="F125" s="875" t="s">
        <v>544</v>
      </c>
      <c r="G125" s="875" t="s">
        <v>545</v>
      </c>
      <c r="H125" s="850">
        <f t="shared" si="91"/>
        <v>603</v>
      </c>
      <c r="I125" s="860">
        <v>603</v>
      </c>
      <c r="J125" s="860"/>
      <c r="K125" s="860"/>
      <c r="L125" s="860"/>
      <c r="M125" s="860"/>
      <c r="N125" s="860"/>
      <c r="O125" s="860"/>
      <c r="P125" s="860"/>
      <c r="Q125" s="860"/>
      <c r="R125" s="860"/>
      <c r="S125" s="860"/>
      <c r="T125" s="855">
        <f t="shared" si="83"/>
        <v>0</v>
      </c>
      <c r="U125" s="860"/>
      <c r="V125" s="860"/>
      <c r="W125" s="860"/>
      <c r="X125" s="860"/>
      <c r="Y125" s="860"/>
      <c r="Z125" s="860"/>
      <c r="AA125" s="860"/>
      <c r="AB125" s="860"/>
      <c r="AC125" s="860"/>
      <c r="AD125" s="860"/>
      <c r="AE125" s="860"/>
      <c r="AF125" s="860"/>
      <c r="AG125" s="860"/>
      <c r="AH125" s="860"/>
      <c r="AI125" s="860">
        <f t="shared" ref="AI125:AI139" si="106">AJ125</f>
        <v>425</v>
      </c>
      <c r="AJ125" s="860">
        <v>425</v>
      </c>
      <c r="AK125" s="860"/>
      <c r="AL125" s="860"/>
      <c r="AM125" s="860"/>
      <c r="AN125" s="860"/>
      <c r="AO125" s="860"/>
      <c r="AP125" s="860"/>
      <c r="AQ125" s="860"/>
      <c r="AR125" s="860"/>
      <c r="AS125" s="860"/>
      <c r="AT125" s="860"/>
      <c r="AU125" s="860"/>
      <c r="AV125" s="860"/>
      <c r="AW125" s="860"/>
      <c r="AX125" s="860"/>
      <c r="AY125" s="855">
        <f t="shared" si="104"/>
        <v>0</v>
      </c>
      <c r="AZ125" s="860"/>
      <c r="BA125" s="860"/>
      <c r="BB125" s="860"/>
      <c r="BC125" s="860"/>
      <c r="BD125" s="860"/>
      <c r="BE125" s="860"/>
      <c r="BF125" s="860"/>
      <c r="BG125" s="860"/>
      <c r="BH125" s="860"/>
      <c r="BI125" s="860"/>
      <c r="BJ125" s="860"/>
      <c r="BK125" s="860"/>
      <c r="BL125" s="860"/>
      <c r="BM125" s="860"/>
      <c r="BN125" s="860"/>
      <c r="BO125" s="848">
        <f t="shared" si="80"/>
        <v>420.16699999999997</v>
      </c>
      <c r="BP125" s="860">
        <v>420.16699999999997</v>
      </c>
      <c r="BQ125" s="860"/>
      <c r="BR125" s="860"/>
      <c r="BS125" s="860"/>
      <c r="BT125" s="860"/>
      <c r="BU125" s="860"/>
      <c r="BV125" s="860"/>
      <c r="BW125" s="860"/>
      <c r="BX125" s="860"/>
      <c r="BY125" s="860"/>
      <c r="BZ125" s="860"/>
      <c r="CA125" s="860"/>
      <c r="CB125" s="860"/>
      <c r="CC125" s="860"/>
      <c r="CD125" s="860"/>
      <c r="CE125" s="860"/>
      <c r="CF125" s="848"/>
      <c r="CG125" s="848"/>
      <c r="CH125" s="848"/>
      <c r="CI125" s="848"/>
      <c r="CJ125" s="848"/>
      <c r="CK125" s="848"/>
      <c r="CL125" s="848"/>
      <c r="CM125" s="848"/>
      <c r="CN125" s="848"/>
      <c r="CO125" s="848"/>
      <c r="CP125" s="848"/>
      <c r="CQ125" s="848"/>
      <c r="CR125" s="848"/>
      <c r="CS125" s="848"/>
      <c r="CT125" s="848"/>
      <c r="CU125" s="848"/>
      <c r="CV125" s="848"/>
      <c r="CW125" s="848"/>
    </row>
    <row r="126" spans="1:101" ht="33.6" customHeight="1">
      <c r="A126" s="871"/>
      <c r="B126" s="864" t="s">
        <v>512</v>
      </c>
      <c r="C126" s="852" t="s">
        <v>546</v>
      </c>
      <c r="D126" s="867"/>
      <c r="E126" s="867"/>
      <c r="F126" s="875" t="s">
        <v>544</v>
      </c>
      <c r="G126" s="875" t="s">
        <v>547</v>
      </c>
      <c r="H126" s="850">
        <f t="shared" si="91"/>
        <v>0</v>
      </c>
      <c r="I126" s="860"/>
      <c r="J126" s="860"/>
      <c r="K126" s="860"/>
      <c r="L126" s="860"/>
      <c r="M126" s="860"/>
      <c r="N126" s="860"/>
      <c r="O126" s="860"/>
      <c r="P126" s="860"/>
      <c r="Q126" s="860"/>
      <c r="R126" s="860"/>
      <c r="S126" s="860"/>
      <c r="T126" s="855">
        <f t="shared" si="83"/>
        <v>0</v>
      </c>
      <c r="U126" s="860"/>
      <c r="V126" s="860"/>
      <c r="W126" s="860"/>
      <c r="X126" s="860"/>
      <c r="Y126" s="860"/>
      <c r="Z126" s="860"/>
      <c r="AA126" s="860"/>
      <c r="AB126" s="860"/>
      <c r="AC126" s="860"/>
      <c r="AD126" s="860"/>
      <c r="AE126" s="860"/>
      <c r="AF126" s="860"/>
      <c r="AG126" s="860"/>
      <c r="AH126" s="860"/>
      <c r="AI126" s="860">
        <f t="shared" si="106"/>
        <v>145</v>
      </c>
      <c r="AJ126" s="860">
        <v>145</v>
      </c>
      <c r="AK126" s="860"/>
      <c r="AL126" s="860"/>
      <c r="AM126" s="860"/>
      <c r="AN126" s="860"/>
      <c r="AO126" s="860"/>
      <c r="AP126" s="860"/>
      <c r="AQ126" s="860"/>
      <c r="AR126" s="860"/>
      <c r="AS126" s="860"/>
      <c r="AT126" s="860"/>
      <c r="AU126" s="860"/>
      <c r="AV126" s="860"/>
      <c r="AW126" s="860"/>
      <c r="AX126" s="860"/>
      <c r="AY126" s="855">
        <f t="shared" si="104"/>
        <v>0</v>
      </c>
      <c r="AZ126" s="860"/>
      <c r="BA126" s="860"/>
      <c r="BB126" s="860"/>
      <c r="BC126" s="860"/>
      <c r="BD126" s="860"/>
      <c r="BE126" s="860"/>
      <c r="BF126" s="860"/>
      <c r="BG126" s="860"/>
      <c r="BH126" s="860"/>
      <c r="BI126" s="860"/>
      <c r="BJ126" s="860"/>
      <c r="BK126" s="860"/>
      <c r="BL126" s="860"/>
      <c r="BM126" s="860"/>
      <c r="BN126" s="860"/>
      <c r="BO126" s="848">
        <f t="shared" si="80"/>
        <v>142.732</v>
      </c>
      <c r="BP126" s="860">
        <v>142.732</v>
      </c>
      <c r="BQ126" s="860"/>
      <c r="BR126" s="860"/>
      <c r="BS126" s="860"/>
      <c r="BT126" s="860"/>
      <c r="BU126" s="860"/>
      <c r="BV126" s="860"/>
      <c r="BW126" s="860"/>
      <c r="BX126" s="860"/>
      <c r="BY126" s="860"/>
      <c r="BZ126" s="860"/>
      <c r="CA126" s="860"/>
      <c r="CB126" s="860"/>
      <c r="CC126" s="860"/>
      <c r="CD126" s="860"/>
      <c r="CE126" s="860"/>
      <c r="CF126" s="848"/>
      <c r="CG126" s="848"/>
      <c r="CH126" s="848"/>
      <c r="CI126" s="848"/>
      <c r="CJ126" s="848"/>
      <c r="CK126" s="848"/>
      <c r="CL126" s="848"/>
      <c r="CM126" s="848"/>
      <c r="CN126" s="848"/>
      <c r="CO126" s="848"/>
      <c r="CP126" s="848"/>
      <c r="CQ126" s="848"/>
      <c r="CR126" s="848"/>
      <c r="CS126" s="848"/>
      <c r="CT126" s="848"/>
      <c r="CU126" s="848"/>
      <c r="CV126" s="848"/>
      <c r="CW126" s="848"/>
    </row>
    <row r="127" spans="1:101" ht="33.6" customHeight="1">
      <c r="A127" s="871"/>
      <c r="B127" s="864" t="s">
        <v>512</v>
      </c>
      <c r="C127" s="852" t="s">
        <v>548</v>
      </c>
      <c r="D127" s="867"/>
      <c r="E127" s="867"/>
      <c r="F127" s="875" t="s">
        <v>544</v>
      </c>
      <c r="G127" s="875" t="s">
        <v>549</v>
      </c>
      <c r="H127" s="850">
        <f t="shared" si="91"/>
        <v>0</v>
      </c>
      <c r="I127" s="860"/>
      <c r="J127" s="860"/>
      <c r="K127" s="860"/>
      <c r="L127" s="860"/>
      <c r="M127" s="860"/>
      <c r="N127" s="860"/>
      <c r="O127" s="860"/>
      <c r="P127" s="860"/>
      <c r="Q127" s="860"/>
      <c r="R127" s="860"/>
      <c r="S127" s="860"/>
      <c r="T127" s="855">
        <f t="shared" si="83"/>
        <v>0</v>
      </c>
      <c r="U127" s="860"/>
      <c r="V127" s="860"/>
      <c r="W127" s="860"/>
      <c r="X127" s="860"/>
      <c r="Y127" s="860"/>
      <c r="Z127" s="860"/>
      <c r="AA127" s="860"/>
      <c r="AB127" s="860"/>
      <c r="AC127" s="860"/>
      <c r="AD127" s="860"/>
      <c r="AE127" s="860"/>
      <c r="AF127" s="860"/>
      <c r="AG127" s="860"/>
      <c r="AH127" s="860"/>
      <c r="AI127" s="860">
        <f t="shared" si="106"/>
        <v>304</v>
      </c>
      <c r="AJ127" s="860">
        <v>304</v>
      </c>
      <c r="AK127" s="860"/>
      <c r="AL127" s="860"/>
      <c r="AM127" s="860"/>
      <c r="AN127" s="860"/>
      <c r="AO127" s="860"/>
      <c r="AP127" s="860"/>
      <c r="AQ127" s="860"/>
      <c r="AR127" s="860"/>
      <c r="AS127" s="860"/>
      <c r="AT127" s="860"/>
      <c r="AU127" s="860"/>
      <c r="AV127" s="860"/>
      <c r="AW127" s="860"/>
      <c r="AX127" s="860"/>
      <c r="AY127" s="855">
        <f t="shared" si="104"/>
        <v>0</v>
      </c>
      <c r="AZ127" s="860"/>
      <c r="BA127" s="860"/>
      <c r="BB127" s="860"/>
      <c r="BC127" s="860"/>
      <c r="BD127" s="860"/>
      <c r="BE127" s="860"/>
      <c r="BF127" s="860"/>
      <c r="BG127" s="860"/>
      <c r="BH127" s="860"/>
      <c r="BI127" s="860"/>
      <c r="BJ127" s="860"/>
      <c r="BK127" s="860"/>
      <c r="BL127" s="860"/>
      <c r="BM127" s="860"/>
      <c r="BN127" s="860"/>
      <c r="BO127" s="848">
        <f t="shared" si="80"/>
        <v>303.91800000000001</v>
      </c>
      <c r="BP127" s="860">
        <v>303.91800000000001</v>
      </c>
      <c r="BQ127" s="860"/>
      <c r="BR127" s="860"/>
      <c r="BS127" s="860"/>
      <c r="BT127" s="860"/>
      <c r="BU127" s="860"/>
      <c r="BV127" s="860"/>
      <c r="BW127" s="860"/>
      <c r="BX127" s="860"/>
      <c r="BY127" s="860"/>
      <c r="BZ127" s="860"/>
      <c r="CA127" s="860"/>
      <c r="CB127" s="860"/>
      <c r="CC127" s="860"/>
      <c r="CD127" s="860"/>
      <c r="CE127" s="860"/>
      <c r="CF127" s="848"/>
      <c r="CG127" s="848"/>
      <c r="CH127" s="848"/>
      <c r="CI127" s="848"/>
      <c r="CJ127" s="848"/>
      <c r="CK127" s="848"/>
      <c r="CL127" s="848"/>
      <c r="CM127" s="848"/>
      <c r="CN127" s="848"/>
      <c r="CO127" s="848"/>
      <c r="CP127" s="848"/>
      <c r="CQ127" s="848"/>
      <c r="CR127" s="848"/>
      <c r="CS127" s="848"/>
      <c r="CT127" s="848"/>
      <c r="CU127" s="848"/>
      <c r="CV127" s="848"/>
      <c r="CW127" s="848"/>
    </row>
    <row r="128" spans="1:101" ht="33.6" customHeight="1">
      <c r="A128" s="871"/>
      <c r="B128" s="864" t="s">
        <v>512</v>
      </c>
      <c r="C128" s="852" t="s">
        <v>550</v>
      </c>
      <c r="D128" s="867"/>
      <c r="E128" s="867"/>
      <c r="F128" s="875" t="s">
        <v>551</v>
      </c>
      <c r="G128" s="875" t="s">
        <v>552</v>
      </c>
      <c r="H128" s="850">
        <f t="shared" si="91"/>
        <v>0</v>
      </c>
      <c r="I128" s="860"/>
      <c r="J128" s="860"/>
      <c r="K128" s="860"/>
      <c r="L128" s="860"/>
      <c r="M128" s="860"/>
      <c r="N128" s="860"/>
      <c r="O128" s="860"/>
      <c r="P128" s="860"/>
      <c r="Q128" s="860"/>
      <c r="R128" s="860"/>
      <c r="S128" s="860"/>
      <c r="T128" s="855">
        <f t="shared" si="83"/>
        <v>0</v>
      </c>
      <c r="U128" s="860"/>
      <c r="V128" s="860"/>
      <c r="W128" s="860"/>
      <c r="X128" s="860"/>
      <c r="Y128" s="860"/>
      <c r="Z128" s="860"/>
      <c r="AA128" s="860"/>
      <c r="AB128" s="860"/>
      <c r="AC128" s="860"/>
      <c r="AD128" s="860"/>
      <c r="AE128" s="860"/>
      <c r="AF128" s="860"/>
      <c r="AG128" s="860"/>
      <c r="AH128" s="860"/>
      <c r="AI128" s="860">
        <f t="shared" si="106"/>
        <v>220</v>
      </c>
      <c r="AJ128" s="860">
        <v>220</v>
      </c>
      <c r="AK128" s="860"/>
      <c r="AL128" s="860"/>
      <c r="AM128" s="860"/>
      <c r="AN128" s="860"/>
      <c r="AO128" s="860"/>
      <c r="AP128" s="860"/>
      <c r="AQ128" s="860"/>
      <c r="AR128" s="860"/>
      <c r="AS128" s="860"/>
      <c r="AT128" s="860"/>
      <c r="AU128" s="860"/>
      <c r="AV128" s="860"/>
      <c r="AW128" s="860"/>
      <c r="AX128" s="860"/>
      <c r="AY128" s="855">
        <f t="shared" si="104"/>
        <v>0</v>
      </c>
      <c r="AZ128" s="860"/>
      <c r="BA128" s="860"/>
      <c r="BB128" s="860"/>
      <c r="BC128" s="860"/>
      <c r="BD128" s="860"/>
      <c r="BE128" s="860"/>
      <c r="BF128" s="860"/>
      <c r="BG128" s="860"/>
      <c r="BH128" s="860"/>
      <c r="BI128" s="860"/>
      <c r="BJ128" s="860"/>
      <c r="BK128" s="860"/>
      <c r="BL128" s="860"/>
      <c r="BM128" s="860"/>
      <c r="BN128" s="860"/>
      <c r="BO128" s="848">
        <f t="shared" si="80"/>
        <v>208.43</v>
      </c>
      <c r="BP128" s="860">
        <v>208.43</v>
      </c>
      <c r="BQ128" s="860"/>
      <c r="BR128" s="860"/>
      <c r="BS128" s="860"/>
      <c r="BT128" s="860"/>
      <c r="BU128" s="860"/>
      <c r="BV128" s="860"/>
      <c r="BW128" s="860"/>
      <c r="BX128" s="860"/>
      <c r="BY128" s="860"/>
      <c r="BZ128" s="860"/>
      <c r="CA128" s="860"/>
      <c r="CB128" s="860"/>
      <c r="CC128" s="860"/>
      <c r="CD128" s="860"/>
      <c r="CE128" s="860"/>
      <c r="CF128" s="848"/>
      <c r="CG128" s="848"/>
      <c r="CH128" s="848"/>
      <c r="CI128" s="848"/>
      <c r="CJ128" s="848"/>
      <c r="CK128" s="848"/>
      <c r="CL128" s="848"/>
      <c r="CM128" s="848"/>
      <c r="CN128" s="848"/>
      <c r="CO128" s="848"/>
      <c r="CP128" s="848"/>
      <c r="CQ128" s="848"/>
      <c r="CR128" s="848"/>
      <c r="CS128" s="848"/>
      <c r="CT128" s="848"/>
      <c r="CU128" s="848"/>
      <c r="CV128" s="848"/>
      <c r="CW128" s="848"/>
    </row>
    <row r="129" spans="1:101" ht="49.15" customHeight="1">
      <c r="A129" s="871"/>
      <c r="B129" s="864" t="s">
        <v>512</v>
      </c>
      <c r="C129" s="852" t="s">
        <v>553</v>
      </c>
      <c r="D129" s="867"/>
      <c r="E129" s="867"/>
      <c r="F129" s="861" t="s">
        <v>554</v>
      </c>
      <c r="G129" s="861" t="s">
        <v>555</v>
      </c>
      <c r="H129" s="850">
        <f t="shared" si="91"/>
        <v>0</v>
      </c>
      <c r="I129" s="860"/>
      <c r="J129" s="860"/>
      <c r="K129" s="860"/>
      <c r="L129" s="860"/>
      <c r="M129" s="860"/>
      <c r="N129" s="860"/>
      <c r="O129" s="860"/>
      <c r="P129" s="860"/>
      <c r="Q129" s="860"/>
      <c r="R129" s="860"/>
      <c r="S129" s="860"/>
      <c r="T129" s="855">
        <f t="shared" si="83"/>
        <v>0</v>
      </c>
      <c r="U129" s="860"/>
      <c r="V129" s="860"/>
      <c r="W129" s="860"/>
      <c r="X129" s="860"/>
      <c r="Y129" s="860"/>
      <c r="Z129" s="860"/>
      <c r="AA129" s="860"/>
      <c r="AB129" s="860"/>
      <c r="AC129" s="860"/>
      <c r="AD129" s="860"/>
      <c r="AE129" s="860"/>
      <c r="AF129" s="860"/>
      <c r="AG129" s="860"/>
      <c r="AH129" s="860"/>
      <c r="AI129" s="860">
        <f t="shared" si="106"/>
        <v>220</v>
      </c>
      <c r="AJ129" s="860">
        <v>220</v>
      </c>
      <c r="AK129" s="860"/>
      <c r="AL129" s="860"/>
      <c r="AM129" s="860"/>
      <c r="AN129" s="860"/>
      <c r="AO129" s="860"/>
      <c r="AP129" s="860"/>
      <c r="AQ129" s="860"/>
      <c r="AR129" s="860"/>
      <c r="AS129" s="860"/>
      <c r="AT129" s="860"/>
      <c r="AU129" s="860"/>
      <c r="AV129" s="860"/>
      <c r="AW129" s="860"/>
      <c r="AX129" s="860"/>
      <c r="AY129" s="855">
        <f t="shared" si="104"/>
        <v>0</v>
      </c>
      <c r="AZ129" s="860"/>
      <c r="BA129" s="860"/>
      <c r="BB129" s="860"/>
      <c r="BC129" s="860"/>
      <c r="BD129" s="860"/>
      <c r="BE129" s="860"/>
      <c r="BF129" s="860"/>
      <c r="BG129" s="860"/>
      <c r="BH129" s="860"/>
      <c r="BI129" s="860"/>
      <c r="BJ129" s="860"/>
      <c r="BK129" s="860"/>
      <c r="BL129" s="860"/>
      <c r="BM129" s="860"/>
      <c r="BN129" s="860"/>
      <c r="BO129" s="848">
        <f t="shared" si="80"/>
        <v>210.286</v>
      </c>
      <c r="BP129" s="860">
        <v>210.286</v>
      </c>
      <c r="BQ129" s="860"/>
      <c r="BR129" s="860"/>
      <c r="BS129" s="860"/>
      <c r="BT129" s="860"/>
      <c r="BU129" s="860"/>
      <c r="BV129" s="860"/>
      <c r="BW129" s="860"/>
      <c r="BX129" s="860"/>
      <c r="BY129" s="860"/>
      <c r="BZ129" s="860"/>
      <c r="CA129" s="860"/>
      <c r="CB129" s="860"/>
      <c r="CC129" s="860"/>
      <c r="CD129" s="860"/>
      <c r="CE129" s="860"/>
      <c r="CF129" s="848"/>
      <c r="CG129" s="848"/>
      <c r="CH129" s="848"/>
      <c r="CI129" s="848"/>
      <c r="CJ129" s="848"/>
      <c r="CK129" s="848"/>
      <c r="CL129" s="848"/>
      <c r="CM129" s="848"/>
      <c r="CN129" s="848"/>
      <c r="CO129" s="848"/>
      <c r="CP129" s="848"/>
      <c r="CQ129" s="848"/>
      <c r="CR129" s="848"/>
      <c r="CS129" s="848"/>
      <c r="CT129" s="848"/>
      <c r="CU129" s="848"/>
      <c r="CV129" s="848"/>
      <c r="CW129" s="848"/>
    </row>
    <row r="130" spans="1:101" ht="33.6" customHeight="1">
      <c r="A130" s="871"/>
      <c r="B130" s="864" t="s">
        <v>512</v>
      </c>
      <c r="C130" s="852" t="s">
        <v>556</v>
      </c>
      <c r="D130" s="867"/>
      <c r="E130" s="867"/>
      <c r="F130" s="875">
        <v>2016</v>
      </c>
      <c r="G130" s="875" t="s">
        <v>557</v>
      </c>
      <c r="H130" s="850">
        <f t="shared" si="91"/>
        <v>304</v>
      </c>
      <c r="I130" s="860">
        <v>304</v>
      </c>
      <c r="J130" s="860"/>
      <c r="K130" s="860"/>
      <c r="L130" s="860"/>
      <c r="M130" s="860"/>
      <c r="N130" s="860"/>
      <c r="O130" s="860"/>
      <c r="P130" s="860"/>
      <c r="Q130" s="860"/>
      <c r="R130" s="860"/>
      <c r="S130" s="860"/>
      <c r="T130" s="855">
        <f t="shared" si="83"/>
        <v>166</v>
      </c>
      <c r="U130" s="860">
        <v>166</v>
      </c>
      <c r="V130" s="860"/>
      <c r="W130" s="860"/>
      <c r="X130" s="860"/>
      <c r="Y130" s="860"/>
      <c r="Z130" s="860"/>
      <c r="AA130" s="860"/>
      <c r="AB130" s="860"/>
      <c r="AC130" s="860"/>
      <c r="AD130" s="860"/>
      <c r="AE130" s="860"/>
      <c r="AF130" s="860"/>
      <c r="AG130" s="860"/>
      <c r="AH130" s="860"/>
      <c r="AI130" s="860">
        <f t="shared" si="106"/>
        <v>214</v>
      </c>
      <c r="AJ130" s="860">
        <v>214</v>
      </c>
      <c r="AK130" s="860"/>
      <c r="AL130" s="860"/>
      <c r="AM130" s="860"/>
      <c r="AN130" s="860"/>
      <c r="AO130" s="860"/>
      <c r="AP130" s="860"/>
      <c r="AQ130" s="860"/>
      <c r="AR130" s="860"/>
      <c r="AS130" s="860"/>
      <c r="AT130" s="860"/>
      <c r="AU130" s="860"/>
      <c r="AV130" s="860"/>
      <c r="AW130" s="860"/>
      <c r="AX130" s="860"/>
      <c r="AY130" s="855">
        <f t="shared" si="104"/>
        <v>0</v>
      </c>
      <c r="AZ130" s="860"/>
      <c r="BA130" s="860"/>
      <c r="BB130" s="860"/>
      <c r="BC130" s="860"/>
      <c r="BD130" s="860"/>
      <c r="BE130" s="860"/>
      <c r="BF130" s="860"/>
      <c r="BG130" s="860"/>
      <c r="BH130" s="860"/>
      <c r="BI130" s="860"/>
      <c r="BJ130" s="860"/>
      <c r="BK130" s="860"/>
      <c r="BL130" s="860"/>
      <c r="BM130" s="860"/>
      <c r="BN130" s="860"/>
      <c r="BO130" s="848">
        <f t="shared" si="80"/>
        <v>46.622999999999998</v>
      </c>
      <c r="BP130" s="860">
        <v>46.622999999999998</v>
      </c>
      <c r="BQ130" s="860"/>
      <c r="BR130" s="860"/>
      <c r="BS130" s="860"/>
      <c r="BT130" s="860"/>
      <c r="BU130" s="860"/>
      <c r="BV130" s="860"/>
      <c r="BW130" s="860"/>
      <c r="BX130" s="860"/>
      <c r="BY130" s="860"/>
      <c r="BZ130" s="860"/>
      <c r="CA130" s="860"/>
      <c r="CB130" s="860"/>
      <c r="CC130" s="860"/>
      <c r="CD130" s="860"/>
      <c r="CE130" s="860"/>
      <c r="CF130" s="848"/>
      <c r="CG130" s="848"/>
      <c r="CH130" s="848"/>
      <c r="CI130" s="848"/>
      <c r="CJ130" s="848"/>
      <c r="CK130" s="848"/>
      <c r="CL130" s="848"/>
      <c r="CM130" s="848"/>
      <c r="CN130" s="848"/>
      <c r="CO130" s="848"/>
      <c r="CP130" s="848"/>
      <c r="CQ130" s="848"/>
      <c r="CR130" s="848"/>
      <c r="CS130" s="848"/>
      <c r="CT130" s="848"/>
      <c r="CU130" s="848"/>
      <c r="CV130" s="848"/>
      <c r="CW130" s="848"/>
    </row>
    <row r="131" spans="1:101" ht="33.6" customHeight="1">
      <c r="A131" s="871"/>
      <c r="B131" s="864" t="s">
        <v>512</v>
      </c>
      <c r="C131" s="852" t="s">
        <v>558</v>
      </c>
      <c r="D131" s="867"/>
      <c r="E131" s="867"/>
      <c r="F131" s="875">
        <v>2016</v>
      </c>
      <c r="G131" s="875" t="s">
        <v>559</v>
      </c>
      <c r="H131" s="850">
        <f t="shared" si="91"/>
        <v>942</v>
      </c>
      <c r="I131" s="860">
        <v>942</v>
      </c>
      <c r="J131" s="860"/>
      <c r="K131" s="860"/>
      <c r="L131" s="860"/>
      <c r="M131" s="860"/>
      <c r="N131" s="860"/>
      <c r="O131" s="860"/>
      <c r="P131" s="860"/>
      <c r="Q131" s="860"/>
      <c r="R131" s="860"/>
      <c r="S131" s="860"/>
      <c r="T131" s="855">
        <f t="shared" si="83"/>
        <v>0</v>
      </c>
      <c r="U131" s="860"/>
      <c r="V131" s="860"/>
      <c r="W131" s="860"/>
      <c r="X131" s="860"/>
      <c r="Y131" s="860"/>
      <c r="Z131" s="860"/>
      <c r="AA131" s="860"/>
      <c r="AB131" s="860"/>
      <c r="AC131" s="860"/>
      <c r="AD131" s="860"/>
      <c r="AE131" s="860"/>
      <c r="AF131" s="860"/>
      <c r="AG131" s="860"/>
      <c r="AH131" s="860"/>
      <c r="AI131" s="860">
        <f t="shared" si="106"/>
        <v>664</v>
      </c>
      <c r="AJ131" s="860">
        <v>664</v>
      </c>
      <c r="AK131" s="860"/>
      <c r="AL131" s="860"/>
      <c r="AM131" s="860"/>
      <c r="AN131" s="860"/>
      <c r="AO131" s="860"/>
      <c r="AP131" s="860"/>
      <c r="AQ131" s="860"/>
      <c r="AR131" s="860"/>
      <c r="AS131" s="860"/>
      <c r="AT131" s="860"/>
      <c r="AU131" s="860"/>
      <c r="AV131" s="860"/>
      <c r="AW131" s="860"/>
      <c r="AX131" s="860"/>
      <c r="AY131" s="855">
        <f t="shared" si="104"/>
        <v>0</v>
      </c>
      <c r="AZ131" s="860"/>
      <c r="BA131" s="860"/>
      <c r="BB131" s="860"/>
      <c r="BC131" s="860"/>
      <c r="BD131" s="860"/>
      <c r="BE131" s="860"/>
      <c r="BF131" s="860"/>
      <c r="BG131" s="860"/>
      <c r="BH131" s="860"/>
      <c r="BI131" s="860"/>
      <c r="BJ131" s="860"/>
      <c r="BK131" s="860"/>
      <c r="BL131" s="860"/>
      <c r="BM131" s="860"/>
      <c r="BN131" s="860"/>
      <c r="BO131" s="848">
        <f t="shared" si="80"/>
        <v>657.93600000000004</v>
      </c>
      <c r="BP131" s="860">
        <v>657.93600000000004</v>
      </c>
      <c r="BQ131" s="860"/>
      <c r="BR131" s="860"/>
      <c r="BS131" s="860"/>
      <c r="BT131" s="860"/>
      <c r="BU131" s="860"/>
      <c r="BV131" s="860"/>
      <c r="BW131" s="860"/>
      <c r="BX131" s="860"/>
      <c r="BY131" s="860"/>
      <c r="BZ131" s="860"/>
      <c r="CA131" s="860"/>
      <c r="CB131" s="860"/>
      <c r="CC131" s="860"/>
      <c r="CD131" s="860"/>
      <c r="CE131" s="860"/>
      <c r="CF131" s="848"/>
      <c r="CG131" s="848"/>
      <c r="CH131" s="848"/>
      <c r="CI131" s="848"/>
      <c r="CJ131" s="848"/>
      <c r="CK131" s="848"/>
      <c r="CL131" s="848"/>
      <c r="CM131" s="848"/>
      <c r="CN131" s="848"/>
      <c r="CO131" s="848"/>
      <c r="CP131" s="848"/>
      <c r="CQ131" s="848"/>
      <c r="CR131" s="848"/>
      <c r="CS131" s="848"/>
      <c r="CT131" s="848"/>
      <c r="CU131" s="848"/>
      <c r="CV131" s="848"/>
      <c r="CW131" s="848"/>
    </row>
    <row r="132" spans="1:101" ht="33.6" customHeight="1">
      <c r="A132" s="871"/>
      <c r="B132" s="864" t="s">
        <v>512</v>
      </c>
      <c r="C132" s="852" t="s">
        <v>560</v>
      </c>
      <c r="D132" s="867"/>
      <c r="E132" s="867"/>
      <c r="F132" s="853" t="s">
        <v>544</v>
      </c>
      <c r="G132" s="853" t="s">
        <v>561</v>
      </c>
      <c r="H132" s="850">
        <f t="shared" si="91"/>
        <v>312</v>
      </c>
      <c r="I132" s="860">
        <v>312</v>
      </c>
      <c r="J132" s="860"/>
      <c r="K132" s="860"/>
      <c r="L132" s="860"/>
      <c r="M132" s="860"/>
      <c r="N132" s="860"/>
      <c r="O132" s="860"/>
      <c r="P132" s="860"/>
      <c r="Q132" s="860"/>
      <c r="R132" s="860"/>
      <c r="S132" s="860"/>
      <c r="T132" s="855">
        <f t="shared" si="83"/>
        <v>0</v>
      </c>
      <c r="U132" s="860"/>
      <c r="V132" s="860"/>
      <c r="W132" s="860"/>
      <c r="X132" s="860"/>
      <c r="Y132" s="860"/>
      <c r="Z132" s="860"/>
      <c r="AA132" s="860"/>
      <c r="AB132" s="860"/>
      <c r="AC132" s="860"/>
      <c r="AD132" s="860"/>
      <c r="AE132" s="860"/>
      <c r="AF132" s="860"/>
      <c r="AG132" s="860"/>
      <c r="AH132" s="860"/>
      <c r="AI132" s="860">
        <f t="shared" si="106"/>
        <v>220</v>
      </c>
      <c r="AJ132" s="860">
        <v>220</v>
      </c>
      <c r="AK132" s="860"/>
      <c r="AL132" s="860"/>
      <c r="AM132" s="860"/>
      <c r="AN132" s="860"/>
      <c r="AO132" s="860"/>
      <c r="AP132" s="860"/>
      <c r="AQ132" s="860"/>
      <c r="AR132" s="860"/>
      <c r="AS132" s="860"/>
      <c r="AT132" s="860"/>
      <c r="AU132" s="860"/>
      <c r="AV132" s="860"/>
      <c r="AW132" s="860"/>
      <c r="AX132" s="860"/>
      <c r="AY132" s="855">
        <f t="shared" si="104"/>
        <v>0</v>
      </c>
      <c r="AZ132" s="860"/>
      <c r="BA132" s="860"/>
      <c r="BB132" s="860"/>
      <c r="BC132" s="860"/>
      <c r="BD132" s="860"/>
      <c r="BE132" s="860"/>
      <c r="BF132" s="860"/>
      <c r="BG132" s="860"/>
      <c r="BH132" s="860"/>
      <c r="BI132" s="860"/>
      <c r="BJ132" s="860"/>
      <c r="BK132" s="860"/>
      <c r="BL132" s="860"/>
      <c r="BM132" s="860"/>
      <c r="BN132" s="860"/>
      <c r="BO132" s="848">
        <f t="shared" si="80"/>
        <v>209.048</v>
      </c>
      <c r="BP132" s="860">
        <v>209.048</v>
      </c>
      <c r="BQ132" s="860"/>
      <c r="BR132" s="860"/>
      <c r="BS132" s="860"/>
      <c r="BT132" s="860"/>
      <c r="BU132" s="860"/>
      <c r="BV132" s="860"/>
      <c r="BW132" s="860"/>
      <c r="BX132" s="860"/>
      <c r="BY132" s="860"/>
      <c r="BZ132" s="860"/>
      <c r="CA132" s="860"/>
      <c r="CB132" s="860"/>
      <c r="CC132" s="860"/>
      <c r="CD132" s="860"/>
      <c r="CE132" s="860"/>
      <c r="CF132" s="848"/>
      <c r="CG132" s="848"/>
      <c r="CH132" s="848"/>
      <c r="CI132" s="848"/>
      <c r="CJ132" s="848"/>
      <c r="CK132" s="848"/>
      <c r="CL132" s="848"/>
      <c r="CM132" s="848"/>
      <c r="CN132" s="848"/>
      <c r="CO132" s="848"/>
      <c r="CP132" s="848"/>
      <c r="CQ132" s="848"/>
      <c r="CR132" s="848"/>
      <c r="CS132" s="848"/>
      <c r="CT132" s="848"/>
      <c r="CU132" s="848"/>
      <c r="CV132" s="848"/>
      <c r="CW132" s="848"/>
    </row>
    <row r="133" spans="1:101" ht="60" customHeight="1">
      <c r="A133" s="871"/>
      <c r="B133" s="864" t="s">
        <v>512</v>
      </c>
      <c r="C133" s="852" t="s">
        <v>562</v>
      </c>
      <c r="D133" s="867"/>
      <c r="E133" s="867"/>
      <c r="F133" s="853">
        <v>2016</v>
      </c>
      <c r="G133" s="853" t="s">
        <v>563</v>
      </c>
      <c r="H133" s="850">
        <f t="shared" si="91"/>
        <v>103</v>
      </c>
      <c r="I133" s="860">
        <v>103</v>
      </c>
      <c r="J133" s="860"/>
      <c r="K133" s="860"/>
      <c r="L133" s="860"/>
      <c r="M133" s="860"/>
      <c r="N133" s="860"/>
      <c r="O133" s="860"/>
      <c r="P133" s="860"/>
      <c r="Q133" s="860"/>
      <c r="R133" s="860"/>
      <c r="S133" s="860"/>
      <c r="T133" s="855">
        <f t="shared" si="83"/>
        <v>773.44299999999998</v>
      </c>
      <c r="U133" s="860">
        <v>773.44299999999998</v>
      </c>
      <c r="V133" s="860"/>
      <c r="W133" s="860"/>
      <c r="X133" s="860"/>
      <c r="Y133" s="860"/>
      <c r="Z133" s="860"/>
      <c r="AA133" s="860"/>
      <c r="AB133" s="860"/>
      <c r="AC133" s="860"/>
      <c r="AD133" s="860"/>
      <c r="AE133" s="860"/>
      <c r="AF133" s="860"/>
      <c r="AG133" s="860"/>
      <c r="AH133" s="860"/>
      <c r="AI133" s="860">
        <f t="shared" si="106"/>
        <v>93</v>
      </c>
      <c r="AJ133" s="860">
        <v>93</v>
      </c>
      <c r="AK133" s="860"/>
      <c r="AL133" s="860"/>
      <c r="AM133" s="860"/>
      <c r="AN133" s="860"/>
      <c r="AO133" s="860"/>
      <c r="AP133" s="860"/>
      <c r="AQ133" s="860"/>
      <c r="AR133" s="860"/>
      <c r="AS133" s="860"/>
      <c r="AT133" s="860"/>
      <c r="AU133" s="860"/>
      <c r="AV133" s="860"/>
      <c r="AW133" s="860"/>
      <c r="AX133" s="860"/>
      <c r="AY133" s="855">
        <f t="shared" si="104"/>
        <v>0</v>
      </c>
      <c r="AZ133" s="860"/>
      <c r="BA133" s="860"/>
      <c r="BB133" s="860"/>
      <c r="BC133" s="860"/>
      <c r="BD133" s="860"/>
      <c r="BE133" s="860"/>
      <c r="BF133" s="860"/>
      <c r="BG133" s="860"/>
      <c r="BH133" s="860"/>
      <c r="BI133" s="860"/>
      <c r="BJ133" s="860"/>
      <c r="BK133" s="860"/>
      <c r="BL133" s="860"/>
      <c r="BM133" s="860"/>
      <c r="BN133" s="860"/>
      <c r="BO133" s="848">
        <f t="shared" si="80"/>
        <v>93.557000000000002</v>
      </c>
      <c r="BP133" s="860">
        <v>93.557000000000002</v>
      </c>
      <c r="BQ133" s="860"/>
      <c r="BR133" s="860"/>
      <c r="BS133" s="860"/>
      <c r="BT133" s="860"/>
      <c r="BU133" s="860"/>
      <c r="BV133" s="860"/>
      <c r="BW133" s="860"/>
      <c r="BX133" s="860"/>
      <c r="BY133" s="860"/>
      <c r="BZ133" s="860"/>
      <c r="CA133" s="860"/>
      <c r="CB133" s="860"/>
      <c r="CC133" s="860"/>
      <c r="CD133" s="860"/>
      <c r="CE133" s="860"/>
      <c r="CF133" s="848"/>
      <c r="CG133" s="848"/>
      <c r="CH133" s="848"/>
      <c r="CI133" s="848"/>
      <c r="CJ133" s="848"/>
      <c r="CK133" s="848"/>
      <c r="CL133" s="848"/>
      <c r="CM133" s="848"/>
      <c r="CN133" s="848"/>
      <c r="CO133" s="848"/>
      <c r="CP133" s="848"/>
      <c r="CQ133" s="848"/>
      <c r="CR133" s="848"/>
      <c r="CS133" s="848"/>
      <c r="CT133" s="848"/>
      <c r="CU133" s="848"/>
      <c r="CV133" s="848"/>
      <c r="CW133" s="848"/>
    </row>
    <row r="134" spans="1:101" ht="45.6" customHeight="1">
      <c r="A134" s="871"/>
      <c r="B134" s="864" t="s">
        <v>512</v>
      </c>
      <c r="C134" s="852" t="s">
        <v>564</v>
      </c>
      <c r="D134" s="867"/>
      <c r="E134" s="867"/>
      <c r="F134" s="853">
        <v>2016</v>
      </c>
      <c r="G134" s="853" t="s">
        <v>565</v>
      </c>
      <c r="H134" s="850">
        <f t="shared" si="91"/>
        <v>233</v>
      </c>
      <c r="I134" s="860">
        <v>233</v>
      </c>
      <c r="J134" s="860"/>
      <c r="K134" s="860"/>
      <c r="L134" s="860"/>
      <c r="M134" s="860"/>
      <c r="N134" s="860"/>
      <c r="O134" s="860"/>
      <c r="P134" s="860"/>
      <c r="Q134" s="860"/>
      <c r="R134" s="860"/>
      <c r="S134" s="860"/>
      <c r="T134" s="855">
        <f t="shared" si="83"/>
        <v>0</v>
      </c>
      <c r="U134" s="860"/>
      <c r="V134" s="860"/>
      <c r="W134" s="860"/>
      <c r="X134" s="860"/>
      <c r="Y134" s="860"/>
      <c r="Z134" s="860"/>
      <c r="AA134" s="860"/>
      <c r="AB134" s="860"/>
      <c r="AC134" s="860"/>
      <c r="AD134" s="860"/>
      <c r="AE134" s="860"/>
      <c r="AF134" s="860"/>
      <c r="AG134" s="860"/>
      <c r="AH134" s="860"/>
      <c r="AI134" s="860">
        <f t="shared" si="106"/>
        <v>164</v>
      </c>
      <c r="AJ134" s="860">
        <v>164</v>
      </c>
      <c r="AK134" s="860"/>
      <c r="AL134" s="860"/>
      <c r="AM134" s="860"/>
      <c r="AN134" s="860"/>
      <c r="AO134" s="860"/>
      <c r="AP134" s="860"/>
      <c r="AQ134" s="860"/>
      <c r="AR134" s="860"/>
      <c r="AS134" s="860"/>
      <c r="AT134" s="860"/>
      <c r="AU134" s="860"/>
      <c r="AV134" s="860"/>
      <c r="AW134" s="860"/>
      <c r="AX134" s="860"/>
      <c r="AY134" s="855">
        <f t="shared" si="104"/>
        <v>0</v>
      </c>
      <c r="AZ134" s="860"/>
      <c r="BA134" s="860"/>
      <c r="BB134" s="860"/>
      <c r="BC134" s="860"/>
      <c r="BD134" s="860"/>
      <c r="BE134" s="860"/>
      <c r="BF134" s="860"/>
      <c r="BG134" s="860"/>
      <c r="BH134" s="860"/>
      <c r="BI134" s="860"/>
      <c r="BJ134" s="860"/>
      <c r="BK134" s="860"/>
      <c r="BL134" s="860"/>
      <c r="BM134" s="860"/>
      <c r="BN134" s="860"/>
      <c r="BO134" s="848">
        <f t="shared" si="80"/>
        <v>136.221</v>
      </c>
      <c r="BP134" s="860">
        <v>136.221</v>
      </c>
      <c r="BQ134" s="860"/>
      <c r="BR134" s="860"/>
      <c r="BS134" s="860"/>
      <c r="BT134" s="860"/>
      <c r="BU134" s="860"/>
      <c r="BV134" s="860"/>
      <c r="BW134" s="860"/>
      <c r="BX134" s="860"/>
      <c r="BY134" s="860"/>
      <c r="BZ134" s="860"/>
      <c r="CA134" s="860"/>
      <c r="CB134" s="860"/>
      <c r="CC134" s="860"/>
      <c r="CD134" s="860"/>
      <c r="CE134" s="860"/>
      <c r="CF134" s="848"/>
      <c r="CG134" s="848"/>
      <c r="CH134" s="848"/>
      <c r="CI134" s="848"/>
      <c r="CJ134" s="848"/>
      <c r="CK134" s="848"/>
      <c r="CL134" s="848"/>
      <c r="CM134" s="848"/>
      <c r="CN134" s="848"/>
      <c r="CO134" s="848"/>
      <c r="CP134" s="848"/>
      <c r="CQ134" s="848"/>
      <c r="CR134" s="848"/>
      <c r="CS134" s="848"/>
      <c r="CT134" s="848"/>
      <c r="CU134" s="848"/>
      <c r="CV134" s="848"/>
      <c r="CW134" s="848"/>
    </row>
    <row r="135" spans="1:101" ht="33.6" customHeight="1">
      <c r="A135" s="871"/>
      <c r="B135" s="864" t="s">
        <v>512</v>
      </c>
      <c r="C135" s="852" t="s">
        <v>566</v>
      </c>
      <c r="D135" s="867"/>
      <c r="E135" s="867"/>
      <c r="F135" s="853">
        <v>2016</v>
      </c>
      <c r="G135" s="853" t="s">
        <v>565</v>
      </c>
      <c r="H135" s="850">
        <f t="shared" si="91"/>
        <v>1014</v>
      </c>
      <c r="I135" s="860">
        <v>1014</v>
      </c>
      <c r="J135" s="860"/>
      <c r="K135" s="860"/>
      <c r="L135" s="860"/>
      <c r="M135" s="860"/>
      <c r="N135" s="860"/>
      <c r="O135" s="860"/>
      <c r="P135" s="860"/>
      <c r="Q135" s="860"/>
      <c r="R135" s="860"/>
      <c r="S135" s="860"/>
      <c r="T135" s="855">
        <f t="shared" si="83"/>
        <v>630</v>
      </c>
      <c r="U135" s="860">
        <v>630</v>
      </c>
      <c r="V135" s="860"/>
      <c r="W135" s="860"/>
      <c r="X135" s="860"/>
      <c r="Y135" s="860"/>
      <c r="Z135" s="860"/>
      <c r="AA135" s="860"/>
      <c r="AB135" s="860"/>
      <c r="AC135" s="860"/>
      <c r="AD135" s="860"/>
      <c r="AE135" s="860"/>
      <c r="AF135" s="860"/>
      <c r="AG135" s="860"/>
      <c r="AH135" s="860"/>
      <c r="AI135" s="860">
        <f t="shared" si="106"/>
        <v>715</v>
      </c>
      <c r="AJ135" s="860">
        <v>715</v>
      </c>
      <c r="AK135" s="860"/>
      <c r="AL135" s="860"/>
      <c r="AM135" s="860"/>
      <c r="AN135" s="860"/>
      <c r="AO135" s="860"/>
      <c r="AP135" s="860"/>
      <c r="AQ135" s="860"/>
      <c r="AR135" s="860"/>
      <c r="AS135" s="860"/>
      <c r="AT135" s="860"/>
      <c r="AU135" s="860"/>
      <c r="AV135" s="860"/>
      <c r="AW135" s="860"/>
      <c r="AX135" s="860"/>
      <c r="AY135" s="855">
        <f t="shared" si="104"/>
        <v>0</v>
      </c>
      <c r="AZ135" s="860"/>
      <c r="BA135" s="860"/>
      <c r="BB135" s="860"/>
      <c r="BC135" s="860"/>
      <c r="BD135" s="860"/>
      <c r="BE135" s="860"/>
      <c r="BF135" s="860"/>
      <c r="BG135" s="860"/>
      <c r="BH135" s="860"/>
      <c r="BI135" s="860"/>
      <c r="BJ135" s="860"/>
      <c r="BK135" s="860"/>
      <c r="BL135" s="860"/>
      <c r="BM135" s="860"/>
      <c r="BN135" s="860"/>
      <c r="BO135" s="848">
        <f t="shared" si="80"/>
        <v>36.167999999999999</v>
      </c>
      <c r="BP135" s="860">
        <v>36.167999999999999</v>
      </c>
      <c r="BQ135" s="860"/>
      <c r="BR135" s="860"/>
      <c r="BS135" s="860"/>
      <c r="BT135" s="860"/>
      <c r="BU135" s="860"/>
      <c r="BV135" s="860"/>
      <c r="BW135" s="860"/>
      <c r="BX135" s="860"/>
      <c r="BY135" s="860"/>
      <c r="BZ135" s="860"/>
      <c r="CA135" s="860"/>
      <c r="CB135" s="860"/>
      <c r="CC135" s="860"/>
      <c r="CD135" s="860"/>
      <c r="CE135" s="860"/>
      <c r="CF135" s="848"/>
      <c r="CG135" s="848"/>
      <c r="CH135" s="848"/>
      <c r="CI135" s="848"/>
      <c r="CJ135" s="848"/>
      <c r="CK135" s="848"/>
      <c r="CL135" s="848"/>
      <c r="CM135" s="848"/>
      <c r="CN135" s="848"/>
      <c r="CO135" s="848"/>
      <c r="CP135" s="848"/>
      <c r="CQ135" s="848"/>
      <c r="CR135" s="848"/>
      <c r="CS135" s="848"/>
      <c r="CT135" s="848"/>
      <c r="CU135" s="848"/>
      <c r="CV135" s="848"/>
      <c r="CW135" s="848"/>
    </row>
    <row r="136" spans="1:101" ht="33.6" customHeight="1">
      <c r="A136" s="871"/>
      <c r="B136" s="864" t="s">
        <v>512</v>
      </c>
      <c r="C136" s="852" t="s">
        <v>567</v>
      </c>
      <c r="D136" s="867"/>
      <c r="E136" s="867"/>
      <c r="F136" s="858"/>
      <c r="G136" s="867"/>
      <c r="H136" s="850">
        <f t="shared" si="91"/>
        <v>157</v>
      </c>
      <c r="I136" s="860">
        <v>157</v>
      </c>
      <c r="J136" s="860"/>
      <c r="K136" s="860"/>
      <c r="L136" s="860"/>
      <c r="M136" s="860"/>
      <c r="N136" s="860"/>
      <c r="O136" s="860"/>
      <c r="P136" s="860"/>
      <c r="Q136" s="860"/>
      <c r="R136" s="860"/>
      <c r="S136" s="860"/>
      <c r="T136" s="855">
        <f t="shared" si="83"/>
        <v>0</v>
      </c>
      <c r="U136" s="860"/>
      <c r="V136" s="860"/>
      <c r="W136" s="860"/>
      <c r="X136" s="860"/>
      <c r="Y136" s="860"/>
      <c r="Z136" s="860"/>
      <c r="AA136" s="860"/>
      <c r="AB136" s="860"/>
      <c r="AC136" s="860"/>
      <c r="AD136" s="860"/>
      <c r="AE136" s="860"/>
      <c r="AF136" s="860"/>
      <c r="AG136" s="860"/>
      <c r="AH136" s="860"/>
      <c r="AI136" s="860">
        <f t="shared" si="106"/>
        <v>108</v>
      </c>
      <c r="AJ136" s="860">
        <v>108</v>
      </c>
      <c r="AK136" s="860"/>
      <c r="AL136" s="860"/>
      <c r="AM136" s="860"/>
      <c r="AN136" s="860"/>
      <c r="AO136" s="860"/>
      <c r="AP136" s="860"/>
      <c r="AQ136" s="860"/>
      <c r="AR136" s="860"/>
      <c r="AS136" s="860"/>
      <c r="AT136" s="860"/>
      <c r="AU136" s="860"/>
      <c r="AV136" s="860"/>
      <c r="AW136" s="860"/>
      <c r="AX136" s="860"/>
      <c r="AY136" s="855">
        <f t="shared" si="104"/>
        <v>0</v>
      </c>
      <c r="AZ136" s="860"/>
      <c r="BA136" s="860"/>
      <c r="BB136" s="860"/>
      <c r="BC136" s="860"/>
      <c r="BD136" s="860"/>
      <c r="BE136" s="860"/>
      <c r="BF136" s="860"/>
      <c r="BG136" s="860"/>
      <c r="BH136" s="860"/>
      <c r="BI136" s="860"/>
      <c r="BJ136" s="860"/>
      <c r="BK136" s="860"/>
      <c r="BL136" s="860"/>
      <c r="BM136" s="860"/>
      <c r="BN136" s="860"/>
      <c r="BO136" s="848">
        <f t="shared" si="80"/>
        <v>106.75</v>
      </c>
      <c r="BP136" s="860">
        <v>106.75</v>
      </c>
      <c r="BQ136" s="860"/>
      <c r="BR136" s="860"/>
      <c r="BS136" s="860"/>
      <c r="BT136" s="860"/>
      <c r="BU136" s="860"/>
      <c r="BV136" s="860"/>
      <c r="BW136" s="860"/>
      <c r="BX136" s="860"/>
      <c r="BY136" s="860"/>
      <c r="BZ136" s="860"/>
      <c r="CA136" s="860"/>
      <c r="CB136" s="860"/>
      <c r="CC136" s="860"/>
      <c r="CD136" s="860"/>
      <c r="CE136" s="860"/>
      <c r="CF136" s="848"/>
      <c r="CG136" s="848"/>
      <c r="CH136" s="848"/>
      <c r="CI136" s="848"/>
      <c r="CJ136" s="848"/>
      <c r="CK136" s="848"/>
      <c r="CL136" s="848"/>
      <c r="CM136" s="848"/>
      <c r="CN136" s="848"/>
      <c r="CO136" s="848"/>
      <c r="CP136" s="848"/>
      <c r="CQ136" s="848"/>
      <c r="CR136" s="848"/>
      <c r="CS136" s="848"/>
      <c r="CT136" s="848"/>
      <c r="CU136" s="848"/>
      <c r="CV136" s="848"/>
      <c r="CW136" s="848"/>
    </row>
    <row r="137" spans="1:101" ht="33.6" customHeight="1">
      <c r="A137" s="871"/>
      <c r="B137" s="864" t="s">
        <v>512</v>
      </c>
      <c r="C137" s="852" t="s">
        <v>568</v>
      </c>
      <c r="D137" s="867"/>
      <c r="E137" s="867"/>
      <c r="F137" s="875" t="s">
        <v>569</v>
      </c>
      <c r="G137" s="875" t="s">
        <v>570</v>
      </c>
      <c r="H137" s="850">
        <f t="shared" si="91"/>
        <v>1246</v>
      </c>
      <c r="I137" s="860">
        <v>1246</v>
      </c>
      <c r="J137" s="860"/>
      <c r="K137" s="860"/>
      <c r="L137" s="860"/>
      <c r="M137" s="860"/>
      <c r="N137" s="860"/>
      <c r="O137" s="860"/>
      <c r="P137" s="860"/>
      <c r="Q137" s="860"/>
      <c r="R137" s="860"/>
      <c r="S137" s="860"/>
      <c r="T137" s="855">
        <f t="shared" si="83"/>
        <v>677</v>
      </c>
      <c r="U137" s="860">
        <v>677</v>
      </c>
      <c r="V137" s="860"/>
      <c r="W137" s="860"/>
      <c r="X137" s="860"/>
      <c r="Y137" s="860"/>
      <c r="Z137" s="860"/>
      <c r="AA137" s="860"/>
      <c r="AB137" s="860"/>
      <c r="AC137" s="860"/>
      <c r="AD137" s="860"/>
      <c r="AE137" s="860"/>
      <c r="AF137" s="860"/>
      <c r="AG137" s="860"/>
      <c r="AH137" s="860"/>
      <c r="AI137" s="860">
        <f t="shared" si="106"/>
        <v>878</v>
      </c>
      <c r="AJ137" s="860">
        <v>878</v>
      </c>
      <c r="AK137" s="860"/>
      <c r="AL137" s="860"/>
      <c r="AM137" s="860"/>
      <c r="AN137" s="860"/>
      <c r="AO137" s="860"/>
      <c r="AP137" s="860"/>
      <c r="AQ137" s="860"/>
      <c r="AR137" s="860"/>
      <c r="AS137" s="860"/>
      <c r="AT137" s="860"/>
      <c r="AU137" s="860"/>
      <c r="AV137" s="860"/>
      <c r="AW137" s="860"/>
      <c r="AX137" s="860"/>
      <c r="AY137" s="855">
        <f t="shared" si="104"/>
        <v>0</v>
      </c>
      <c r="AZ137" s="860"/>
      <c r="BA137" s="860"/>
      <c r="BB137" s="860"/>
      <c r="BC137" s="860"/>
      <c r="BD137" s="860"/>
      <c r="BE137" s="860"/>
      <c r="BF137" s="860"/>
      <c r="BG137" s="860"/>
      <c r="BH137" s="860"/>
      <c r="BI137" s="860"/>
      <c r="BJ137" s="860"/>
      <c r="BK137" s="860"/>
      <c r="BL137" s="860"/>
      <c r="BM137" s="860"/>
      <c r="BN137" s="860"/>
      <c r="BO137" s="848">
        <f t="shared" si="80"/>
        <v>190.43199999999999</v>
      </c>
      <c r="BP137" s="860">
        <v>190.43199999999999</v>
      </c>
      <c r="BQ137" s="860"/>
      <c r="BR137" s="860"/>
      <c r="BS137" s="860"/>
      <c r="BT137" s="860"/>
      <c r="BU137" s="860"/>
      <c r="BV137" s="860"/>
      <c r="BW137" s="860"/>
      <c r="BX137" s="860"/>
      <c r="BY137" s="860"/>
      <c r="BZ137" s="860"/>
      <c r="CA137" s="860"/>
      <c r="CB137" s="860"/>
      <c r="CC137" s="860"/>
      <c r="CD137" s="860"/>
      <c r="CE137" s="860"/>
      <c r="CF137" s="848"/>
      <c r="CG137" s="848"/>
      <c r="CH137" s="848"/>
      <c r="CI137" s="848"/>
      <c r="CJ137" s="848"/>
      <c r="CK137" s="848"/>
      <c r="CL137" s="848"/>
      <c r="CM137" s="848"/>
      <c r="CN137" s="848"/>
      <c r="CO137" s="848"/>
      <c r="CP137" s="848"/>
      <c r="CQ137" s="848"/>
      <c r="CR137" s="848"/>
      <c r="CS137" s="848"/>
      <c r="CT137" s="848"/>
      <c r="CU137" s="848"/>
      <c r="CV137" s="848"/>
      <c r="CW137" s="848"/>
    </row>
    <row r="138" spans="1:101" ht="33.6" customHeight="1">
      <c r="A138" s="871"/>
      <c r="B138" s="864" t="s">
        <v>512</v>
      </c>
      <c r="C138" s="852" t="s">
        <v>571</v>
      </c>
      <c r="D138" s="867"/>
      <c r="E138" s="867"/>
      <c r="F138" s="861" t="s">
        <v>572</v>
      </c>
      <c r="G138" s="861" t="s">
        <v>573</v>
      </c>
      <c r="H138" s="850">
        <f t="shared" si="91"/>
        <v>383</v>
      </c>
      <c r="I138" s="860">
        <v>383</v>
      </c>
      <c r="J138" s="860"/>
      <c r="K138" s="860"/>
      <c r="L138" s="860"/>
      <c r="M138" s="860"/>
      <c r="N138" s="860"/>
      <c r="O138" s="860"/>
      <c r="P138" s="860"/>
      <c r="Q138" s="860"/>
      <c r="R138" s="860"/>
      <c r="S138" s="860"/>
      <c r="T138" s="855">
        <f t="shared" si="83"/>
        <v>211.07599999999999</v>
      </c>
      <c r="U138" s="860">
        <v>211.07599999999999</v>
      </c>
      <c r="V138" s="860"/>
      <c r="W138" s="860"/>
      <c r="X138" s="860"/>
      <c r="Y138" s="860"/>
      <c r="Z138" s="860"/>
      <c r="AA138" s="860"/>
      <c r="AB138" s="860"/>
      <c r="AC138" s="860"/>
      <c r="AD138" s="860"/>
      <c r="AE138" s="860"/>
      <c r="AF138" s="860"/>
      <c r="AG138" s="860"/>
      <c r="AH138" s="860"/>
      <c r="AI138" s="860">
        <f t="shared" si="106"/>
        <v>878</v>
      </c>
      <c r="AJ138" s="860">
        <v>878</v>
      </c>
      <c r="AK138" s="860"/>
      <c r="AL138" s="860"/>
      <c r="AM138" s="860"/>
      <c r="AN138" s="860"/>
      <c r="AO138" s="860"/>
      <c r="AP138" s="860"/>
      <c r="AQ138" s="860"/>
      <c r="AR138" s="860"/>
      <c r="AS138" s="860"/>
      <c r="AT138" s="860"/>
      <c r="AU138" s="860"/>
      <c r="AV138" s="860"/>
      <c r="AW138" s="860"/>
      <c r="AX138" s="860"/>
      <c r="AY138" s="855">
        <f t="shared" si="104"/>
        <v>0</v>
      </c>
      <c r="AZ138" s="860"/>
      <c r="BA138" s="860"/>
      <c r="BB138" s="860"/>
      <c r="BC138" s="860"/>
      <c r="BD138" s="860"/>
      <c r="BE138" s="860"/>
      <c r="BF138" s="860"/>
      <c r="BG138" s="860"/>
      <c r="BH138" s="860"/>
      <c r="BI138" s="860"/>
      <c r="BJ138" s="860"/>
      <c r="BK138" s="860"/>
      <c r="BL138" s="860"/>
      <c r="BM138" s="860"/>
      <c r="BN138" s="860"/>
      <c r="BO138" s="848">
        <f t="shared" si="80"/>
        <v>168.30099999999999</v>
      </c>
      <c r="BP138" s="860">
        <v>168.30099999999999</v>
      </c>
      <c r="BQ138" s="860"/>
      <c r="BR138" s="860"/>
      <c r="BS138" s="860"/>
      <c r="BT138" s="860"/>
      <c r="BU138" s="860"/>
      <c r="BV138" s="860"/>
      <c r="BW138" s="860"/>
      <c r="BX138" s="860"/>
      <c r="BY138" s="860"/>
      <c r="BZ138" s="860"/>
      <c r="CA138" s="860"/>
      <c r="CB138" s="860"/>
      <c r="CC138" s="860"/>
      <c r="CD138" s="860"/>
      <c r="CE138" s="860"/>
      <c r="CF138" s="848"/>
      <c r="CG138" s="848"/>
      <c r="CH138" s="848"/>
      <c r="CI138" s="848"/>
      <c r="CJ138" s="848"/>
      <c r="CK138" s="848"/>
      <c r="CL138" s="848"/>
      <c r="CM138" s="848"/>
      <c r="CN138" s="848"/>
      <c r="CO138" s="848"/>
      <c r="CP138" s="848"/>
      <c r="CQ138" s="848"/>
      <c r="CR138" s="848"/>
      <c r="CS138" s="848"/>
      <c r="CT138" s="848"/>
      <c r="CU138" s="848"/>
      <c r="CV138" s="848"/>
      <c r="CW138" s="848"/>
    </row>
    <row r="139" spans="1:101" ht="56.45" customHeight="1">
      <c r="A139" s="871"/>
      <c r="B139" s="864" t="s">
        <v>512</v>
      </c>
      <c r="C139" s="852" t="s">
        <v>574</v>
      </c>
      <c r="D139" s="867"/>
      <c r="E139" s="867"/>
      <c r="F139" s="861" t="s">
        <v>575</v>
      </c>
      <c r="G139" s="861" t="s">
        <v>576</v>
      </c>
      <c r="H139" s="850">
        <f t="shared" si="91"/>
        <v>704</v>
      </c>
      <c r="I139" s="860">
        <v>704</v>
      </c>
      <c r="J139" s="860"/>
      <c r="K139" s="860"/>
      <c r="L139" s="860"/>
      <c r="M139" s="860"/>
      <c r="N139" s="860"/>
      <c r="O139" s="860"/>
      <c r="P139" s="860"/>
      <c r="Q139" s="860"/>
      <c r="R139" s="860"/>
      <c r="S139" s="860"/>
      <c r="T139" s="855">
        <f t="shared" si="83"/>
        <v>388.34</v>
      </c>
      <c r="U139" s="860">
        <v>388.34</v>
      </c>
      <c r="V139" s="860"/>
      <c r="W139" s="860"/>
      <c r="X139" s="860"/>
      <c r="Y139" s="860"/>
      <c r="Z139" s="860"/>
      <c r="AA139" s="860"/>
      <c r="AB139" s="860"/>
      <c r="AC139" s="860"/>
      <c r="AD139" s="860"/>
      <c r="AE139" s="860"/>
      <c r="AF139" s="860"/>
      <c r="AG139" s="860"/>
      <c r="AH139" s="860"/>
      <c r="AI139" s="860">
        <f t="shared" si="106"/>
        <v>496</v>
      </c>
      <c r="AJ139" s="860">
        <v>496</v>
      </c>
      <c r="AK139" s="860"/>
      <c r="AL139" s="860"/>
      <c r="AM139" s="860"/>
      <c r="AN139" s="860"/>
      <c r="AO139" s="860"/>
      <c r="AP139" s="860"/>
      <c r="AQ139" s="860"/>
      <c r="AR139" s="860"/>
      <c r="AS139" s="860"/>
      <c r="AT139" s="860"/>
      <c r="AU139" s="860"/>
      <c r="AV139" s="860"/>
      <c r="AW139" s="860"/>
      <c r="AX139" s="860"/>
      <c r="AY139" s="855">
        <f t="shared" si="104"/>
        <v>0</v>
      </c>
      <c r="AZ139" s="860"/>
      <c r="BA139" s="860"/>
      <c r="BB139" s="860"/>
      <c r="BC139" s="860"/>
      <c r="BD139" s="860"/>
      <c r="BE139" s="860"/>
      <c r="BF139" s="860"/>
      <c r="BG139" s="860"/>
      <c r="BH139" s="860"/>
      <c r="BI139" s="860"/>
      <c r="BJ139" s="860"/>
      <c r="BK139" s="860"/>
      <c r="BL139" s="860"/>
      <c r="BM139" s="860"/>
      <c r="BN139" s="860"/>
      <c r="BO139" s="848">
        <f t="shared" ref="BO139:BO202" si="107">SUM(BP139:CE139)</f>
        <v>104.779</v>
      </c>
      <c r="BP139" s="860">
        <v>104.779</v>
      </c>
      <c r="BQ139" s="860"/>
      <c r="BR139" s="860"/>
      <c r="BS139" s="860"/>
      <c r="BT139" s="860"/>
      <c r="BU139" s="860"/>
      <c r="BV139" s="860"/>
      <c r="BW139" s="860"/>
      <c r="BX139" s="860"/>
      <c r="BY139" s="860"/>
      <c r="BZ139" s="860"/>
      <c r="CA139" s="860"/>
      <c r="CB139" s="860"/>
      <c r="CC139" s="860"/>
      <c r="CD139" s="860"/>
      <c r="CE139" s="860"/>
      <c r="CF139" s="848"/>
      <c r="CG139" s="848"/>
      <c r="CH139" s="848"/>
      <c r="CI139" s="848"/>
      <c r="CJ139" s="848"/>
      <c r="CK139" s="848"/>
      <c r="CL139" s="848"/>
      <c r="CM139" s="848"/>
      <c r="CN139" s="848"/>
      <c r="CO139" s="848"/>
      <c r="CP139" s="848"/>
      <c r="CQ139" s="848"/>
      <c r="CR139" s="848"/>
      <c r="CS139" s="848"/>
      <c r="CT139" s="848"/>
      <c r="CU139" s="848"/>
      <c r="CV139" s="848"/>
      <c r="CW139" s="848"/>
    </row>
    <row r="140" spans="1:101" s="851" customFormat="1" ht="32.450000000000003" customHeight="1">
      <c r="A140" s="868" t="s">
        <v>577</v>
      </c>
      <c r="B140" s="868"/>
      <c r="C140" s="857" t="s">
        <v>578</v>
      </c>
      <c r="D140" s="867">
        <f>D141+D143</f>
        <v>0</v>
      </c>
      <c r="E140" s="864">
        <f t="shared" ref="E140:AX140" si="108">E141+E143</f>
        <v>0</v>
      </c>
      <c r="F140" s="869"/>
      <c r="G140" s="864"/>
      <c r="H140" s="850">
        <f t="shared" si="91"/>
        <v>70055</v>
      </c>
      <c r="I140" s="870">
        <f t="shared" si="108"/>
        <v>0</v>
      </c>
      <c r="J140" s="870">
        <f t="shared" si="108"/>
        <v>39058</v>
      </c>
      <c r="K140" s="870">
        <f t="shared" si="108"/>
        <v>0</v>
      </c>
      <c r="L140" s="870">
        <f t="shared" si="108"/>
        <v>0</v>
      </c>
      <c r="M140" s="870">
        <f t="shared" si="108"/>
        <v>0</v>
      </c>
      <c r="N140" s="870">
        <f t="shared" si="108"/>
        <v>0</v>
      </c>
      <c r="O140" s="870">
        <f t="shared" si="108"/>
        <v>0</v>
      </c>
      <c r="P140" s="870">
        <f t="shared" si="108"/>
        <v>0</v>
      </c>
      <c r="Q140" s="870">
        <f t="shared" si="108"/>
        <v>30699</v>
      </c>
      <c r="R140" s="870">
        <v>0</v>
      </c>
      <c r="S140" s="870">
        <f t="shared" si="108"/>
        <v>298</v>
      </c>
      <c r="T140" s="870">
        <f t="shared" si="108"/>
        <v>48359.022149999997</v>
      </c>
      <c r="U140" s="870">
        <f t="shared" si="108"/>
        <v>0</v>
      </c>
      <c r="V140" s="870">
        <f t="shared" si="108"/>
        <v>0</v>
      </c>
      <c r="W140" s="870">
        <f t="shared" si="108"/>
        <v>41359.022149999997</v>
      </c>
      <c r="X140" s="870">
        <f t="shared" si="108"/>
        <v>0</v>
      </c>
      <c r="Y140" s="870">
        <f t="shared" si="108"/>
        <v>0</v>
      </c>
      <c r="Z140" s="870">
        <f t="shared" si="108"/>
        <v>7000</v>
      </c>
      <c r="AA140" s="870">
        <f t="shared" si="108"/>
        <v>0</v>
      </c>
      <c r="AB140" s="870">
        <f t="shared" si="108"/>
        <v>0</v>
      </c>
      <c r="AC140" s="870">
        <f t="shared" si="108"/>
        <v>0</v>
      </c>
      <c r="AD140" s="870">
        <f t="shared" si="108"/>
        <v>0</v>
      </c>
      <c r="AE140" s="870">
        <f t="shared" si="108"/>
        <v>0</v>
      </c>
      <c r="AF140" s="870">
        <f t="shared" si="108"/>
        <v>0</v>
      </c>
      <c r="AG140" s="870">
        <f t="shared" si="108"/>
        <v>0</v>
      </c>
      <c r="AH140" s="870">
        <f t="shared" si="108"/>
        <v>0</v>
      </c>
      <c r="AI140" s="870">
        <f t="shared" si="108"/>
        <v>86020</v>
      </c>
      <c r="AJ140" s="870">
        <f t="shared" si="108"/>
        <v>0</v>
      </c>
      <c r="AK140" s="870">
        <f t="shared" si="108"/>
        <v>0</v>
      </c>
      <c r="AL140" s="870">
        <f t="shared" si="108"/>
        <v>78970</v>
      </c>
      <c r="AM140" s="870">
        <f t="shared" si="108"/>
        <v>0</v>
      </c>
      <c r="AN140" s="870">
        <f t="shared" si="108"/>
        <v>0</v>
      </c>
      <c r="AO140" s="870">
        <f t="shared" si="108"/>
        <v>7000</v>
      </c>
      <c r="AP140" s="870">
        <f t="shared" si="108"/>
        <v>0</v>
      </c>
      <c r="AQ140" s="870">
        <f t="shared" si="108"/>
        <v>0</v>
      </c>
      <c r="AR140" s="870">
        <f t="shared" si="108"/>
        <v>0</v>
      </c>
      <c r="AS140" s="870">
        <f t="shared" si="108"/>
        <v>0</v>
      </c>
      <c r="AT140" s="870">
        <f t="shared" si="108"/>
        <v>0</v>
      </c>
      <c r="AU140" s="870">
        <f t="shared" si="108"/>
        <v>0</v>
      </c>
      <c r="AV140" s="870">
        <f t="shared" si="108"/>
        <v>0</v>
      </c>
      <c r="AW140" s="870">
        <f>AW141+AW143</f>
        <v>0</v>
      </c>
      <c r="AX140" s="870">
        <f t="shared" si="108"/>
        <v>50</v>
      </c>
      <c r="AY140" s="870">
        <f>AY141+AY143+AY149</f>
        <v>47846.540999999997</v>
      </c>
      <c r="AZ140" s="870">
        <f t="shared" ref="AZ140:BJ140" si="109">AZ141+AZ143</f>
        <v>0</v>
      </c>
      <c r="BA140" s="870">
        <f t="shared" si="109"/>
        <v>0</v>
      </c>
      <c r="BB140" s="870">
        <f t="shared" si="109"/>
        <v>0</v>
      </c>
      <c r="BC140" s="870">
        <f t="shared" si="109"/>
        <v>0</v>
      </c>
      <c r="BD140" s="870">
        <f t="shared" si="109"/>
        <v>0</v>
      </c>
      <c r="BE140" s="870">
        <f t="shared" si="109"/>
        <v>0</v>
      </c>
      <c r="BF140" s="870">
        <f t="shared" si="109"/>
        <v>0</v>
      </c>
      <c r="BG140" s="870">
        <f t="shared" si="109"/>
        <v>0</v>
      </c>
      <c r="BH140" s="870">
        <f t="shared" si="109"/>
        <v>0</v>
      </c>
      <c r="BI140" s="870">
        <f t="shared" si="109"/>
        <v>0</v>
      </c>
      <c r="BJ140" s="870">
        <f t="shared" si="109"/>
        <v>0</v>
      </c>
      <c r="BK140" s="870">
        <f t="shared" ref="BK140:BM140" si="110">BK141+BK143+BK149</f>
        <v>0</v>
      </c>
      <c r="BL140" s="870">
        <f t="shared" si="110"/>
        <v>0</v>
      </c>
      <c r="BM140" s="870">
        <f t="shared" si="110"/>
        <v>44717</v>
      </c>
      <c r="BN140" s="870">
        <f>BN141+BN143+BN149</f>
        <v>3129.5410000000002</v>
      </c>
      <c r="BO140" s="848">
        <f t="shared" si="107"/>
        <v>15189.371417000002</v>
      </c>
      <c r="BP140" s="870">
        <f t="shared" ref="BP140:BZ140" si="111">BP141+BP143+BP149</f>
        <v>0</v>
      </c>
      <c r="BQ140" s="870">
        <f t="shared" si="111"/>
        <v>0</v>
      </c>
      <c r="BR140" s="870">
        <f t="shared" si="111"/>
        <v>0</v>
      </c>
      <c r="BS140" s="870">
        <f>BS141+BS143+BS149</f>
        <v>7284.6684170000008</v>
      </c>
      <c r="BT140" s="870">
        <f t="shared" si="111"/>
        <v>0</v>
      </c>
      <c r="BU140" s="870">
        <f t="shared" si="111"/>
        <v>0</v>
      </c>
      <c r="BV140" s="870">
        <f t="shared" si="111"/>
        <v>0</v>
      </c>
      <c r="BW140" s="870">
        <f t="shared" si="111"/>
        <v>0</v>
      </c>
      <c r="BX140" s="870">
        <f t="shared" si="111"/>
        <v>0</v>
      </c>
      <c r="BY140" s="870">
        <f t="shared" si="111"/>
        <v>0</v>
      </c>
      <c r="BZ140" s="870">
        <f t="shared" si="111"/>
        <v>0</v>
      </c>
      <c r="CA140" s="870">
        <f>CA141+CA143+CA149</f>
        <v>0</v>
      </c>
      <c r="CB140" s="870">
        <f t="shared" ref="CB140:CE140" si="112">CB141+CB143+CB149</f>
        <v>3340.1619999999998</v>
      </c>
      <c r="CC140" s="870">
        <f t="shared" si="112"/>
        <v>0</v>
      </c>
      <c r="CD140" s="870">
        <f t="shared" si="112"/>
        <v>1435</v>
      </c>
      <c r="CE140" s="870">
        <f t="shared" si="112"/>
        <v>3129.5410000000002</v>
      </c>
      <c r="CF140" s="848">
        <f t="shared" ref="CF140:CF181" si="113">BO140/AY140%</f>
        <v>31.746017788412338</v>
      </c>
      <c r="CG140" s="848"/>
      <c r="CH140" s="848"/>
      <c r="CI140" s="848"/>
      <c r="CJ140" s="848"/>
      <c r="CK140" s="848"/>
      <c r="CL140" s="848"/>
      <c r="CM140" s="848"/>
      <c r="CN140" s="848"/>
      <c r="CO140" s="848"/>
      <c r="CP140" s="848"/>
      <c r="CQ140" s="848"/>
      <c r="CR140" s="848"/>
      <c r="CS140" s="848"/>
      <c r="CT140" s="848">
        <f t="shared" ref="CT140:CT146" si="114">CB140/BM140*100</f>
        <v>7.4695574390052988</v>
      </c>
      <c r="CU140" s="848"/>
      <c r="CV140" s="848">
        <f t="shared" ref="CV140:CW199" si="115">CD140/BM140*100</f>
        <v>3.2090703759196724</v>
      </c>
      <c r="CW140" s="848">
        <f t="shared" si="115"/>
        <v>100</v>
      </c>
    </row>
    <row r="141" spans="1:101" s="851" customFormat="1" ht="16.899999999999999" customHeight="1">
      <c r="A141" s="868" t="s">
        <v>30</v>
      </c>
      <c r="B141" s="868"/>
      <c r="C141" s="857" t="s">
        <v>358</v>
      </c>
      <c r="D141" s="867">
        <f>D142</f>
        <v>0</v>
      </c>
      <c r="E141" s="864">
        <f t="shared" ref="E141:AX141" si="116">E142</f>
        <v>0</v>
      </c>
      <c r="F141" s="869"/>
      <c r="G141" s="864"/>
      <c r="H141" s="850">
        <f t="shared" si="91"/>
        <v>298</v>
      </c>
      <c r="I141" s="870">
        <f t="shared" si="116"/>
        <v>0</v>
      </c>
      <c r="J141" s="870">
        <f t="shared" si="116"/>
        <v>0</v>
      </c>
      <c r="K141" s="870">
        <f t="shared" si="116"/>
        <v>0</v>
      </c>
      <c r="L141" s="870">
        <f t="shared" si="116"/>
        <v>0</v>
      </c>
      <c r="M141" s="870">
        <f t="shared" si="116"/>
        <v>0</v>
      </c>
      <c r="N141" s="870">
        <f t="shared" si="116"/>
        <v>0</v>
      </c>
      <c r="O141" s="870">
        <f t="shared" si="116"/>
        <v>0</v>
      </c>
      <c r="P141" s="870">
        <f t="shared" si="116"/>
        <v>0</v>
      </c>
      <c r="Q141" s="870">
        <f t="shared" si="116"/>
        <v>0</v>
      </c>
      <c r="R141" s="870">
        <v>0</v>
      </c>
      <c r="S141" s="870">
        <f t="shared" si="116"/>
        <v>298</v>
      </c>
      <c r="T141" s="870">
        <f t="shared" si="116"/>
        <v>0</v>
      </c>
      <c r="U141" s="870">
        <f t="shared" si="116"/>
        <v>0</v>
      </c>
      <c r="V141" s="870">
        <f t="shared" si="116"/>
        <v>0</v>
      </c>
      <c r="W141" s="870">
        <f t="shared" si="116"/>
        <v>0</v>
      </c>
      <c r="X141" s="870">
        <f t="shared" si="116"/>
        <v>0</v>
      </c>
      <c r="Y141" s="870">
        <f t="shared" si="116"/>
        <v>0</v>
      </c>
      <c r="Z141" s="870">
        <f t="shared" si="116"/>
        <v>0</v>
      </c>
      <c r="AA141" s="870">
        <f t="shared" si="116"/>
        <v>0</v>
      </c>
      <c r="AB141" s="870">
        <f t="shared" si="116"/>
        <v>0</v>
      </c>
      <c r="AC141" s="870">
        <f t="shared" si="116"/>
        <v>0</v>
      </c>
      <c r="AD141" s="870">
        <f t="shared" si="116"/>
        <v>0</v>
      </c>
      <c r="AE141" s="870">
        <f t="shared" si="116"/>
        <v>0</v>
      </c>
      <c r="AF141" s="870">
        <f t="shared" si="116"/>
        <v>0</v>
      </c>
      <c r="AG141" s="870">
        <f t="shared" si="116"/>
        <v>0</v>
      </c>
      <c r="AH141" s="870">
        <f t="shared" si="116"/>
        <v>0</v>
      </c>
      <c r="AI141" s="870">
        <f t="shared" si="116"/>
        <v>0</v>
      </c>
      <c r="AJ141" s="870">
        <f t="shared" si="116"/>
        <v>0</v>
      </c>
      <c r="AK141" s="870">
        <f t="shared" si="116"/>
        <v>0</v>
      </c>
      <c r="AL141" s="870">
        <f t="shared" si="116"/>
        <v>0</v>
      </c>
      <c r="AM141" s="870">
        <f t="shared" si="116"/>
        <v>0</v>
      </c>
      <c r="AN141" s="870">
        <f t="shared" si="116"/>
        <v>0</v>
      </c>
      <c r="AO141" s="870">
        <f t="shared" si="116"/>
        <v>0</v>
      </c>
      <c r="AP141" s="870">
        <f t="shared" si="116"/>
        <v>0</v>
      </c>
      <c r="AQ141" s="870">
        <f t="shared" si="116"/>
        <v>0</v>
      </c>
      <c r="AR141" s="870">
        <f t="shared" si="116"/>
        <v>0</v>
      </c>
      <c r="AS141" s="870">
        <f t="shared" si="116"/>
        <v>0</v>
      </c>
      <c r="AT141" s="870">
        <f t="shared" si="116"/>
        <v>0</v>
      </c>
      <c r="AU141" s="870">
        <f t="shared" si="116"/>
        <v>0</v>
      </c>
      <c r="AV141" s="870">
        <f t="shared" si="116"/>
        <v>0</v>
      </c>
      <c r="AW141" s="870">
        <f t="shared" si="116"/>
        <v>0</v>
      </c>
      <c r="AX141" s="870">
        <f t="shared" si="116"/>
        <v>0</v>
      </c>
      <c r="AY141" s="870">
        <f>AY142</f>
        <v>129.541</v>
      </c>
      <c r="AZ141" s="870">
        <f t="shared" ref="AZ141:CE141" si="117">AZ142</f>
        <v>0</v>
      </c>
      <c r="BA141" s="870">
        <f t="shared" si="117"/>
        <v>0</v>
      </c>
      <c r="BB141" s="870">
        <f t="shared" si="117"/>
        <v>0</v>
      </c>
      <c r="BC141" s="870">
        <f t="shared" si="117"/>
        <v>0</v>
      </c>
      <c r="BD141" s="870">
        <f t="shared" si="117"/>
        <v>0</v>
      </c>
      <c r="BE141" s="870">
        <f t="shared" si="117"/>
        <v>0</v>
      </c>
      <c r="BF141" s="870">
        <f t="shared" si="117"/>
        <v>0</v>
      </c>
      <c r="BG141" s="870">
        <f t="shared" si="117"/>
        <v>0</v>
      </c>
      <c r="BH141" s="870">
        <f t="shared" si="117"/>
        <v>0</v>
      </c>
      <c r="BI141" s="870">
        <f t="shared" si="117"/>
        <v>0</v>
      </c>
      <c r="BJ141" s="870">
        <f t="shared" si="117"/>
        <v>0</v>
      </c>
      <c r="BK141" s="870">
        <f t="shared" si="117"/>
        <v>0</v>
      </c>
      <c r="BL141" s="870">
        <f t="shared" si="117"/>
        <v>0</v>
      </c>
      <c r="BM141" s="870">
        <f t="shared" si="117"/>
        <v>0</v>
      </c>
      <c r="BN141" s="870">
        <f t="shared" si="117"/>
        <v>129.541</v>
      </c>
      <c r="BO141" s="848">
        <f t="shared" si="107"/>
        <v>129.541</v>
      </c>
      <c r="BP141" s="870">
        <f t="shared" si="117"/>
        <v>0</v>
      </c>
      <c r="BQ141" s="870">
        <f t="shared" si="117"/>
        <v>0</v>
      </c>
      <c r="BR141" s="870">
        <f t="shared" si="117"/>
        <v>0</v>
      </c>
      <c r="BS141" s="870">
        <f t="shared" si="117"/>
        <v>0</v>
      </c>
      <c r="BT141" s="870">
        <f t="shared" si="117"/>
        <v>0</v>
      </c>
      <c r="BU141" s="870">
        <f t="shared" si="117"/>
        <v>0</v>
      </c>
      <c r="BV141" s="870">
        <f t="shared" si="117"/>
        <v>0</v>
      </c>
      <c r="BW141" s="870">
        <f t="shared" si="117"/>
        <v>0</v>
      </c>
      <c r="BX141" s="870">
        <f t="shared" si="117"/>
        <v>0</v>
      </c>
      <c r="BY141" s="870">
        <f t="shared" si="117"/>
        <v>0</v>
      </c>
      <c r="BZ141" s="870">
        <f t="shared" si="117"/>
        <v>0</v>
      </c>
      <c r="CA141" s="870">
        <f t="shared" si="117"/>
        <v>0</v>
      </c>
      <c r="CB141" s="870">
        <f t="shared" si="117"/>
        <v>0</v>
      </c>
      <c r="CC141" s="870">
        <f t="shared" si="117"/>
        <v>0</v>
      </c>
      <c r="CD141" s="870">
        <f t="shared" si="117"/>
        <v>0</v>
      </c>
      <c r="CE141" s="870">
        <f t="shared" si="117"/>
        <v>129.541</v>
      </c>
      <c r="CF141" s="848">
        <f t="shared" si="113"/>
        <v>100</v>
      </c>
      <c r="CG141" s="848"/>
      <c r="CH141" s="848"/>
      <c r="CI141" s="848"/>
      <c r="CJ141" s="848"/>
      <c r="CK141" s="848"/>
      <c r="CL141" s="848"/>
      <c r="CM141" s="848"/>
      <c r="CN141" s="848"/>
      <c r="CO141" s="848"/>
      <c r="CP141" s="848"/>
      <c r="CQ141" s="848"/>
      <c r="CR141" s="848"/>
      <c r="CS141" s="848"/>
      <c r="CT141" s="848"/>
      <c r="CU141" s="848"/>
      <c r="CV141" s="848"/>
      <c r="CW141" s="848">
        <f t="shared" si="115"/>
        <v>100</v>
      </c>
    </row>
    <row r="142" spans="1:101" ht="36.6" customHeight="1">
      <c r="A142" s="871"/>
      <c r="B142" s="852" t="s">
        <v>578</v>
      </c>
      <c r="C142" s="852" t="s">
        <v>579</v>
      </c>
      <c r="D142" s="867"/>
      <c r="E142" s="867"/>
      <c r="F142" s="853">
        <v>2015</v>
      </c>
      <c r="G142" s="846" t="s">
        <v>580</v>
      </c>
      <c r="H142" s="850">
        <f t="shared" si="91"/>
        <v>298</v>
      </c>
      <c r="I142" s="860"/>
      <c r="J142" s="860"/>
      <c r="K142" s="860"/>
      <c r="L142" s="860"/>
      <c r="M142" s="860"/>
      <c r="N142" s="860"/>
      <c r="O142" s="860"/>
      <c r="P142" s="860"/>
      <c r="Q142" s="860"/>
      <c r="R142" s="860"/>
      <c r="S142" s="860">
        <v>298</v>
      </c>
      <c r="T142" s="855">
        <f t="shared" si="83"/>
        <v>0</v>
      </c>
      <c r="U142" s="860"/>
      <c r="V142" s="860"/>
      <c r="W142" s="860"/>
      <c r="X142" s="860"/>
      <c r="Y142" s="860"/>
      <c r="Z142" s="860"/>
      <c r="AA142" s="860"/>
      <c r="AB142" s="860"/>
      <c r="AC142" s="860"/>
      <c r="AD142" s="860"/>
      <c r="AE142" s="860"/>
      <c r="AF142" s="860"/>
      <c r="AG142" s="860"/>
      <c r="AH142" s="860"/>
      <c r="AI142" s="860"/>
      <c r="AJ142" s="860"/>
      <c r="AK142" s="860"/>
      <c r="AL142" s="860"/>
      <c r="AM142" s="860"/>
      <c r="AN142" s="860"/>
      <c r="AO142" s="860"/>
      <c r="AP142" s="860"/>
      <c r="AQ142" s="860"/>
      <c r="AR142" s="860"/>
      <c r="AS142" s="860"/>
      <c r="AT142" s="860"/>
      <c r="AU142" s="860"/>
      <c r="AV142" s="860"/>
      <c r="AW142" s="860"/>
      <c r="AX142" s="860"/>
      <c r="AY142" s="855">
        <f t="shared" ref="AY142:AY150" si="118">SUM(AZ142:BN142)</f>
        <v>129.541</v>
      </c>
      <c r="AZ142" s="860"/>
      <c r="BA142" s="860"/>
      <c r="BB142" s="860"/>
      <c r="BC142" s="860"/>
      <c r="BD142" s="860"/>
      <c r="BE142" s="860"/>
      <c r="BF142" s="860"/>
      <c r="BG142" s="860"/>
      <c r="BH142" s="860"/>
      <c r="BI142" s="860"/>
      <c r="BJ142" s="860"/>
      <c r="BK142" s="860"/>
      <c r="BL142" s="860"/>
      <c r="BM142" s="860"/>
      <c r="BN142" s="860">
        <f>'[10]bieu cu'!H90</f>
        <v>129.541</v>
      </c>
      <c r="BO142" s="848">
        <f t="shared" si="107"/>
        <v>129.541</v>
      </c>
      <c r="BP142" s="860"/>
      <c r="BQ142" s="860"/>
      <c r="BR142" s="860"/>
      <c r="BS142" s="860"/>
      <c r="BT142" s="860"/>
      <c r="BU142" s="860"/>
      <c r="BV142" s="860"/>
      <c r="BW142" s="860"/>
      <c r="BX142" s="860"/>
      <c r="BY142" s="860"/>
      <c r="BZ142" s="860"/>
      <c r="CA142" s="860"/>
      <c r="CB142" s="860"/>
      <c r="CC142" s="860"/>
      <c r="CD142" s="860"/>
      <c r="CE142" s="860">
        <f>'[10]bieu cu'!M90</f>
        <v>129.541</v>
      </c>
      <c r="CF142" s="848">
        <f t="shared" si="113"/>
        <v>100</v>
      </c>
      <c r="CG142" s="848"/>
      <c r="CH142" s="848"/>
      <c r="CI142" s="848"/>
      <c r="CJ142" s="848"/>
      <c r="CK142" s="848"/>
      <c r="CL142" s="848"/>
      <c r="CM142" s="848"/>
      <c r="CN142" s="848"/>
      <c r="CO142" s="848"/>
      <c r="CP142" s="848"/>
      <c r="CQ142" s="848"/>
      <c r="CR142" s="848"/>
      <c r="CS142" s="848"/>
      <c r="CT142" s="848"/>
      <c r="CU142" s="848"/>
      <c r="CV142" s="848"/>
      <c r="CW142" s="848">
        <f t="shared" si="115"/>
        <v>100</v>
      </c>
    </row>
    <row r="143" spans="1:101" s="851" customFormat="1" ht="30" customHeight="1">
      <c r="A143" s="868" t="s">
        <v>31</v>
      </c>
      <c r="B143" s="868"/>
      <c r="C143" s="857" t="s">
        <v>410</v>
      </c>
      <c r="D143" s="867">
        <f>D144+D145+D146</f>
        <v>0</v>
      </c>
      <c r="E143" s="864">
        <f t="shared" ref="E143" si="119">E144+E145+E146</f>
        <v>0</v>
      </c>
      <c r="F143" s="869"/>
      <c r="G143" s="864"/>
      <c r="H143" s="850">
        <f t="shared" si="91"/>
        <v>69757</v>
      </c>
      <c r="I143" s="870">
        <f t="shared" ref="I143:AX143" si="120">SUM(I144:I148)</f>
        <v>0</v>
      </c>
      <c r="J143" s="870">
        <f t="shared" si="120"/>
        <v>39058</v>
      </c>
      <c r="K143" s="870">
        <f t="shared" si="120"/>
        <v>0</v>
      </c>
      <c r="L143" s="870">
        <f t="shared" si="120"/>
        <v>0</v>
      </c>
      <c r="M143" s="870">
        <f t="shared" si="120"/>
        <v>0</v>
      </c>
      <c r="N143" s="870">
        <f t="shared" si="120"/>
        <v>0</v>
      </c>
      <c r="O143" s="870">
        <f t="shared" si="120"/>
        <v>0</v>
      </c>
      <c r="P143" s="870">
        <f t="shared" si="120"/>
        <v>0</v>
      </c>
      <c r="Q143" s="870">
        <f t="shared" si="120"/>
        <v>30699</v>
      </c>
      <c r="R143" s="870">
        <v>0</v>
      </c>
      <c r="S143" s="870">
        <f t="shared" si="120"/>
        <v>0</v>
      </c>
      <c r="T143" s="870">
        <f t="shared" ref="T143:AH143" si="121">SUM(T144:T148)</f>
        <v>48359.022149999997</v>
      </c>
      <c r="U143" s="870">
        <f t="shared" si="121"/>
        <v>0</v>
      </c>
      <c r="V143" s="870">
        <f t="shared" si="121"/>
        <v>0</v>
      </c>
      <c r="W143" s="870">
        <f t="shared" si="121"/>
        <v>41359.022149999997</v>
      </c>
      <c r="X143" s="870">
        <f t="shared" si="121"/>
        <v>0</v>
      </c>
      <c r="Y143" s="870">
        <f t="shared" si="121"/>
        <v>0</v>
      </c>
      <c r="Z143" s="870">
        <f t="shared" si="121"/>
        <v>7000</v>
      </c>
      <c r="AA143" s="870">
        <f t="shared" si="121"/>
        <v>0</v>
      </c>
      <c r="AB143" s="870">
        <f t="shared" si="121"/>
        <v>0</v>
      </c>
      <c r="AC143" s="870">
        <f t="shared" si="121"/>
        <v>0</v>
      </c>
      <c r="AD143" s="870">
        <f t="shared" si="121"/>
        <v>0</v>
      </c>
      <c r="AE143" s="870">
        <f t="shared" si="121"/>
        <v>0</v>
      </c>
      <c r="AF143" s="870">
        <f t="shared" si="121"/>
        <v>0</v>
      </c>
      <c r="AG143" s="870">
        <f t="shared" si="121"/>
        <v>0</v>
      </c>
      <c r="AH143" s="870">
        <f t="shared" si="121"/>
        <v>0</v>
      </c>
      <c r="AI143" s="870">
        <f>SUM(AI144:AI148)</f>
        <v>86020</v>
      </c>
      <c r="AJ143" s="870">
        <f t="shared" si="120"/>
        <v>0</v>
      </c>
      <c r="AK143" s="870">
        <f t="shared" si="120"/>
        <v>0</v>
      </c>
      <c r="AL143" s="870">
        <f t="shared" si="120"/>
        <v>78970</v>
      </c>
      <c r="AM143" s="870">
        <f t="shared" si="120"/>
        <v>0</v>
      </c>
      <c r="AN143" s="870">
        <f t="shared" si="120"/>
        <v>0</v>
      </c>
      <c r="AO143" s="870">
        <f t="shared" si="120"/>
        <v>7000</v>
      </c>
      <c r="AP143" s="870">
        <f t="shared" si="120"/>
        <v>0</v>
      </c>
      <c r="AQ143" s="870">
        <f t="shared" si="120"/>
        <v>0</v>
      </c>
      <c r="AR143" s="870">
        <f t="shared" si="120"/>
        <v>0</v>
      </c>
      <c r="AS143" s="870">
        <f t="shared" si="120"/>
        <v>0</v>
      </c>
      <c r="AT143" s="870">
        <f t="shared" si="120"/>
        <v>0</v>
      </c>
      <c r="AU143" s="870">
        <f t="shared" si="120"/>
        <v>0</v>
      </c>
      <c r="AV143" s="870">
        <f t="shared" si="120"/>
        <v>0</v>
      </c>
      <c r="AW143" s="870">
        <f t="shared" si="120"/>
        <v>0</v>
      </c>
      <c r="AX143" s="870">
        <f t="shared" si="120"/>
        <v>50</v>
      </c>
      <c r="AY143" s="870">
        <f t="shared" ref="AY143:CS143" si="122">SUM(AY144:AY148)</f>
        <v>46717</v>
      </c>
      <c r="AZ143" s="870">
        <f t="shared" si="122"/>
        <v>0</v>
      </c>
      <c r="BA143" s="870">
        <f t="shared" si="122"/>
        <v>0</v>
      </c>
      <c r="BB143" s="870">
        <f t="shared" si="122"/>
        <v>0</v>
      </c>
      <c r="BC143" s="870">
        <f t="shared" si="122"/>
        <v>0</v>
      </c>
      <c r="BD143" s="870">
        <f t="shared" si="122"/>
        <v>0</v>
      </c>
      <c r="BE143" s="870">
        <f t="shared" si="122"/>
        <v>0</v>
      </c>
      <c r="BF143" s="870">
        <f t="shared" si="122"/>
        <v>0</v>
      </c>
      <c r="BG143" s="870">
        <f t="shared" si="122"/>
        <v>0</v>
      </c>
      <c r="BH143" s="870">
        <f t="shared" si="122"/>
        <v>0</v>
      </c>
      <c r="BI143" s="870">
        <f t="shared" si="122"/>
        <v>0</v>
      </c>
      <c r="BJ143" s="870">
        <f t="shared" si="122"/>
        <v>0</v>
      </c>
      <c r="BK143" s="870">
        <f t="shared" si="122"/>
        <v>0</v>
      </c>
      <c r="BL143" s="870">
        <f t="shared" si="122"/>
        <v>0</v>
      </c>
      <c r="BM143" s="870">
        <f t="shared" si="122"/>
        <v>44717</v>
      </c>
      <c r="BN143" s="870">
        <f t="shared" si="122"/>
        <v>2000</v>
      </c>
      <c r="BO143" s="848">
        <f t="shared" si="107"/>
        <v>12624.830417000001</v>
      </c>
      <c r="BP143" s="870">
        <f t="shared" si="122"/>
        <v>0</v>
      </c>
      <c r="BQ143" s="870">
        <f t="shared" si="122"/>
        <v>0</v>
      </c>
      <c r="BR143" s="870">
        <f t="shared" si="122"/>
        <v>0</v>
      </c>
      <c r="BS143" s="870">
        <f t="shared" si="122"/>
        <v>7284.6684170000008</v>
      </c>
      <c r="BT143" s="870">
        <f t="shared" si="122"/>
        <v>0</v>
      </c>
      <c r="BU143" s="870">
        <f t="shared" si="122"/>
        <v>0</v>
      </c>
      <c r="BV143" s="870">
        <f t="shared" si="122"/>
        <v>0</v>
      </c>
      <c r="BW143" s="870">
        <f t="shared" si="122"/>
        <v>0</v>
      </c>
      <c r="BX143" s="870">
        <f t="shared" si="122"/>
        <v>0</v>
      </c>
      <c r="BY143" s="870">
        <f t="shared" si="122"/>
        <v>0</v>
      </c>
      <c r="BZ143" s="870">
        <f t="shared" si="122"/>
        <v>0</v>
      </c>
      <c r="CA143" s="870">
        <f t="shared" si="122"/>
        <v>0</v>
      </c>
      <c r="CB143" s="870">
        <f t="shared" si="122"/>
        <v>3340.1619999999998</v>
      </c>
      <c r="CC143" s="870">
        <f t="shared" si="122"/>
        <v>0</v>
      </c>
      <c r="CD143" s="870">
        <f t="shared" si="122"/>
        <v>0</v>
      </c>
      <c r="CE143" s="870">
        <f t="shared" si="122"/>
        <v>2000</v>
      </c>
      <c r="CF143" s="870">
        <f t="shared" si="122"/>
        <v>116.77390827230309</v>
      </c>
      <c r="CG143" s="848"/>
      <c r="CH143" s="848"/>
      <c r="CI143" s="848"/>
      <c r="CJ143" s="848"/>
      <c r="CK143" s="848"/>
      <c r="CL143" s="848"/>
      <c r="CM143" s="848"/>
      <c r="CN143" s="848"/>
      <c r="CO143" s="848"/>
      <c r="CP143" s="848"/>
      <c r="CQ143" s="848"/>
      <c r="CR143" s="848"/>
      <c r="CS143" s="870">
        <f t="shared" si="122"/>
        <v>0</v>
      </c>
      <c r="CT143" s="848">
        <f t="shared" si="114"/>
        <v>7.4695574390052988</v>
      </c>
      <c r="CU143" s="848"/>
      <c r="CV143" s="848">
        <f t="shared" si="115"/>
        <v>0</v>
      </c>
      <c r="CW143" s="848">
        <f t="shared" si="115"/>
        <v>100</v>
      </c>
    </row>
    <row r="144" spans="1:101" ht="30" customHeight="1">
      <c r="A144" s="871"/>
      <c r="B144" s="852" t="s">
        <v>578</v>
      </c>
      <c r="C144" s="852" t="s">
        <v>581</v>
      </c>
      <c r="D144" s="867"/>
      <c r="E144" s="867"/>
      <c r="F144" s="853" t="s">
        <v>582</v>
      </c>
      <c r="G144" s="846" t="s">
        <v>583</v>
      </c>
      <c r="H144" s="850">
        <f t="shared" si="91"/>
        <v>30699</v>
      </c>
      <c r="I144" s="855"/>
      <c r="J144" s="860"/>
      <c r="K144" s="860"/>
      <c r="L144" s="860"/>
      <c r="M144" s="860"/>
      <c r="N144" s="860"/>
      <c r="O144" s="860"/>
      <c r="P144" s="860"/>
      <c r="Q144" s="860">
        <v>30699</v>
      </c>
      <c r="R144" s="860"/>
      <c r="S144" s="860"/>
      <c r="T144" s="855">
        <f t="shared" ref="T144:T208" si="123">SUM(U144:AH144)</f>
        <v>22822.422149999999</v>
      </c>
      <c r="U144" s="860"/>
      <c r="V144" s="860"/>
      <c r="W144" s="860">
        <v>15822.42215</v>
      </c>
      <c r="X144" s="860"/>
      <c r="Y144" s="860"/>
      <c r="Z144" s="860">
        <v>7000</v>
      </c>
      <c r="AA144" s="860"/>
      <c r="AB144" s="860"/>
      <c r="AC144" s="860"/>
      <c r="AD144" s="860"/>
      <c r="AE144" s="860"/>
      <c r="AF144" s="860"/>
      <c r="AG144" s="860"/>
      <c r="AH144" s="860"/>
      <c r="AI144" s="860">
        <f>AL144+AO144</f>
        <v>23460</v>
      </c>
      <c r="AJ144" s="860"/>
      <c r="AK144" s="860"/>
      <c r="AL144" s="860">
        <v>16460</v>
      </c>
      <c r="AM144" s="860"/>
      <c r="AN144" s="860"/>
      <c r="AO144" s="860">
        <v>7000</v>
      </c>
      <c r="AP144" s="860"/>
      <c r="AQ144" s="860"/>
      <c r="AR144" s="860"/>
      <c r="AS144" s="860"/>
      <c r="AT144" s="860"/>
      <c r="AU144" s="860"/>
      <c r="AV144" s="860"/>
      <c r="AW144" s="860"/>
      <c r="AX144" s="860"/>
      <c r="AY144" s="855">
        <f t="shared" si="118"/>
        <v>2000</v>
      </c>
      <c r="AZ144" s="860"/>
      <c r="BA144" s="860"/>
      <c r="BB144" s="860"/>
      <c r="BC144" s="860"/>
      <c r="BD144" s="860"/>
      <c r="BE144" s="860"/>
      <c r="BF144" s="860"/>
      <c r="BG144" s="860"/>
      <c r="BH144" s="860"/>
      <c r="BI144" s="860"/>
      <c r="BJ144" s="860"/>
      <c r="BK144" s="860"/>
      <c r="BL144" s="860"/>
      <c r="BM144" s="860"/>
      <c r="BN144" s="860">
        <f>'[10]bieu cu'!H103</f>
        <v>2000</v>
      </c>
      <c r="BO144" s="848">
        <f t="shared" si="107"/>
        <v>2065.047356</v>
      </c>
      <c r="BP144" s="860"/>
      <c r="BQ144" s="860"/>
      <c r="BR144" s="860"/>
      <c r="BS144" s="860">
        <v>65.047355999999994</v>
      </c>
      <c r="BT144" s="860"/>
      <c r="BU144" s="860"/>
      <c r="BV144" s="860"/>
      <c r="BW144" s="860"/>
      <c r="BX144" s="860"/>
      <c r="BY144" s="860"/>
      <c r="BZ144" s="860"/>
      <c r="CA144" s="860"/>
      <c r="CB144" s="860"/>
      <c r="CC144" s="860"/>
      <c r="CD144" s="860"/>
      <c r="CE144" s="860">
        <f>'[10]bieu cu'!M103</f>
        <v>2000</v>
      </c>
      <c r="CF144" s="848">
        <f t="shared" si="113"/>
        <v>103.2523678</v>
      </c>
      <c r="CG144" s="848"/>
      <c r="CH144" s="848"/>
      <c r="CI144" s="848"/>
      <c r="CJ144" s="848"/>
      <c r="CK144" s="848"/>
      <c r="CL144" s="848"/>
      <c r="CM144" s="848"/>
      <c r="CN144" s="848"/>
      <c r="CO144" s="848"/>
      <c r="CP144" s="848"/>
      <c r="CQ144" s="848"/>
      <c r="CR144" s="848"/>
      <c r="CS144" s="848"/>
      <c r="CT144" s="848"/>
      <c r="CU144" s="848"/>
      <c r="CV144" s="848"/>
      <c r="CW144" s="848">
        <f t="shared" si="115"/>
        <v>100</v>
      </c>
    </row>
    <row r="145" spans="1:101" ht="47.45" customHeight="1">
      <c r="A145" s="871"/>
      <c r="B145" s="852" t="s">
        <v>578</v>
      </c>
      <c r="C145" s="852" t="s">
        <v>584</v>
      </c>
      <c r="D145" s="867"/>
      <c r="E145" s="867"/>
      <c r="F145" s="858"/>
      <c r="G145" s="867"/>
      <c r="H145" s="850">
        <f t="shared" si="91"/>
        <v>0</v>
      </c>
      <c r="I145" s="860"/>
      <c r="J145" s="860"/>
      <c r="K145" s="860"/>
      <c r="L145" s="860"/>
      <c r="M145" s="860"/>
      <c r="N145" s="860"/>
      <c r="O145" s="860"/>
      <c r="P145" s="860"/>
      <c r="Q145" s="860"/>
      <c r="R145" s="860"/>
      <c r="S145" s="860"/>
      <c r="T145" s="855">
        <f t="shared" si="123"/>
        <v>0</v>
      </c>
      <c r="U145" s="860"/>
      <c r="V145" s="860"/>
      <c r="W145" s="860"/>
      <c r="X145" s="860"/>
      <c r="Y145" s="860"/>
      <c r="Z145" s="860"/>
      <c r="AA145" s="860"/>
      <c r="AB145" s="860"/>
      <c r="AC145" s="860"/>
      <c r="AD145" s="860"/>
      <c r="AE145" s="860"/>
      <c r="AF145" s="860"/>
      <c r="AG145" s="860"/>
      <c r="AH145" s="860"/>
      <c r="AI145" s="860">
        <f>AL145</f>
        <v>19717</v>
      </c>
      <c r="AJ145" s="860"/>
      <c r="AK145" s="860"/>
      <c r="AL145" s="860">
        <v>19717</v>
      </c>
      <c r="AM145" s="860"/>
      <c r="AN145" s="860"/>
      <c r="AO145" s="860"/>
      <c r="AP145" s="860"/>
      <c r="AQ145" s="860"/>
      <c r="AR145" s="860"/>
      <c r="AS145" s="860"/>
      <c r="AT145" s="860"/>
      <c r="AU145" s="860"/>
      <c r="AV145" s="860"/>
      <c r="AW145" s="860"/>
      <c r="AX145" s="860"/>
      <c r="AY145" s="855">
        <f t="shared" si="118"/>
        <v>19717</v>
      </c>
      <c r="AZ145" s="860"/>
      <c r="BA145" s="860"/>
      <c r="BB145" s="860"/>
      <c r="BC145" s="860"/>
      <c r="BD145" s="860"/>
      <c r="BE145" s="860"/>
      <c r="BF145" s="860"/>
      <c r="BG145" s="860"/>
      <c r="BH145" s="860"/>
      <c r="BI145" s="860"/>
      <c r="BJ145" s="860"/>
      <c r="BK145" s="860"/>
      <c r="BL145" s="860"/>
      <c r="BM145" s="860">
        <f>'[10]bieu cu'!H350</f>
        <v>19717</v>
      </c>
      <c r="BN145" s="860"/>
      <c r="BO145" s="848">
        <f t="shared" si="107"/>
        <v>134.16300000000001</v>
      </c>
      <c r="BP145" s="860"/>
      <c r="BQ145" s="860"/>
      <c r="BR145" s="860"/>
      <c r="BS145" s="860"/>
      <c r="BT145" s="860"/>
      <c r="BU145" s="860"/>
      <c r="BV145" s="860"/>
      <c r="BW145" s="860"/>
      <c r="BX145" s="860"/>
      <c r="BY145" s="860"/>
      <c r="BZ145" s="860"/>
      <c r="CA145" s="860"/>
      <c r="CB145" s="860">
        <f>'[10]bieu cu'!M350</f>
        <v>134.16300000000001</v>
      </c>
      <c r="CC145" s="860"/>
      <c r="CD145" s="860"/>
      <c r="CE145" s="860"/>
      <c r="CF145" s="848">
        <f t="shared" si="113"/>
        <v>0.68044327230308876</v>
      </c>
      <c r="CG145" s="848"/>
      <c r="CH145" s="848"/>
      <c r="CI145" s="848"/>
      <c r="CJ145" s="848"/>
      <c r="CK145" s="848"/>
      <c r="CL145" s="848"/>
      <c r="CM145" s="848"/>
      <c r="CN145" s="848"/>
      <c r="CO145" s="848"/>
      <c r="CP145" s="848"/>
      <c r="CQ145" s="848"/>
      <c r="CR145" s="848"/>
      <c r="CS145" s="848"/>
      <c r="CT145" s="848">
        <f t="shared" si="114"/>
        <v>0.68044327230308876</v>
      </c>
      <c r="CU145" s="848"/>
      <c r="CV145" s="848">
        <f t="shared" si="115"/>
        <v>0</v>
      </c>
      <c r="CW145" s="848"/>
    </row>
    <row r="146" spans="1:101" ht="46.15" customHeight="1">
      <c r="A146" s="871"/>
      <c r="B146" s="852" t="s">
        <v>578</v>
      </c>
      <c r="C146" s="852" t="s">
        <v>585</v>
      </c>
      <c r="D146" s="867"/>
      <c r="E146" s="867"/>
      <c r="F146" s="853" t="s">
        <v>586</v>
      </c>
      <c r="G146" s="846" t="s">
        <v>587</v>
      </c>
      <c r="H146" s="850">
        <f t="shared" si="91"/>
        <v>9308</v>
      </c>
      <c r="I146" s="876"/>
      <c r="J146" s="860">
        <v>9308</v>
      </c>
      <c r="K146" s="860"/>
      <c r="L146" s="860"/>
      <c r="M146" s="860"/>
      <c r="N146" s="860"/>
      <c r="O146" s="860"/>
      <c r="P146" s="860"/>
      <c r="Q146" s="860"/>
      <c r="R146" s="860"/>
      <c r="S146" s="860"/>
      <c r="T146" s="855">
        <f t="shared" si="123"/>
        <v>0</v>
      </c>
      <c r="U146" s="860"/>
      <c r="V146" s="860"/>
      <c r="W146" s="860"/>
      <c r="X146" s="860"/>
      <c r="Y146" s="860"/>
      <c r="Z146" s="860"/>
      <c r="AA146" s="860"/>
      <c r="AB146" s="860"/>
      <c r="AC146" s="860"/>
      <c r="AD146" s="860"/>
      <c r="AE146" s="860"/>
      <c r="AF146" s="860"/>
      <c r="AG146" s="860"/>
      <c r="AH146" s="860"/>
      <c r="AI146" s="860">
        <f>AL146</f>
        <v>2306</v>
      </c>
      <c r="AJ146" s="860"/>
      <c r="AK146" s="860"/>
      <c r="AL146" s="860">
        <v>2306</v>
      </c>
      <c r="AM146" s="860"/>
      <c r="AN146" s="860"/>
      <c r="AO146" s="860"/>
      <c r="AP146" s="860"/>
      <c r="AQ146" s="860"/>
      <c r="AR146" s="860"/>
      <c r="AS146" s="860"/>
      <c r="AT146" s="860"/>
      <c r="AU146" s="860"/>
      <c r="AV146" s="860"/>
      <c r="AW146" s="860"/>
      <c r="AX146" s="860"/>
      <c r="AY146" s="855">
        <f t="shared" si="118"/>
        <v>25000</v>
      </c>
      <c r="AZ146" s="860"/>
      <c r="BA146" s="860"/>
      <c r="BB146" s="860"/>
      <c r="BC146" s="860"/>
      <c r="BD146" s="860"/>
      <c r="BE146" s="860"/>
      <c r="BF146" s="860"/>
      <c r="BG146" s="860"/>
      <c r="BH146" s="860"/>
      <c r="BI146" s="860"/>
      <c r="BJ146" s="860"/>
      <c r="BK146" s="860"/>
      <c r="BL146" s="860"/>
      <c r="BM146" s="860">
        <f>'[10]bieu cu'!H351</f>
        <v>25000</v>
      </c>
      <c r="BN146" s="860"/>
      <c r="BO146" s="848">
        <f t="shared" si="107"/>
        <v>3210.2742999999996</v>
      </c>
      <c r="BP146" s="860"/>
      <c r="BQ146" s="860"/>
      <c r="BR146" s="860"/>
      <c r="BS146" s="860">
        <v>4.2752999999999997</v>
      </c>
      <c r="BT146" s="860"/>
      <c r="BU146" s="860"/>
      <c r="BV146" s="860"/>
      <c r="BW146" s="860"/>
      <c r="BX146" s="860"/>
      <c r="BY146" s="860"/>
      <c r="BZ146" s="860"/>
      <c r="CA146" s="860"/>
      <c r="CB146" s="860">
        <f>'[10]bieu cu'!M351</f>
        <v>3205.9989999999998</v>
      </c>
      <c r="CC146" s="860"/>
      <c r="CD146" s="860"/>
      <c r="CE146" s="860"/>
      <c r="CF146" s="848">
        <f t="shared" si="113"/>
        <v>12.841097199999998</v>
      </c>
      <c r="CG146" s="848"/>
      <c r="CH146" s="848"/>
      <c r="CI146" s="848"/>
      <c r="CJ146" s="848"/>
      <c r="CK146" s="848"/>
      <c r="CL146" s="848"/>
      <c r="CM146" s="848"/>
      <c r="CN146" s="848"/>
      <c r="CO146" s="848"/>
      <c r="CP146" s="848"/>
      <c r="CQ146" s="848"/>
      <c r="CR146" s="848"/>
      <c r="CS146" s="848"/>
      <c r="CT146" s="848">
        <f t="shared" si="114"/>
        <v>12.823995999999999</v>
      </c>
      <c r="CU146" s="848"/>
      <c r="CV146" s="848">
        <f t="shared" si="115"/>
        <v>0</v>
      </c>
      <c r="CW146" s="848"/>
    </row>
    <row r="147" spans="1:101" ht="46.15" customHeight="1">
      <c r="A147" s="871"/>
      <c r="B147" s="852" t="s">
        <v>578</v>
      </c>
      <c r="C147" s="852" t="s">
        <v>588</v>
      </c>
      <c r="D147" s="867"/>
      <c r="E147" s="867"/>
      <c r="F147" s="858"/>
      <c r="G147" s="867"/>
      <c r="H147" s="850">
        <f t="shared" si="91"/>
        <v>0</v>
      </c>
      <c r="I147" s="860"/>
      <c r="J147" s="860"/>
      <c r="K147" s="860"/>
      <c r="L147" s="860"/>
      <c r="M147" s="860"/>
      <c r="N147" s="860"/>
      <c r="O147" s="860"/>
      <c r="P147" s="860"/>
      <c r="Q147" s="860"/>
      <c r="R147" s="860"/>
      <c r="S147" s="860"/>
      <c r="T147" s="855">
        <f t="shared" si="123"/>
        <v>10000</v>
      </c>
      <c r="U147" s="860"/>
      <c r="V147" s="860"/>
      <c r="W147" s="860">
        <v>10000</v>
      </c>
      <c r="X147" s="860"/>
      <c r="Y147" s="860"/>
      <c r="Z147" s="860"/>
      <c r="AA147" s="860"/>
      <c r="AB147" s="860"/>
      <c r="AC147" s="860"/>
      <c r="AD147" s="860"/>
      <c r="AE147" s="860"/>
      <c r="AF147" s="860"/>
      <c r="AG147" s="860"/>
      <c r="AH147" s="860"/>
      <c r="AI147" s="860">
        <f>AL147</f>
        <v>25000</v>
      </c>
      <c r="AJ147" s="860"/>
      <c r="AK147" s="860"/>
      <c r="AL147" s="860">
        <v>25000</v>
      </c>
      <c r="AM147" s="860"/>
      <c r="AN147" s="860"/>
      <c r="AO147" s="860"/>
      <c r="AP147" s="860"/>
      <c r="AQ147" s="860"/>
      <c r="AR147" s="860"/>
      <c r="AS147" s="860"/>
      <c r="AT147" s="860"/>
      <c r="AU147" s="860"/>
      <c r="AV147" s="860"/>
      <c r="AW147" s="860"/>
      <c r="AX147" s="860"/>
      <c r="AY147" s="855">
        <f t="shared" si="118"/>
        <v>0</v>
      </c>
      <c r="AZ147" s="860"/>
      <c r="BA147" s="860"/>
      <c r="BB147" s="860"/>
      <c r="BC147" s="860"/>
      <c r="BD147" s="860"/>
      <c r="BE147" s="860"/>
      <c r="BF147" s="860"/>
      <c r="BG147" s="860"/>
      <c r="BH147" s="860"/>
      <c r="BI147" s="860"/>
      <c r="BJ147" s="860"/>
      <c r="BK147" s="860"/>
      <c r="BL147" s="860"/>
      <c r="BM147" s="860"/>
      <c r="BN147" s="860"/>
      <c r="BO147" s="848">
        <f t="shared" si="107"/>
        <v>5471.1673380000002</v>
      </c>
      <c r="BP147" s="860"/>
      <c r="BQ147" s="860"/>
      <c r="BR147" s="860"/>
      <c r="BS147" s="860">
        <v>5471.1673380000002</v>
      </c>
      <c r="BT147" s="860"/>
      <c r="BU147" s="860"/>
      <c r="BV147" s="860"/>
      <c r="BW147" s="860"/>
      <c r="BX147" s="860"/>
      <c r="BY147" s="860"/>
      <c r="BZ147" s="860"/>
      <c r="CA147" s="860"/>
      <c r="CB147" s="860"/>
      <c r="CC147" s="860"/>
      <c r="CD147" s="860"/>
      <c r="CE147" s="860"/>
      <c r="CF147" s="848"/>
      <c r="CG147" s="848"/>
      <c r="CH147" s="848"/>
      <c r="CI147" s="848"/>
      <c r="CJ147" s="848"/>
      <c r="CK147" s="848"/>
      <c r="CL147" s="848"/>
      <c r="CM147" s="848"/>
      <c r="CN147" s="848"/>
      <c r="CO147" s="848"/>
      <c r="CP147" s="848"/>
      <c r="CQ147" s="848"/>
      <c r="CR147" s="848"/>
      <c r="CS147" s="848"/>
      <c r="CT147" s="848"/>
      <c r="CU147" s="848"/>
      <c r="CV147" s="848"/>
      <c r="CW147" s="848"/>
    </row>
    <row r="148" spans="1:101" ht="46.15" customHeight="1">
      <c r="A148" s="871"/>
      <c r="B148" s="852" t="s">
        <v>578</v>
      </c>
      <c r="C148" s="852" t="s">
        <v>589</v>
      </c>
      <c r="D148" s="867"/>
      <c r="E148" s="867"/>
      <c r="F148" s="858"/>
      <c r="G148" s="867"/>
      <c r="H148" s="850">
        <f t="shared" si="91"/>
        <v>29750</v>
      </c>
      <c r="I148" s="860"/>
      <c r="J148" s="860">
        <v>29750</v>
      </c>
      <c r="K148" s="860"/>
      <c r="L148" s="860"/>
      <c r="M148" s="860"/>
      <c r="N148" s="860"/>
      <c r="O148" s="860"/>
      <c r="P148" s="860"/>
      <c r="Q148" s="860"/>
      <c r="R148" s="860"/>
      <c r="S148" s="860"/>
      <c r="T148" s="855">
        <f t="shared" si="123"/>
        <v>15536.6</v>
      </c>
      <c r="U148" s="860"/>
      <c r="V148" s="860"/>
      <c r="W148" s="860">
        <v>15536.6</v>
      </c>
      <c r="X148" s="860"/>
      <c r="Y148" s="860"/>
      <c r="Z148" s="860"/>
      <c r="AA148" s="860"/>
      <c r="AB148" s="860"/>
      <c r="AC148" s="860"/>
      <c r="AD148" s="860"/>
      <c r="AE148" s="860"/>
      <c r="AF148" s="860"/>
      <c r="AG148" s="860"/>
      <c r="AH148" s="860"/>
      <c r="AI148" s="860">
        <f>AL148+AX148</f>
        <v>15537</v>
      </c>
      <c r="AJ148" s="860"/>
      <c r="AK148" s="860"/>
      <c r="AL148" s="860">
        <v>15487</v>
      </c>
      <c r="AM148" s="860"/>
      <c r="AN148" s="860"/>
      <c r="AO148" s="860"/>
      <c r="AP148" s="860"/>
      <c r="AQ148" s="860"/>
      <c r="AR148" s="860"/>
      <c r="AS148" s="860"/>
      <c r="AT148" s="860"/>
      <c r="AU148" s="860"/>
      <c r="AV148" s="860"/>
      <c r="AW148" s="860"/>
      <c r="AX148" s="860">
        <v>50</v>
      </c>
      <c r="AY148" s="855">
        <f t="shared" si="118"/>
        <v>0</v>
      </c>
      <c r="AZ148" s="860"/>
      <c r="BA148" s="860"/>
      <c r="BB148" s="860"/>
      <c r="BC148" s="860"/>
      <c r="BD148" s="860"/>
      <c r="BE148" s="860"/>
      <c r="BF148" s="860"/>
      <c r="BG148" s="860"/>
      <c r="BH148" s="860"/>
      <c r="BI148" s="860"/>
      <c r="BJ148" s="860"/>
      <c r="BK148" s="860"/>
      <c r="BL148" s="860"/>
      <c r="BM148" s="860"/>
      <c r="BN148" s="860"/>
      <c r="BO148" s="848">
        <f t="shared" si="107"/>
        <v>1744.1784230000001</v>
      </c>
      <c r="BP148" s="860"/>
      <c r="BQ148" s="860"/>
      <c r="BR148" s="860"/>
      <c r="BS148" s="860">
        <v>1744.1784230000001</v>
      </c>
      <c r="BT148" s="860"/>
      <c r="BU148" s="860"/>
      <c r="BV148" s="860"/>
      <c r="BW148" s="860"/>
      <c r="BX148" s="860"/>
      <c r="BY148" s="860"/>
      <c r="BZ148" s="860"/>
      <c r="CA148" s="860"/>
      <c r="CB148" s="860"/>
      <c r="CC148" s="860"/>
      <c r="CD148" s="860"/>
      <c r="CE148" s="860"/>
      <c r="CF148" s="848"/>
      <c r="CG148" s="848"/>
      <c r="CH148" s="848"/>
      <c r="CI148" s="848"/>
      <c r="CJ148" s="848"/>
      <c r="CK148" s="848"/>
      <c r="CL148" s="848"/>
      <c r="CM148" s="848"/>
      <c r="CN148" s="848"/>
      <c r="CO148" s="848"/>
      <c r="CP148" s="848"/>
      <c r="CQ148" s="848"/>
      <c r="CR148" s="848"/>
      <c r="CS148" s="848"/>
      <c r="CT148" s="848"/>
      <c r="CU148" s="848"/>
      <c r="CV148" s="848"/>
      <c r="CW148" s="848"/>
    </row>
    <row r="149" spans="1:101" s="851" customFormat="1" ht="46.15" customHeight="1">
      <c r="A149" s="868" t="s">
        <v>590</v>
      </c>
      <c r="B149" s="868"/>
      <c r="C149" s="857" t="s">
        <v>371</v>
      </c>
      <c r="D149" s="867">
        <f>D150</f>
        <v>0</v>
      </c>
      <c r="E149" s="864">
        <f t="shared" ref="E149:BU149" si="124">E150</f>
        <v>0</v>
      </c>
      <c r="F149" s="869"/>
      <c r="G149" s="864"/>
      <c r="H149" s="850">
        <f t="shared" si="91"/>
        <v>9433</v>
      </c>
      <c r="I149" s="870">
        <f t="shared" ref="I149:AX149" si="125">I150</f>
        <v>0</v>
      </c>
      <c r="J149" s="870">
        <f t="shared" si="125"/>
        <v>0</v>
      </c>
      <c r="K149" s="870">
        <f t="shared" si="125"/>
        <v>0</v>
      </c>
      <c r="L149" s="870">
        <f t="shared" si="125"/>
        <v>0</v>
      </c>
      <c r="M149" s="870">
        <f t="shared" si="125"/>
        <v>0</v>
      </c>
      <c r="N149" s="870">
        <f t="shared" si="125"/>
        <v>0</v>
      </c>
      <c r="O149" s="870">
        <f t="shared" si="125"/>
        <v>0</v>
      </c>
      <c r="P149" s="870">
        <f t="shared" si="125"/>
        <v>0</v>
      </c>
      <c r="Q149" s="870">
        <f t="shared" si="125"/>
        <v>0</v>
      </c>
      <c r="R149" s="870">
        <v>0</v>
      </c>
      <c r="S149" s="870">
        <f t="shared" si="125"/>
        <v>9433</v>
      </c>
      <c r="T149" s="870">
        <f t="shared" si="125"/>
        <v>0</v>
      </c>
      <c r="U149" s="870">
        <f t="shared" si="125"/>
        <v>0</v>
      </c>
      <c r="V149" s="870">
        <f t="shared" si="125"/>
        <v>0</v>
      </c>
      <c r="W149" s="870">
        <f t="shared" si="125"/>
        <v>0</v>
      </c>
      <c r="X149" s="870">
        <f t="shared" si="125"/>
        <v>0</v>
      </c>
      <c r="Y149" s="870">
        <f t="shared" si="125"/>
        <v>0</v>
      </c>
      <c r="Z149" s="870">
        <f t="shared" si="125"/>
        <v>0</v>
      </c>
      <c r="AA149" s="870">
        <f t="shared" si="125"/>
        <v>0</v>
      </c>
      <c r="AB149" s="870">
        <f t="shared" si="125"/>
        <v>0</v>
      </c>
      <c r="AC149" s="870">
        <f t="shared" si="125"/>
        <v>0</v>
      </c>
      <c r="AD149" s="870">
        <f t="shared" si="125"/>
        <v>0</v>
      </c>
      <c r="AE149" s="870">
        <f t="shared" si="125"/>
        <v>0</v>
      </c>
      <c r="AF149" s="870">
        <f t="shared" si="125"/>
        <v>0</v>
      </c>
      <c r="AG149" s="870">
        <f t="shared" si="125"/>
        <v>0</v>
      </c>
      <c r="AH149" s="870">
        <f t="shared" si="125"/>
        <v>0</v>
      </c>
      <c r="AI149" s="870">
        <f t="shared" si="125"/>
        <v>0</v>
      </c>
      <c r="AJ149" s="870">
        <f t="shared" si="125"/>
        <v>0</v>
      </c>
      <c r="AK149" s="870">
        <f t="shared" si="125"/>
        <v>0</v>
      </c>
      <c r="AL149" s="870">
        <f t="shared" si="125"/>
        <v>0</v>
      </c>
      <c r="AM149" s="870">
        <f t="shared" si="125"/>
        <v>0</v>
      </c>
      <c r="AN149" s="870">
        <f t="shared" si="125"/>
        <v>0</v>
      </c>
      <c r="AO149" s="870">
        <f t="shared" si="125"/>
        <v>0</v>
      </c>
      <c r="AP149" s="870">
        <f t="shared" si="125"/>
        <v>0</v>
      </c>
      <c r="AQ149" s="870">
        <f t="shared" si="125"/>
        <v>0</v>
      </c>
      <c r="AR149" s="870">
        <f t="shared" si="125"/>
        <v>0</v>
      </c>
      <c r="AS149" s="870">
        <f t="shared" si="125"/>
        <v>0</v>
      </c>
      <c r="AT149" s="870">
        <f t="shared" si="125"/>
        <v>1500</v>
      </c>
      <c r="AU149" s="870">
        <f t="shared" si="125"/>
        <v>0</v>
      </c>
      <c r="AV149" s="870">
        <f t="shared" si="125"/>
        <v>0</v>
      </c>
      <c r="AW149" s="870">
        <f t="shared" si="125"/>
        <v>0</v>
      </c>
      <c r="AX149" s="870">
        <f t="shared" si="125"/>
        <v>0</v>
      </c>
      <c r="AY149" s="870">
        <f t="shared" si="124"/>
        <v>1000</v>
      </c>
      <c r="AZ149" s="870">
        <f t="shared" si="124"/>
        <v>0</v>
      </c>
      <c r="BA149" s="870">
        <f t="shared" si="124"/>
        <v>0</v>
      </c>
      <c r="BB149" s="870">
        <f t="shared" si="124"/>
        <v>0</v>
      </c>
      <c r="BC149" s="870">
        <f t="shared" si="124"/>
        <v>0</v>
      </c>
      <c r="BD149" s="870">
        <f t="shared" si="124"/>
        <v>0</v>
      </c>
      <c r="BE149" s="870">
        <f t="shared" si="124"/>
        <v>0</v>
      </c>
      <c r="BF149" s="870">
        <f t="shared" si="124"/>
        <v>0</v>
      </c>
      <c r="BG149" s="870">
        <f t="shared" si="124"/>
        <v>0</v>
      </c>
      <c r="BH149" s="870">
        <f t="shared" si="124"/>
        <v>0</v>
      </c>
      <c r="BI149" s="870">
        <f t="shared" si="124"/>
        <v>0</v>
      </c>
      <c r="BJ149" s="870">
        <f t="shared" si="124"/>
        <v>0</v>
      </c>
      <c r="BK149" s="870">
        <f t="shared" si="124"/>
        <v>0</v>
      </c>
      <c r="BL149" s="870">
        <f t="shared" si="124"/>
        <v>0</v>
      </c>
      <c r="BM149" s="870">
        <f t="shared" si="124"/>
        <v>0</v>
      </c>
      <c r="BN149" s="870">
        <f t="shared" si="124"/>
        <v>1000</v>
      </c>
      <c r="BO149" s="848">
        <f t="shared" si="107"/>
        <v>2435</v>
      </c>
      <c r="BP149" s="870">
        <f t="shared" si="124"/>
        <v>0</v>
      </c>
      <c r="BQ149" s="870">
        <f t="shared" si="124"/>
        <v>0</v>
      </c>
      <c r="BR149" s="870">
        <f t="shared" si="124"/>
        <v>0</v>
      </c>
      <c r="BS149" s="870">
        <f t="shared" si="124"/>
        <v>0</v>
      </c>
      <c r="BT149" s="870">
        <f t="shared" si="124"/>
        <v>0</v>
      </c>
      <c r="BU149" s="870">
        <f t="shared" si="124"/>
        <v>0</v>
      </c>
      <c r="BV149" s="870">
        <f t="shared" ref="BV149:CE149" si="126">BV150</f>
        <v>0</v>
      </c>
      <c r="BW149" s="870">
        <f t="shared" si="126"/>
        <v>0</v>
      </c>
      <c r="BX149" s="870">
        <f t="shared" si="126"/>
        <v>0</v>
      </c>
      <c r="BY149" s="870">
        <f t="shared" si="126"/>
        <v>0</v>
      </c>
      <c r="BZ149" s="870">
        <f t="shared" si="126"/>
        <v>0</v>
      </c>
      <c r="CA149" s="870">
        <f t="shared" si="126"/>
        <v>0</v>
      </c>
      <c r="CB149" s="870">
        <f t="shared" si="126"/>
        <v>0</v>
      </c>
      <c r="CC149" s="870">
        <f t="shared" si="126"/>
        <v>0</v>
      </c>
      <c r="CD149" s="870">
        <f t="shared" si="126"/>
        <v>1435</v>
      </c>
      <c r="CE149" s="870">
        <f t="shared" si="126"/>
        <v>1000</v>
      </c>
      <c r="CF149" s="848">
        <f t="shared" si="113"/>
        <v>243.5</v>
      </c>
      <c r="CG149" s="848"/>
      <c r="CH149" s="848"/>
      <c r="CI149" s="848"/>
      <c r="CJ149" s="848"/>
      <c r="CK149" s="848"/>
      <c r="CL149" s="848"/>
      <c r="CM149" s="848"/>
      <c r="CN149" s="848"/>
      <c r="CO149" s="848"/>
      <c r="CP149" s="848"/>
      <c r="CQ149" s="848"/>
      <c r="CR149" s="848"/>
      <c r="CS149" s="848"/>
      <c r="CT149" s="848"/>
      <c r="CU149" s="848"/>
      <c r="CV149" s="848"/>
      <c r="CW149" s="848">
        <f t="shared" si="115"/>
        <v>100</v>
      </c>
    </row>
    <row r="150" spans="1:101" ht="46.15" customHeight="1">
      <c r="A150" s="871"/>
      <c r="B150" s="852" t="s">
        <v>578</v>
      </c>
      <c r="C150" s="852" t="s">
        <v>591</v>
      </c>
      <c r="D150" s="867"/>
      <c r="E150" s="867"/>
      <c r="F150" s="853" t="s">
        <v>544</v>
      </c>
      <c r="G150" s="846" t="s">
        <v>592</v>
      </c>
      <c r="H150" s="850">
        <f t="shared" si="91"/>
        <v>9433</v>
      </c>
      <c r="I150" s="876"/>
      <c r="J150" s="860"/>
      <c r="K150" s="860"/>
      <c r="L150" s="860"/>
      <c r="M150" s="860"/>
      <c r="N150" s="860"/>
      <c r="O150" s="860"/>
      <c r="P150" s="860"/>
      <c r="Q150" s="860"/>
      <c r="R150" s="860"/>
      <c r="S150" s="860">
        <v>9433</v>
      </c>
      <c r="T150" s="855">
        <f t="shared" si="123"/>
        <v>0</v>
      </c>
      <c r="U150" s="860"/>
      <c r="V150" s="860"/>
      <c r="W150" s="860"/>
      <c r="X150" s="860"/>
      <c r="Y150" s="860"/>
      <c r="Z150" s="860"/>
      <c r="AA150" s="860"/>
      <c r="AB150" s="860"/>
      <c r="AC150" s="860"/>
      <c r="AD150" s="860"/>
      <c r="AE150" s="860"/>
      <c r="AF150" s="860"/>
      <c r="AG150" s="860"/>
      <c r="AH150" s="860"/>
      <c r="AI150" s="860">
        <f>AL150</f>
        <v>0</v>
      </c>
      <c r="AJ150" s="860"/>
      <c r="AK150" s="860"/>
      <c r="AL150" s="860"/>
      <c r="AM150" s="860"/>
      <c r="AN150" s="860"/>
      <c r="AO150" s="860"/>
      <c r="AP150" s="860"/>
      <c r="AQ150" s="860"/>
      <c r="AR150" s="860"/>
      <c r="AS150" s="860"/>
      <c r="AT150" s="860">
        <v>1500</v>
      </c>
      <c r="AU150" s="860"/>
      <c r="AV150" s="860"/>
      <c r="AW150" s="860"/>
      <c r="AX150" s="860"/>
      <c r="AY150" s="855">
        <f t="shared" si="118"/>
        <v>1000</v>
      </c>
      <c r="AZ150" s="860"/>
      <c r="BA150" s="860"/>
      <c r="BB150" s="860"/>
      <c r="BC150" s="860"/>
      <c r="BD150" s="860"/>
      <c r="BE150" s="860"/>
      <c r="BF150" s="860"/>
      <c r="BG150" s="860"/>
      <c r="BH150" s="860"/>
      <c r="BI150" s="860"/>
      <c r="BJ150" s="860"/>
      <c r="BK150" s="860"/>
      <c r="BL150" s="860"/>
      <c r="BM150" s="860"/>
      <c r="BN150" s="860">
        <v>1000</v>
      </c>
      <c r="BO150" s="848">
        <f t="shared" si="107"/>
        <v>2435</v>
      </c>
      <c r="BP150" s="860"/>
      <c r="BQ150" s="860"/>
      <c r="BR150" s="860"/>
      <c r="BS150" s="860"/>
      <c r="BT150" s="860"/>
      <c r="BU150" s="860"/>
      <c r="BV150" s="860"/>
      <c r="BW150" s="860"/>
      <c r="BX150" s="860"/>
      <c r="BY150" s="860"/>
      <c r="BZ150" s="860"/>
      <c r="CA150" s="860"/>
      <c r="CB150" s="860"/>
      <c r="CC150" s="860"/>
      <c r="CD150" s="860">
        <v>1435</v>
      </c>
      <c r="CE150" s="860">
        <v>1000</v>
      </c>
      <c r="CF150" s="848">
        <f t="shared" si="113"/>
        <v>243.5</v>
      </c>
      <c r="CG150" s="848"/>
      <c r="CH150" s="848"/>
      <c r="CI150" s="848"/>
      <c r="CJ150" s="848"/>
      <c r="CK150" s="848"/>
      <c r="CL150" s="848"/>
      <c r="CM150" s="848"/>
      <c r="CN150" s="848"/>
      <c r="CO150" s="848"/>
      <c r="CP150" s="848"/>
      <c r="CQ150" s="848"/>
      <c r="CR150" s="848"/>
      <c r="CS150" s="848"/>
      <c r="CT150" s="848"/>
      <c r="CU150" s="848"/>
      <c r="CV150" s="848"/>
      <c r="CW150" s="848">
        <f t="shared" si="115"/>
        <v>100</v>
      </c>
    </row>
    <row r="151" spans="1:101" s="851" customFormat="1" ht="27" customHeight="1">
      <c r="A151" s="868" t="s">
        <v>593</v>
      </c>
      <c r="B151" s="868"/>
      <c r="C151" s="864" t="s">
        <v>594</v>
      </c>
      <c r="D151" s="867">
        <f>D152+D155</f>
        <v>0</v>
      </c>
      <c r="E151" s="864">
        <f t="shared" ref="E151:BZ151" si="127">E152+E155</f>
        <v>0</v>
      </c>
      <c r="F151" s="869"/>
      <c r="G151" s="864"/>
      <c r="H151" s="850">
        <f t="shared" si="91"/>
        <v>37178.252718999996</v>
      </c>
      <c r="I151" s="870">
        <f>I152+I155</f>
        <v>14054</v>
      </c>
      <c r="J151" s="870">
        <f t="shared" ref="J151:AX151" si="128">J152+J155</f>
        <v>0</v>
      </c>
      <c r="K151" s="870">
        <f t="shared" si="128"/>
        <v>0</v>
      </c>
      <c r="L151" s="870">
        <f t="shared" si="128"/>
        <v>0</v>
      </c>
      <c r="M151" s="870">
        <f t="shared" si="128"/>
        <v>0</v>
      </c>
      <c r="N151" s="870">
        <f t="shared" si="128"/>
        <v>0</v>
      </c>
      <c r="O151" s="870">
        <f t="shared" si="128"/>
        <v>0</v>
      </c>
      <c r="P151" s="870">
        <f t="shared" si="128"/>
        <v>0</v>
      </c>
      <c r="Q151" s="870">
        <f t="shared" si="128"/>
        <v>0</v>
      </c>
      <c r="R151" s="870">
        <v>21255.252719</v>
      </c>
      <c r="S151" s="870">
        <f t="shared" si="128"/>
        <v>1869</v>
      </c>
      <c r="T151" s="870">
        <f t="shared" si="128"/>
        <v>49467.295548000002</v>
      </c>
      <c r="U151" s="870">
        <f t="shared" si="128"/>
        <v>7203.3873999999987</v>
      </c>
      <c r="V151" s="870">
        <f t="shared" si="128"/>
        <v>0</v>
      </c>
      <c r="W151" s="870">
        <f t="shared" si="128"/>
        <v>1000</v>
      </c>
      <c r="X151" s="870">
        <f t="shared" si="128"/>
        <v>0</v>
      </c>
      <c r="Y151" s="870">
        <f t="shared" si="128"/>
        <v>0</v>
      </c>
      <c r="Z151" s="870">
        <f t="shared" si="128"/>
        <v>0</v>
      </c>
      <c r="AA151" s="870">
        <f t="shared" si="128"/>
        <v>0</v>
      </c>
      <c r="AB151" s="870">
        <f t="shared" si="128"/>
        <v>0</v>
      </c>
      <c r="AC151" s="870">
        <f t="shared" si="128"/>
        <v>20355.633319</v>
      </c>
      <c r="AD151" s="870">
        <f t="shared" si="128"/>
        <v>0</v>
      </c>
      <c r="AE151" s="870">
        <f t="shared" si="128"/>
        <v>0</v>
      </c>
      <c r="AF151" s="870">
        <f t="shared" si="128"/>
        <v>0</v>
      </c>
      <c r="AG151" s="870">
        <f t="shared" si="128"/>
        <v>0</v>
      </c>
      <c r="AH151" s="870">
        <f t="shared" si="128"/>
        <v>20908.274829000002</v>
      </c>
      <c r="AI151" s="870">
        <f t="shared" si="128"/>
        <v>36617</v>
      </c>
      <c r="AJ151" s="870">
        <f t="shared" si="128"/>
        <v>10771</v>
      </c>
      <c r="AK151" s="870">
        <f t="shared" si="128"/>
        <v>0</v>
      </c>
      <c r="AL151" s="870">
        <f t="shared" si="128"/>
        <v>3800</v>
      </c>
      <c r="AM151" s="870">
        <f t="shared" si="128"/>
        <v>0</v>
      </c>
      <c r="AN151" s="870">
        <f t="shared" si="128"/>
        <v>0</v>
      </c>
      <c r="AO151" s="870">
        <f t="shared" si="128"/>
        <v>0</v>
      </c>
      <c r="AP151" s="870">
        <f t="shared" si="128"/>
        <v>0</v>
      </c>
      <c r="AQ151" s="870">
        <f t="shared" si="128"/>
        <v>0</v>
      </c>
      <c r="AR151" s="870">
        <f t="shared" si="128"/>
        <v>0</v>
      </c>
      <c r="AS151" s="870">
        <f t="shared" si="128"/>
        <v>0</v>
      </c>
      <c r="AT151" s="870">
        <f t="shared" si="128"/>
        <v>0</v>
      </c>
      <c r="AU151" s="870">
        <f t="shared" si="128"/>
        <v>0</v>
      </c>
      <c r="AV151" s="870">
        <f t="shared" si="128"/>
        <v>0</v>
      </c>
      <c r="AW151" s="870">
        <f t="shared" si="128"/>
        <v>0</v>
      </c>
      <c r="AX151" s="870">
        <f t="shared" si="128"/>
        <v>22046</v>
      </c>
      <c r="AY151" s="870">
        <f>AY152+AY155+AY180</f>
        <v>6128</v>
      </c>
      <c r="AZ151" s="870">
        <f t="shared" si="127"/>
        <v>0</v>
      </c>
      <c r="BA151" s="870"/>
      <c r="BB151" s="870"/>
      <c r="BC151" s="870">
        <f>BC152+BC155+BC180</f>
        <v>5000</v>
      </c>
      <c r="BD151" s="870">
        <f t="shared" ref="BD151:BR151" si="129">BD152+BD155+BD180</f>
        <v>0</v>
      </c>
      <c r="BE151" s="870">
        <f t="shared" si="129"/>
        <v>0</v>
      </c>
      <c r="BF151" s="870">
        <f t="shared" si="129"/>
        <v>0</v>
      </c>
      <c r="BG151" s="870">
        <f t="shared" si="129"/>
        <v>0</v>
      </c>
      <c r="BH151" s="870">
        <f t="shared" si="129"/>
        <v>0</v>
      </c>
      <c r="BI151" s="870">
        <f t="shared" si="129"/>
        <v>0</v>
      </c>
      <c r="BJ151" s="870">
        <f t="shared" si="129"/>
        <v>0</v>
      </c>
      <c r="BK151" s="870">
        <f t="shared" si="129"/>
        <v>869</v>
      </c>
      <c r="BL151" s="870">
        <f t="shared" si="129"/>
        <v>0</v>
      </c>
      <c r="BM151" s="870">
        <f t="shared" si="129"/>
        <v>0</v>
      </c>
      <c r="BN151" s="870">
        <f t="shared" si="129"/>
        <v>259</v>
      </c>
      <c r="BO151" s="848">
        <f t="shared" si="107"/>
        <v>11725.026496</v>
      </c>
      <c r="BP151" s="870">
        <f t="shared" si="129"/>
        <v>5176.7641890000004</v>
      </c>
      <c r="BQ151" s="870">
        <f t="shared" si="129"/>
        <v>0</v>
      </c>
      <c r="BR151" s="870">
        <f t="shared" si="129"/>
        <v>0</v>
      </c>
      <c r="BS151" s="870">
        <f>BS152+BS155+BS180</f>
        <v>5424.8693069999999</v>
      </c>
      <c r="BT151" s="870">
        <f t="shared" si="127"/>
        <v>0</v>
      </c>
      <c r="BU151" s="870"/>
      <c r="BV151" s="870">
        <f t="shared" si="127"/>
        <v>0</v>
      </c>
      <c r="BW151" s="870">
        <f t="shared" si="127"/>
        <v>0</v>
      </c>
      <c r="BX151" s="870">
        <f t="shared" si="127"/>
        <v>0</v>
      </c>
      <c r="BY151" s="870">
        <f t="shared" si="127"/>
        <v>0</v>
      </c>
      <c r="BZ151" s="870">
        <f t="shared" si="127"/>
        <v>0</v>
      </c>
      <c r="CA151" s="870">
        <f>CA152+CA155+CA180</f>
        <v>868.50900000000001</v>
      </c>
      <c r="CB151" s="870">
        <f t="shared" ref="CB151:CE151" si="130">CB152+CB155+CB180</f>
        <v>0</v>
      </c>
      <c r="CC151" s="870">
        <f t="shared" si="130"/>
        <v>0</v>
      </c>
      <c r="CD151" s="870">
        <f t="shared" si="130"/>
        <v>0</v>
      </c>
      <c r="CE151" s="870">
        <f t="shared" si="130"/>
        <v>254.88399999999999</v>
      </c>
      <c r="CF151" s="848">
        <f t="shared" si="113"/>
        <v>191.33528877284596</v>
      </c>
      <c r="CG151" s="848"/>
      <c r="CH151" s="848"/>
      <c r="CI151" s="848"/>
      <c r="CJ151" s="848"/>
      <c r="CK151" s="848"/>
      <c r="CL151" s="848"/>
      <c r="CM151" s="848"/>
      <c r="CN151" s="848"/>
      <c r="CO151" s="848"/>
      <c r="CP151" s="848"/>
      <c r="CQ151" s="848"/>
      <c r="CR151" s="848">
        <f t="shared" ref="CR151" si="131">CA151/BK151*100</f>
        <v>99.943498273878021</v>
      </c>
      <c r="CS151" s="848"/>
      <c r="CT151" s="848"/>
      <c r="CU151" s="848"/>
      <c r="CV151" s="848"/>
      <c r="CW151" s="848">
        <f t="shared" si="115"/>
        <v>98.410810810810801</v>
      </c>
    </row>
    <row r="152" spans="1:101" s="851" customFormat="1" ht="27" customHeight="1">
      <c r="A152" s="868" t="s">
        <v>30</v>
      </c>
      <c r="B152" s="868"/>
      <c r="C152" s="864" t="s">
        <v>358</v>
      </c>
      <c r="D152" s="867">
        <f>D153</f>
        <v>0</v>
      </c>
      <c r="E152" s="864">
        <f t="shared" ref="E152:BP152" si="132">E153</f>
        <v>0</v>
      </c>
      <c r="F152" s="869"/>
      <c r="G152" s="864"/>
      <c r="H152" s="850">
        <f t="shared" si="91"/>
        <v>21255.252719</v>
      </c>
      <c r="I152" s="870">
        <f t="shared" si="132"/>
        <v>0</v>
      </c>
      <c r="J152" s="870">
        <f t="shared" si="132"/>
        <v>0</v>
      </c>
      <c r="K152" s="870">
        <f t="shared" si="132"/>
        <v>0</v>
      </c>
      <c r="L152" s="870">
        <f t="shared" si="132"/>
        <v>0</v>
      </c>
      <c r="M152" s="870">
        <f t="shared" si="132"/>
        <v>0</v>
      </c>
      <c r="N152" s="870">
        <f t="shared" si="132"/>
        <v>0</v>
      </c>
      <c r="O152" s="870">
        <f t="shared" si="132"/>
        <v>0</v>
      </c>
      <c r="P152" s="870">
        <f t="shared" si="132"/>
        <v>0</v>
      </c>
      <c r="Q152" s="870">
        <f t="shared" si="132"/>
        <v>0</v>
      </c>
      <c r="R152" s="870">
        <v>21255.252719</v>
      </c>
      <c r="S152" s="870">
        <f t="shared" si="132"/>
        <v>0</v>
      </c>
      <c r="T152" s="870">
        <f t="shared" si="132"/>
        <v>0</v>
      </c>
      <c r="U152" s="870">
        <f t="shared" si="132"/>
        <v>0</v>
      </c>
      <c r="V152" s="870">
        <f t="shared" si="132"/>
        <v>0</v>
      </c>
      <c r="W152" s="870">
        <f t="shared" si="132"/>
        <v>0</v>
      </c>
      <c r="X152" s="870">
        <f t="shared" si="132"/>
        <v>0</v>
      </c>
      <c r="Y152" s="870">
        <f t="shared" si="132"/>
        <v>0</v>
      </c>
      <c r="Z152" s="870">
        <f t="shared" si="132"/>
        <v>0</v>
      </c>
      <c r="AA152" s="870">
        <f t="shared" si="132"/>
        <v>0</v>
      </c>
      <c r="AB152" s="870">
        <f t="shared" si="132"/>
        <v>0</v>
      </c>
      <c r="AC152" s="870">
        <f t="shared" si="132"/>
        <v>0</v>
      </c>
      <c r="AD152" s="870">
        <f t="shared" si="132"/>
        <v>0</v>
      </c>
      <c r="AE152" s="870">
        <f t="shared" si="132"/>
        <v>0</v>
      </c>
      <c r="AF152" s="870">
        <f t="shared" si="132"/>
        <v>0</v>
      </c>
      <c r="AG152" s="870">
        <f t="shared" si="132"/>
        <v>0</v>
      </c>
      <c r="AH152" s="870">
        <f t="shared" si="132"/>
        <v>0</v>
      </c>
      <c r="AI152" s="870">
        <f t="shared" si="132"/>
        <v>259</v>
      </c>
      <c r="AJ152" s="870">
        <f t="shared" si="132"/>
        <v>0</v>
      </c>
      <c r="AK152" s="870">
        <f t="shared" si="132"/>
        <v>0</v>
      </c>
      <c r="AL152" s="870">
        <f t="shared" si="132"/>
        <v>0</v>
      </c>
      <c r="AM152" s="870">
        <f t="shared" si="132"/>
        <v>0</v>
      </c>
      <c r="AN152" s="870">
        <f t="shared" si="132"/>
        <v>0</v>
      </c>
      <c r="AO152" s="870">
        <f t="shared" si="132"/>
        <v>0</v>
      </c>
      <c r="AP152" s="870">
        <f t="shared" si="132"/>
        <v>0</v>
      </c>
      <c r="AQ152" s="870">
        <f t="shared" si="132"/>
        <v>0</v>
      </c>
      <c r="AR152" s="870">
        <f t="shared" si="132"/>
        <v>0</v>
      </c>
      <c r="AS152" s="870">
        <f t="shared" si="132"/>
        <v>0</v>
      </c>
      <c r="AT152" s="870">
        <f t="shared" si="132"/>
        <v>0</v>
      </c>
      <c r="AU152" s="870">
        <f t="shared" si="132"/>
        <v>0</v>
      </c>
      <c r="AV152" s="870">
        <f t="shared" si="132"/>
        <v>0</v>
      </c>
      <c r="AW152" s="870">
        <f t="shared" si="132"/>
        <v>0</v>
      </c>
      <c r="AX152" s="870">
        <f t="shared" si="132"/>
        <v>259</v>
      </c>
      <c r="AY152" s="870">
        <f t="shared" si="132"/>
        <v>259</v>
      </c>
      <c r="AZ152" s="870">
        <f t="shared" si="132"/>
        <v>0</v>
      </c>
      <c r="BA152" s="870">
        <f t="shared" si="132"/>
        <v>0</v>
      </c>
      <c r="BB152" s="870">
        <f t="shared" si="132"/>
        <v>0</v>
      </c>
      <c r="BC152" s="870">
        <f t="shared" si="132"/>
        <v>0</v>
      </c>
      <c r="BD152" s="870">
        <f t="shared" si="132"/>
        <v>0</v>
      </c>
      <c r="BE152" s="870">
        <f t="shared" si="132"/>
        <v>0</v>
      </c>
      <c r="BF152" s="870">
        <f t="shared" si="132"/>
        <v>0</v>
      </c>
      <c r="BG152" s="870">
        <f t="shared" si="132"/>
        <v>0</v>
      </c>
      <c r="BH152" s="870">
        <f t="shared" si="132"/>
        <v>0</v>
      </c>
      <c r="BI152" s="870">
        <f t="shared" si="132"/>
        <v>0</v>
      </c>
      <c r="BJ152" s="870">
        <f t="shared" si="132"/>
        <v>0</v>
      </c>
      <c r="BK152" s="870">
        <f t="shared" si="132"/>
        <v>0</v>
      </c>
      <c r="BL152" s="870">
        <f t="shared" si="132"/>
        <v>0</v>
      </c>
      <c r="BM152" s="870">
        <f t="shared" si="132"/>
        <v>0</v>
      </c>
      <c r="BN152" s="870">
        <f t="shared" si="132"/>
        <v>259</v>
      </c>
      <c r="BO152" s="848">
        <f t="shared" si="107"/>
        <v>254.88399999999999</v>
      </c>
      <c r="BP152" s="870">
        <f t="shared" si="132"/>
        <v>0</v>
      </c>
      <c r="BQ152" s="870">
        <f t="shared" ref="BQ152:CS152" si="133">BQ153</f>
        <v>0</v>
      </c>
      <c r="BR152" s="870">
        <f t="shared" si="133"/>
        <v>0</v>
      </c>
      <c r="BS152" s="870">
        <f t="shared" si="133"/>
        <v>0</v>
      </c>
      <c r="BT152" s="870">
        <f t="shared" si="133"/>
        <v>0</v>
      </c>
      <c r="BU152" s="870">
        <f t="shared" si="133"/>
        <v>0</v>
      </c>
      <c r="BV152" s="870">
        <f t="shared" si="133"/>
        <v>0</v>
      </c>
      <c r="BW152" s="870">
        <f t="shared" si="133"/>
        <v>0</v>
      </c>
      <c r="BX152" s="870">
        <f t="shared" si="133"/>
        <v>0</v>
      </c>
      <c r="BY152" s="870">
        <f t="shared" si="133"/>
        <v>0</v>
      </c>
      <c r="BZ152" s="870">
        <f t="shared" si="133"/>
        <v>0</v>
      </c>
      <c r="CA152" s="870">
        <f t="shared" si="133"/>
        <v>0</v>
      </c>
      <c r="CB152" s="870">
        <f t="shared" si="133"/>
        <v>0</v>
      </c>
      <c r="CC152" s="870">
        <f t="shared" si="133"/>
        <v>0</v>
      </c>
      <c r="CD152" s="870">
        <f t="shared" si="133"/>
        <v>0</v>
      </c>
      <c r="CE152" s="870">
        <f t="shared" si="133"/>
        <v>254.88399999999999</v>
      </c>
      <c r="CF152" s="870">
        <f t="shared" si="133"/>
        <v>98.410810810810815</v>
      </c>
      <c r="CG152" s="848"/>
      <c r="CH152" s="848"/>
      <c r="CI152" s="848"/>
      <c r="CJ152" s="848"/>
      <c r="CK152" s="848"/>
      <c r="CL152" s="848"/>
      <c r="CM152" s="848"/>
      <c r="CN152" s="848"/>
      <c r="CO152" s="848"/>
      <c r="CP152" s="848"/>
      <c r="CQ152" s="848"/>
      <c r="CR152" s="848"/>
      <c r="CS152" s="870">
        <f t="shared" si="133"/>
        <v>0</v>
      </c>
      <c r="CT152" s="848"/>
      <c r="CU152" s="848"/>
      <c r="CV152" s="848"/>
      <c r="CW152" s="848">
        <f t="shared" si="115"/>
        <v>98.410810810810801</v>
      </c>
    </row>
    <row r="153" spans="1:101" ht="28.9" customHeight="1">
      <c r="A153" s="871"/>
      <c r="B153" s="867" t="s">
        <v>594</v>
      </c>
      <c r="C153" s="852" t="s">
        <v>595</v>
      </c>
      <c r="D153" s="867"/>
      <c r="E153" s="867"/>
      <c r="F153" s="853" t="s">
        <v>596</v>
      </c>
      <c r="G153" s="846" t="s">
        <v>597</v>
      </c>
      <c r="H153" s="850">
        <f t="shared" si="91"/>
        <v>21255.252719</v>
      </c>
      <c r="I153" s="855"/>
      <c r="J153" s="860"/>
      <c r="K153" s="860"/>
      <c r="L153" s="860"/>
      <c r="M153" s="860"/>
      <c r="N153" s="860"/>
      <c r="O153" s="860"/>
      <c r="P153" s="860"/>
      <c r="Q153" s="860"/>
      <c r="R153" s="860">
        <v>21255.252719</v>
      </c>
      <c r="S153" s="860"/>
      <c r="T153" s="855">
        <f>AH153</f>
        <v>0</v>
      </c>
      <c r="U153" s="860"/>
      <c r="V153" s="860"/>
      <c r="W153" s="860"/>
      <c r="X153" s="860"/>
      <c r="Y153" s="860"/>
      <c r="Z153" s="860"/>
      <c r="AA153" s="860"/>
      <c r="AB153" s="860"/>
      <c r="AC153" s="860"/>
      <c r="AD153" s="860"/>
      <c r="AE153" s="860"/>
      <c r="AF153" s="860"/>
      <c r="AG153" s="860"/>
      <c r="AH153" s="860"/>
      <c r="AI153" s="860">
        <f>AX153</f>
        <v>259</v>
      </c>
      <c r="AJ153" s="860"/>
      <c r="AK153" s="860"/>
      <c r="AL153" s="860"/>
      <c r="AM153" s="860"/>
      <c r="AN153" s="860"/>
      <c r="AO153" s="860"/>
      <c r="AP153" s="860"/>
      <c r="AQ153" s="860"/>
      <c r="AR153" s="860"/>
      <c r="AS153" s="860"/>
      <c r="AT153" s="860"/>
      <c r="AU153" s="860"/>
      <c r="AV153" s="860"/>
      <c r="AW153" s="860"/>
      <c r="AX153" s="860">
        <v>259</v>
      </c>
      <c r="AY153" s="855">
        <f t="shared" ref="AY153" si="134">SUM(AZ153:BN153)</f>
        <v>259</v>
      </c>
      <c r="AZ153" s="860"/>
      <c r="BA153" s="860"/>
      <c r="BB153" s="860"/>
      <c r="BC153" s="860"/>
      <c r="BD153" s="860"/>
      <c r="BE153" s="860"/>
      <c r="BF153" s="860"/>
      <c r="BG153" s="860"/>
      <c r="BH153" s="860"/>
      <c r="BI153" s="860"/>
      <c r="BJ153" s="860"/>
      <c r="BK153" s="860"/>
      <c r="BL153" s="860"/>
      <c r="BM153" s="860"/>
      <c r="BN153" s="860">
        <v>259</v>
      </c>
      <c r="BO153" s="848">
        <f t="shared" si="107"/>
        <v>254.88399999999999</v>
      </c>
      <c r="BP153" s="860"/>
      <c r="BQ153" s="860"/>
      <c r="BR153" s="860"/>
      <c r="BS153" s="860"/>
      <c r="BT153" s="860"/>
      <c r="BU153" s="860"/>
      <c r="BV153" s="860"/>
      <c r="BW153" s="860"/>
      <c r="BX153" s="860"/>
      <c r="BY153" s="860"/>
      <c r="BZ153" s="860"/>
      <c r="CA153" s="860"/>
      <c r="CB153" s="860"/>
      <c r="CC153" s="860"/>
      <c r="CD153" s="860"/>
      <c r="CE153" s="860">
        <v>254.88399999999999</v>
      </c>
      <c r="CF153" s="848">
        <f t="shared" si="113"/>
        <v>98.410810810810815</v>
      </c>
      <c r="CG153" s="848"/>
      <c r="CH153" s="848"/>
      <c r="CI153" s="848"/>
      <c r="CJ153" s="848"/>
      <c r="CK153" s="848"/>
      <c r="CL153" s="848"/>
      <c r="CM153" s="848"/>
      <c r="CN153" s="848"/>
      <c r="CO153" s="848"/>
      <c r="CP153" s="848"/>
      <c r="CQ153" s="848"/>
      <c r="CR153" s="848"/>
      <c r="CS153" s="848"/>
      <c r="CT153" s="848"/>
      <c r="CU153" s="848"/>
      <c r="CV153" s="848"/>
      <c r="CW153" s="848">
        <f t="shared" si="115"/>
        <v>98.410810810810801</v>
      </c>
    </row>
    <row r="154" spans="1:101" ht="28.9" customHeight="1">
      <c r="A154" s="871"/>
      <c r="B154" s="867" t="s">
        <v>594</v>
      </c>
      <c r="C154" s="852" t="s">
        <v>2048</v>
      </c>
      <c r="D154" s="867"/>
      <c r="E154" s="867"/>
      <c r="F154" s="853"/>
      <c r="G154" s="846"/>
      <c r="H154" s="850"/>
      <c r="I154" s="855"/>
      <c r="J154" s="860"/>
      <c r="K154" s="860"/>
      <c r="L154" s="860"/>
      <c r="M154" s="860"/>
      <c r="N154" s="860"/>
      <c r="O154" s="860"/>
      <c r="P154" s="860"/>
      <c r="Q154" s="860"/>
      <c r="R154" s="860"/>
      <c r="S154" s="860"/>
      <c r="T154" s="855"/>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55"/>
      <c r="AZ154" s="860"/>
      <c r="BA154" s="860"/>
      <c r="BB154" s="860"/>
      <c r="BC154" s="860"/>
      <c r="BD154" s="860"/>
      <c r="BE154" s="860"/>
      <c r="BF154" s="860"/>
      <c r="BG154" s="860"/>
      <c r="BH154" s="860"/>
      <c r="BI154" s="860"/>
      <c r="BJ154" s="860"/>
      <c r="BK154" s="860"/>
      <c r="BL154" s="860"/>
      <c r="BM154" s="860"/>
      <c r="BN154" s="860"/>
      <c r="BO154" s="848">
        <f t="shared" si="107"/>
        <v>0</v>
      </c>
      <c r="BP154" s="860"/>
      <c r="BQ154" s="860"/>
      <c r="BR154" s="860"/>
      <c r="BS154" s="860"/>
      <c r="BT154" s="860"/>
      <c r="BU154" s="860"/>
      <c r="BV154" s="860"/>
      <c r="BW154" s="860"/>
      <c r="BX154" s="860"/>
      <c r="BY154" s="860"/>
      <c r="BZ154" s="860"/>
      <c r="CA154" s="860"/>
      <c r="CB154" s="860"/>
      <c r="CC154" s="860"/>
      <c r="CD154" s="860"/>
      <c r="CE154" s="860"/>
      <c r="CF154" s="848"/>
      <c r="CG154" s="848"/>
      <c r="CH154" s="848"/>
      <c r="CI154" s="848"/>
      <c r="CJ154" s="848"/>
      <c r="CK154" s="848"/>
      <c r="CL154" s="848"/>
      <c r="CM154" s="848"/>
      <c r="CN154" s="848"/>
      <c r="CO154" s="848"/>
      <c r="CP154" s="848"/>
      <c r="CQ154" s="848"/>
      <c r="CR154" s="848"/>
      <c r="CS154" s="848"/>
      <c r="CT154" s="848"/>
      <c r="CU154" s="848"/>
      <c r="CV154" s="848"/>
      <c r="CW154" s="848"/>
    </row>
    <row r="155" spans="1:101" s="851" customFormat="1" ht="28.9" customHeight="1">
      <c r="A155" s="868" t="s">
        <v>31</v>
      </c>
      <c r="B155" s="868"/>
      <c r="C155" s="857" t="s">
        <v>598</v>
      </c>
      <c r="D155" s="867">
        <f>D156</f>
        <v>0</v>
      </c>
      <c r="E155" s="864">
        <f t="shared" ref="E155" si="135">E156</f>
        <v>0</v>
      </c>
      <c r="F155" s="869"/>
      <c r="G155" s="864"/>
      <c r="H155" s="850">
        <f t="shared" si="91"/>
        <v>15923</v>
      </c>
      <c r="I155" s="870">
        <f t="shared" ref="I155:BT155" si="136">SUM(I156:I179)</f>
        <v>14054</v>
      </c>
      <c r="J155" s="870">
        <f t="shared" si="136"/>
        <v>0</v>
      </c>
      <c r="K155" s="870">
        <f t="shared" si="136"/>
        <v>0</v>
      </c>
      <c r="L155" s="870">
        <f t="shared" si="136"/>
        <v>0</v>
      </c>
      <c r="M155" s="870">
        <f t="shared" si="136"/>
        <v>0</v>
      </c>
      <c r="N155" s="870">
        <f t="shared" si="136"/>
        <v>0</v>
      </c>
      <c r="O155" s="870">
        <f t="shared" si="136"/>
        <v>0</v>
      </c>
      <c r="P155" s="870">
        <f t="shared" si="136"/>
        <v>0</v>
      </c>
      <c r="Q155" s="870">
        <f t="shared" si="136"/>
        <v>0</v>
      </c>
      <c r="R155" s="870"/>
      <c r="S155" s="870">
        <f t="shared" si="136"/>
        <v>1869</v>
      </c>
      <c r="T155" s="870">
        <f t="shared" si="136"/>
        <v>49467.295548000002</v>
      </c>
      <c r="U155" s="870">
        <f t="shared" si="136"/>
        <v>7203.3873999999987</v>
      </c>
      <c r="V155" s="870">
        <f t="shared" si="136"/>
        <v>0</v>
      </c>
      <c r="W155" s="870">
        <f t="shared" si="136"/>
        <v>1000</v>
      </c>
      <c r="X155" s="870">
        <f t="shared" si="136"/>
        <v>0</v>
      </c>
      <c r="Y155" s="870">
        <f t="shared" si="136"/>
        <v>0</v>
      </c>
      <c r="Z155" s="870">
        <f t="shared" si="136"/>
        <v>0</v>
      </c>
      <c r="AA155" s="870">
        <f t="shared" si="136"/>
        <v>0</v>
      </c>
      <c r="AB155" s="870">
        <f t="shared" si="136"/>
        <v>0</v>
      </c>
      <c r="AC155" s="870">
        <f t="shared" si="136"/>
        <v>20355.633319</v>
      </c>
      <c r="AD155" s="870">
        <f t="shared" si="136"/>
        <v>0</v>
      </c>
      <c r="AE155" s="870">
        <f t="shared" si="136"/>
        <v>0</v>
      </c>
      <c r="AF155" s="870">
        <f t="shared" si="136"/>
        <v>0</v>
      </c>
      <c r="AG155" s="870">
        <f t="shared" si="136"/>
        <v>0</v>
      </c>
      <c r="AH155" s="870">
        <f t="shared" si="136"/>
        <v>20908.274829000002</v>
      </c>
      <c r="AI155" s="870">
        <f t="shared" si="136"/>
        <v>36358</v>
      </c>
      <c r="AJ155" s="870">
        <f t="shared" si="136"/>
        <v>10771</v>
      </c>
      <c r="AK155" s="870">
        <f t="shared" si="136"/>
        <v>0</v>
      </c>
      <c r="AL155" s="870">
        <f t="shared" si="136"/>
        <v>3800</v>
      </c>
      <c r="AM155" s="870">
        <f t="shared" si="136"/>
        <v>0</v>
      </c>
      <c r="AN155" s="870">
        <f t="shared" si="136"/>
        <v>0</v>
      </c>
      <c r="AO155" s="870">
        <f t="shared" si="136"/>
        <v>0</v>
      </c>
      <c r="AP155" s="870">
        <f t="shared" si="136"/>
        <v>0</v>
      </c>
      <c r="AQ155" s="870">
        <f t="shared" si="136"/>
        <v>0</v>
      </c>
      <c r="AR155" s="870">
        <f t="shared" si="136"/>
        <v>0</v>
      </c>
      <c r="AS155" s="870"/>
      <c r="AT155" s="870">
        <f t="shared" si="136"/>
        <v>0</v>
      </c>
      <c r="AU155" s="870">
        <f t="shared" si="136"/>
        <v>0</v>
      </c>
      <c r="AV155" s="870">
        <f t="shared" si="136"/>
        <v>0</v>
      </c>
      <c r="AW155" s="870">
        <f t="shared" si="136"/>
        <v>0</v>
      </c>
      <c r="AX155" s="870">
        <f t="shared" si="136"/>
        <v>21787</v>
      </c>
      <c r="AY155" s="870">
        <f t="shared" si="136"/>
        <v>869</v>
      </c>
      <c r="AZ155" s="870">
        <f t="shared" si="136"/>
        <v>0</v>
      </c>
      <c r="BA155" s="870">
        <f t="shared" si="136"/>
        <v>0</v>
      </c>
      <c r="BB155" s="870">
        <f t="shared" si="136"/>
        <v>0</v>
      </c>
      <c r="BC155" s="870">
        <f t="shared" si="136"/>
        <v>0</v>
      </c>
      <c r="BD155" s="870">
        <f t="shared" si="136"/>
        <v>0</v>
      </c>
      <c r="BE155" s="870">
        <f t="shared" si="136"/>
        <v>0</v>
      </c>
      <c r="BF155" s="870">
        <f t="shared" si="136"/>
        <v>0</v>
      </c>
      <c r="BG155" s="870">
        <f t="shared" si="136"/>
        <v>0</v>
      </c>
      <c r="BH155" s="870">
        <f t="shared" si="136"/>
        <v>0</v>
      </c>
      <c r="BI155" s="870">
        <f t="shared" si="136"/>
        <v>0</v>
      </c>
      <c r="BJ155" s="870">
        <f t="shared" si="136"/>
        <v>0</v>
      </c>
      <c r="BK155" s="870">
        <f t="shared" si="136"/>
        <v>869</v>
      </c>
      <c r="BL155" s="870">
        <f t="shared" si="136"/>
        <v>0</v>
      </c>
      <c r="BM155" s="870">
        <f t="shared" si="136"/>
        <v>0</v>
      </c>
      <c r="BN155" s="870">
        <f t="shared" si="136"/>
        <v>0</v>
      </c>
      <c r="BO155" s="848">
        <f t="shared" si="107"/>
        <v>6045.2731890000005</v>
      </c>
      <c r="BP155" s="870">
        <f t="shared" si="136"/>
        <v>5176.7641890000004</v>
      </c>
      <c r="BQ155" s="870">
        <f t="shared" si="136"/>
        <v>0</v>
      </c>
      <c r="BR155" s="870">
        <f t="shared" si="136"/>
        <v>0</v>
      </c>
      <c r="BS155" s="870">
        <f>SUM(BS156:BS179)</f>
        <v>0</v>
      </c>
      <c r="BT155" s="870">
        <f t="shared" si="136"/>
        <v>0</v>
      </c>
      <c r="BU155" s="870">
        <f t="shared" ref="BU155:CS155" si="137">SUM(BU156:BU179)</f>
        <v>0</v>
      </c>
      <c r="BV155" s="870">
        <f t="shared" si="137"/>
        <v>0</v>
      </c>
      <c r="BW155" s="870">
        <f t="shared" si="137"/>
        <v>0</v>
      </c>
      <c r="BX155" s="870">
        <f t="shared" si="137"/>
        <v>0</v>
      </c>
      <c r="BY155" s="870">
        <f t="shared" si="137"/>
        <v>0</v>
      </c>
      <c r="BZ155" s="870">
        <f t="shared" si="137"/>
        <v>0</v>
      </c>
      <c r="CA155" s="870">
        <f t="shared" si="137"/>
        <v>868.50900000000001</v>
      </c>
      <c r="CB155" s="870">
        <f t="shared" si="137"/>
        <v>0</v>
      </c>
      <c r="CC155" s="870">
        <f t="shared" si="137"/>
        <v>0</v>
      </c>
      <c r="CD155" s="870">
        <f t="shared" si="137"/>
        <v>0</v>
      </c>
      <c r="CE155" s="870">
        <f t="shared" si="137"/>
        <v>0</v>
      </c>
      <c r="CF155" s="870">
        <f t="shared" si="137"/>
        <v>99.943498273878035</v>
      </c>
      <c r="CG155" s="848"/>
      <c r="CH155" s="848"/>
      <c r="CI155" s="848"/>
      <c r="CJ155" s="848"/>
      <c r="CK155" s="848"/>
      <c r="CL155" s="848"/>
      <c r="CM155" s="848"/>
      <c r="CN155" s="848"/>
      <c r="CO155" s="848"/>
      <c r="CP155" s="848"/>
      <c r="CQ155" s="848"/>
      <c r="CR155" s="848">
        <f t="shared" ref="CO155:CR192" si="138">CA155/BK155*100</f>
        <v>99.943498273878021</v>
      </c>
      <c r="CS155" s="870">
        <f t="shared" si="137"/>
        <v>0</v>
      </c>
      <c r="CT155" s="848"/>
      <c r="CU155" s="848"/>
      <c r="CV155" s="848"/>
      <c r="CW155" s="848"/>
    </row>
    <row r="156" spans="1:101" s="878" customFormat="1" ht="48" customHeight="1">
      <c r="A156" s="860"/>
      <c r="B156" s="867" t="s">
        <v>594</v>
      </c>
      <c r="C156" s="877" t="s">
        <v>599</v>
      </c>
      <c r="D156" s="860"/>
      <c r="E156" s="860"/>
      <c r="F156" s="853" t="s">
        <v>600</v>
      </c>
      <c r="G156" s="846" t="s">
        <v>601</v>
      </c>
      <c r="H156" s="850">
        <f t="shared" si="91"/>
        <v>1869</v>
      </c>
      <c r="I156" s="855"/>
      <c r="J156" s="860"/>
      <c r="K156" s="860"/>
      <c r="L156" s="860"/>
      <c r="M156" s="860"/>
      <c r="N156" s="860"/>
      <c r="O156" s="860"/>
      <c r="P156" s="860"/>
      <c r="Q156" s="860"/>
      <c r="R156" s="860"/>
      <c r="S156" s="860">
        <v>1869</v>
      </c>
      <c r="T156" s="855">
        <f t="shared" si="123"/>
        <v>42263.908148000002</v>
      </c>
      <c r="U156" s="860"/>
      <c r="V156" s="860"/>
      <c r="W156" s="860">
        <v>1000</v>
      </c>
      <c r="X156" s="860"/>
      <c r="Y156" s="860"/>
      <c r="Z156" s="860"/>
      <c r="AA156" s="860"/>
      <c r="AB156" s="860"/>
      <c r="AC156" s="860">
        <v>20355.633319</v>
      </c>
      <c r="AD156" s="860"/>
      <c r="AE156" s="860"/>
      <c r="AF156" s="860"/>
      <c r="AG156" s="860"/>
      <c r="AH156" s="860">
        <v>20908.274829000002</v>
      </c>
      <c r="AI156" s="860">
        <f>AL156+AX156</f>
        <v>24708</v>
      </c>
      <c r="AJ156" s="860"/>
      <c r="AK156" s="860"/>
      <c r="AL156" s="860">
        <v>3800</v>
      </c>
      <c r="AM156" s="860"/>
      <c r="AN156" s="860"/>
      <c r="AO156" s="860"/>
      <c r="AP156" s="860"/>
      <c r="AQ156" s="860"/>
      <c r="AR156" s="860"/>
      <c r="AS156" s="860"/>
      <c r="AT156" s="860"/>
      <c r="AU156" s="860"/>
      <c r="AV156" s="860"/>
      <c r="AW156" s="860"/>
      <c r="AX156" s="860">
        <v>20908</v>
      </c>
      <c r="AY156" s="855">
        <f t="shared" ref="AY156:AY183" si="139">SUM(AZ156:BN156)</f>
        <v>869</v>
      </c>
      <c r="AZ156" s="860"/>
      <c r="BA156" s="860"/>
      <c r="BB156" s="860"/>
      <c r="BC156" s="860"/>
      <c r="BD156" s="860"/>
      <c r="BE156" s="860"/>
      <c r="BF156" s="860"/>
      <c r="BG156" s="860"/>
      <c r="BH156" s="860"/>
      <c r="BI156" s="860"/>
      <c r="BJ156" s="860"/>
      <c r="BK156" s="860">
        <f>'[10]bieu cu'!H130</f>
        <v>869</v>
      </c>
      <c r="BL156" s="860"/>
      <c r="BM156" s="860"/>
      <c r="BN156" s="860"/>
      <c r="BO156" s="848">
        <f t="shared" si="107"/>
        <v>868.50900000000001</v>
      </c>
      <c r="BP156" s="860"/>
      <c r="BQ156" s="860"/>
      <c r="BR156" s="860"/>
      <c r="BS156" s="860"/>
      <c r="BT156" s="860"/>
      <c r="BU156" s="860"/>
      <c r="BV156" s="860"/>
      <c r="BW156" s="860"/>
      <c r="BX156" s="860"/>
      <c r="BY156" s="860"/>
      <c r="BZ156" s="860"/>
      <c r="CA156" s="860">
        <f>'[10]bieu cu'!M130</f>
        <v>868.50900000000001</v>
      </c>
      <c r="CB156" s="860"/>
      <c r="CC156" s="860"/>
      <c r="CD156" s="860"/>
      <c r="CE156" s="860"/>
      <c r="CF156" s="848">
        <f t="shared" si="113"/>
        <v>99.943498273878035</v>
      </c>
      <c r="CG156" s="848"/>
      <c r="CH156" s="848"/>
      <c r="CI156" s="848"/>
      <c r="CJ156" s="848"/>
      <c r="CK156" s="848"/>
      <c r="CL156" s="848"/>
      <c r="CM156" s="848"/>
      <c r="CN156" s="848"/>
      <c r="CO156" s="848"/>
      <c r="CP156" s="848"/>
      <c r="CQ156" s="848"/>
      <c r="CR156" s="848">
        <f t="shared" si="138"/>
        <v>99.943498273878021</v>
      </c>
      <c r="CS156" s="848"/>
      <c r="CT156" s="848"/>
      <c r="CU156" s="848"/>
      <c r="CV156" s="848"/>
      <c r="CW156" s="848"/>
    </row>
    <row r="157" spans="1:101" ht="48" customHeight="1">
      <c r="A157" s="871"/>
      <c r="B157" s="867" t="s">
        <v>594</v>
      </c>
      <c r="C157" s="852" t="s">
        <v>602</v>
      </c>
      <c r="D157" s="867"/>
      <c r="E157" s="867"/>
      <c r="F157" s="861" t="s">
        <v>603</v>
      </c>
      <c r="G157" s="861" t="s">
        <v>604</v>
      </c>
      <c r="H157" s="850">
        <f t="shared" si="91"/>
        <v>1255</v>
      </c>
      <c r="I157" s="860">
        <v>1255</v>
      </c>
      <c r="J157" s="860"/>
      <c r="K157" s="860"/>
      <c r="L157" s="860"/>
      <c r="M157" s="860"/>
      <c r="N157" s="860"/>
      <c r="O157" s="860"/>
      <c r="P157" s="860"/>
      <c r="Q157" s="860"/>
      <c r="R157" s="860"/>
      <c r="S157" s="860"/>
      <c r="T157" s="855">
        <f t="shared" si="123"/>
        <v>709.89099999999996</v>
      </c>
      <c r="U157" s="860">
        <v>709.89099999999996</v>
      </c>
      <c r="V157" s="860"/>
      <c r="W157" s="860"/>
      <c r="X157" s="860"/>
      <c r="Y157" s="860"/>
      <c r="Z157" s="860"/>
      <c r="AA157" s="860"/>
      <c r="AB157" s="860"/>
      <c r="AC157" s="860"/>
      <c r="AD157" s="860"/>
      <c r="AE157" s="860"/>
      <c r="AF157" s="860"/>
      <c r="AG157" s="860"/>
      <c r="AH157" s="860"/>
      <c r="AI157" s="860">
        <f>AX157</f>
        <v>879</v>
      </c>
      <c r="AJ157" s="860"/>
      <c r="AK157" s="860"/>
      <c r="AL157" s="860"/>
      <c r="AM157" s="860"/>
      <c r="AN157" s="860"/>
      <c r="AO157" s="860"/>
      <c r="AP157" s="860"/>
      <c r="AQ157" s="860"/>
      <c r="AR157" s="860"/>
      <c r="AS157" s="860"/>
      <c r="AT157" s="860"/>
      <c r="AU157" s="860"/>
      <c r="AV157" s="860"/>
      <c r="AW157" s="860"/>
      <c r="AX157" s="860">
        <v>879</v>
      </c>
      <c r="AY157" s="855">
        <f t="shared" si="139"/>
        <v>0</v>
      </c>
      <c r="AZ157" s="860"/>
      <c r="BA157" s="860"/>
      <c r="BB157" s="860"/>
      <c r="BC157" s="860"/>
      <c r="BD157" s="860"/>
      <c r="BE157" s="860"/>
      <c r="BF157" s="860"/>
      <c r="BG157" s="860"/>
      <c r="BH157" s="860"/>
      <c r="BI157" s="860"/>
      <c r="BJ157" s="860"/>
      <c r="BK157" s="860"/>
      <c r="BL157" s="860"/>
      <c r="BM157" s="860"/>
      <c r="BN157" s="860"/>
      <c r="BO157" s="848">
        <f t="shared" si="107"/>
        <v>164.24</v>
      </c>
      <c r="BP157" s="860">
        <v>164.24</v>
      </c>
      <c r="BQ157" s="860"/>
      <c r="BR157" s="860"/>
      <c r="BS157" s="860"/>
      <c r="BT157" s="860"/>
      <c r="BU157" s="860"/>
      <c r="BV157" s="860"/>
      <c r="BW157" s="860"/>
      <c r="BX157" s="860"/>
      <c r="BY157" s="860"/>
      <c r="BZ157" s="860"/>
      <c r="CA157" s="860"/>
      <c r="CB157" s="860"/>
      <c r="CC157" s="860"/>
      <c r="CD157" s="860"/>
      <c r="CE157" s="860"/>
      <c r="CF157" s="848"/>
      <c r="CG157" s="848"/>
      <c r="CH157" s="848"/>
      <c r="CI157" s="848"/>
      <c r="CJ157" s="848"/>
      <c r="CK157" s="848"/>
      <c r="CL157" s="848"/>
      <c r="CM157" s="848"/>
      <c r="CN157" s="848"/>
      <c r="CO157" s="848"/>
      <c r="CP157" s="848"/>
      <c r="CQ157" s="848"/>
      <c r="CR157" s="848"/>
      <c r="CS157" s="848"/>
      <c r="CT157" s="848"/>
      <c r="CU157" s="848"/>
      <c r="CV157" s="848"/>
      <c r="CW157" s="848"/>
    </row>
    <row r="158" spans="1:101" ht="48" customHeight="1">
      <c r="A158" s="871"/>
      <c r="B158" s="867" t="s">
        <v>594</v>
      </c>
      <c r="C158" s="852" t="s">
        <v>605</v>
      </c>
      <c r="D158" s="867"/>
      <c r="E158" s="867"/>
      <c r="F158" s="861" t="s">
        <v>606</v>
      </c>
      <c r="G158" s="861" t="s">
        <v>607</v>
      </c>
      <c r="H158" s="850">
        <f t="shared" si="91"/>
        <v>594</v>
      </c>
      <c r="I158" s="860">
        <v>594</v>
      </c>
      <c r="J158" s="860"/>
      <c r="K158" s="860"/>
      <c r="L158" s="860"/>
      <c r="M158" s="860"/>
      <c r="N158" s="860"/>
      <c r="O158" s="860"/>
      <c r="P158" s="860"/>
      <c r="Q158" s="860"/>
      <c r="R158" s="860"/>
      <c r="S158" s="860"/>
      <c r="T158" s="855">
        <f t="shared" si="123"/>
        <v>367.733</v>
      </c>
      <c r="U158" s="860">
        <v>367.733</v>
      </c>
      <c r="V158" s="860"/>
      <c r="W158" s="860"/>
      <c r="X158" s="860"/>
      <c r="Y158" s="860"/>
      <c r="Z158" s="860"/>
      <c r="AA158" s="860"/>
      <c r="AB158" s="860"/>
      <c r="AC158" s="860"/>
      <c r="AD158" s="860"/>
      <c r="AE158" s="860"/>
      <c r="AF158" s="860"/>
      <c r="AG158" s="860"/>
      <c r="AH158" s="860"/>
      <c r="AI158" s="860">
        <f>AJ158</f>
        <v>440</v>
      </c>
      <c r="AJ158" s="860">
        <v>440</v>
      </c>
      <c r="AK158" s="860"/>
      <c r="AL158" s="860"/>
      <c r="AM158" s="860"/>
      <c r="AN158" s="860"/>
      <c r="AO158" s="860"/>
      <c r="AP158" s="860"/>
      <c r="AQ158" s="860"/>
      <c r="AR158" s="860"/>
      <c r="AS158" s="860"/>
      <c r="AT158" s="860"/>
      <c r="AU158" s="860"/>
      <c r="AV158" s="860"/>
      <c r="AW158" s="860"/>
      <c r="AX158" s="860"/>
      <c r="AY158" s="855">
        <f t="shared" si="139"/>
        <v>0</v>
      </c>
      <c r="AZ158" s="860"/>
      <c r="BA158" s="860"/>
      <c r="BB158" s="860"/>
      <c r="BC158" s="860"/>
      <c r="BD158" s="860"/>
      <c r="BE158" s="860"/>
      <c r="BF158" s="860"/>
      <c r="BG158" s="860"/>
      <c r="BH158" s="860"/>
      <c r="BI158" s="860"/>
      <c r="BJ158" s="860"/>
      <c r="BK158" s="860"/>
      <c r="BL158" s="860"/>
      <c r="BM158" s="860"/>
      <c r="BN158" s="860"/>
      <c r="BO158" s="848">
        <f t="shared" si="107"/>
        <v>68.909000000000006</v>
      </c>
      <c r="BP158" s="860">
        <v>68.909000000000006</v>
      </c>
      <c r="BQ158" s="860"/>
      <c r="BR158" s="860"/>
      <c r="BS158" s="860"/>
      <c r="BT158" s="860"/>
      <c r="BU158" s="860"/>
      <c r="BV158" s="860"/>
      <c r="BW158" s="860"/>
      <c r="BX158" s="860"/>
      <c r="BY158" s="860"/>
      <c r="BZ158" s="860"/>
      <c r="CA158" s="860"/>
      <c r="CB158" s="860"/>
      <c r="CC158" s="860"/>
      <c r="CD158" s="860"/>
      <c r="CE158" s="860"/>
      <c r="CF158" s="848"/>
      <c r="CG158" s="848"/>
      <c r="CH158" s="848"/>
      <c r="CI158" s="848"/>
      <c r="CJ158" s="848"/>
      <c r="CK158" s="848"/>
      <c r="CL158" s="848"/>
      <c r="CM158" s="848"/>
      <c r="CN158" s="848"/>
      <c r="CO158" s="848"/>
      <c r="CP158" s="848"/>
      <c r="CQ158" s="848"/>
      <c r="CR158" s="848"/>
      <c r="CS158" s="848"/>
      <c r="CT158" s="848"/>
      <c r="CU158" s="848"/>
      <c r="CV158" s="848"/>
      <c r="CW158" s="848"/>
    </row>
    <row r="159" spans="1:101" ht="48" customHeight="1">
      <c r="A159" s="871"/>
      <c r="B159" s="867" t="s">
        <v>594</v>
      </c>
      <c r="C159" s="852" t="s">
        <v>608</v>
      </c>
      <c r="D159" s="867"/>
      <c r="E159" s="867"/>
      <c r="F159" s="861" t="s">
        <v>609</v>
      </c>
      <c r="G159" s="861" t="s">
        <v>610</v>
      </c>
      <c r="H159" s="850">
        <f t="shared" si="91"/>
        <v>624</v>
      </c>
      <c r="I159" s="860">
        <v>624</v>
      </c>
      <c r="J159" s="860"/>
      <c r="K159" s="860"/>
      <c r="L159" s="860"/>
      <c r="M159" s="860"/>
      <c r="N159" s="860"/>
      <c r="O159" s="860"/>
      <c r="P159" s="860"/>
      <c r="Q159" s="860"/>
      <c r="R159" s="860"/>
      <c r="S159" s="860"/>
      <c r="T159" s="855">
        <f t="shared" si="123"/>
        <v>383</v>
      </c>
      <c r="U159" s="860">
        <v>383</v>
      </c>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55">
        <f>AZ159</f>
        <v>0</v>
      </c>
      <c r="AZ159" s="860"/>
      <c r="BA159" s="860"/>
      <c r="BB159" s="860"/>
      <c r="BC159" s="860"/>
      <c r="BD159" s="860"/>
      <c r="BE159" s="860"/>
      <c r="BF159" s="860"/>
      <c r="BG159" s="860"/>
      <c r="BH159" s="860"/>
      <c r="BI159" s="860"/>
      <c r="BJ159" s="860"/>
      <c r="BK159" s="860"/>
      <c r="BL159" s="860"/>
      <c r="BM159" s="860"/>
      <c r="BN159" s="860"/>
      <c r="BO159" s="848">
        <f t="shared" si="107"/>
        <v>50.89</v>
      </c>
      <c r="BP159" s="860">
        <v>50.89</v>
      </c>
      <c r="BQ159" s="860"/>
      <c r="BR159" s="860"/>
      <c r="BS159" s="860"/>
      <c r="BT159" s="860"/>
      <c r="BU159" s="860"/>
      <c r="BV159" s="860"/>
      <c r="BW159" s="860"/>
      <c r="BX159" s="860"/>
      <c r="BY159" s="860"/>
      <c r="BZ159" s="860"/>
      <c r="CA159" s="860"/>
      <c r="CB159" s="860"/>
      <c r="CC159" s="860"/>
      <c r="CD159" s="860"/>
      <c r="CE159" s="860"/>
      <c r="CF159" s="848"/>
      <c r="CG159" s="848"/>
      <c r="CH159" s="848"/>
      <c r="CI159" s="848"/>
      <c r="CJ159" s="848"/>
      <c r="CK159" s="848"/>
      <c r="CL159" s="848"/>
      <c r="CM159" s="848"/>
      <c r="CN159" s="848"/>
      <c r="CO159" s="848"/>
      <c r="CP159" s="848"/>
      <c r="CQ159" s="848"/>
      <c r="CR159" s="848"/>
      <c r="CS159" s="848"/>
      <c r="CT159" s="848"/>
      <c r="CU159" s="848"/>
      <c r="CV159" s="848"/>
      <c r="CW159" s="848"/>
    </row>
    <row r="160" spans="1:101" ht="48" customHeight="1">
      <c r="A160" s="871"/>
      <c r="B160" s="867" t="s">
        <v>594</v>
      </c>
      <c r="C160" s="852" t="s">
        <v>611</v>
      </c>
      <c r="D160" s="867"/>
      <c r="E160" s="867"/>
      <c r="F160" s="861" t="s">
        <v>612</v>
      </c>
      <c r="G160" s="861" t="s">
        <v>613</v>
      </c>
      <c r="H160" s="850">
        <f t="shared" si="91"/>
        <v>319</v>
      </c>
      <c r="I160" s="860">
        <v>319</v>
      </c>
      <c r="J160" s="860"/>
      <c r="K160" s="860"/>
      <c r="L160" s="860"/>
      <c r="M160" s="860"/>
      <c r="N160" s="860"/>
      <c r="O160" s="860"/>
      <c r="P160" s="860"/>
      <c r="Q160" s="860"/>
      <c r="R160" s="860"/>
      <c r="S160" s="860"/>
      <c r="T160" s="855">
        <f t="shared" si="123"/>
        <v>170</v>
      </c>
      <c r="U160" s="860">
        <v>170</v>
      </c>
      <c r="V160" s="860"/>
      <c r="W160" s="860"/>
      <c r="X160" s="860"/>
      <c r="Y160" s="860"/>
      <c r="Z160" s="860"/>
      <c r="AA160" s="860"/>
      <c r="AB160" s="860"/>
      <c r="AC160" s="860"/>
      <c r="AD160" s="860"/>
      <c r="AE160" s="860"/>
      <c r="AF160" s="860"/>
      <c r="AG160" s="860"/>
      <c r="AH160" s="860"/>
      <c r="AI160" s="860">
        <f t="shared" ref="AI160:AI168" si="140">AJ160</f>
        <v>220</v>
      </c>
      <c r="AJ160" s="860">
        <v>220</v>
      </c>
      <c r="AK160" s="860"/>
      <c r="AL160" s="860"/>
      <c r="AM160" s="860"/>
      <c r="AN160" s="860"/>
      <c r="AO160" s="860"/>
      <c r="AP160" s="860"/>
      <c r="AQ160" s="860"/>
      <c r="AR160" s="860"/>
      <c r="AS160" s="860"/>
      <c r="AT160" s="860"/>
      <c r="AU160" s="860"/>
      <c r="AV160" s="860"/>
      <c r="AW160" s="860"/>
      <c r="AX160" s="860"/>
      <c r="AY160" s="855">
        <f t="shared" si="139"/>
        <v>0</v>
      </c>
      <c r="AZ160" s="860"/>
      <c r="BA160" s="860"/>
      <c r="BB160" s="860"/>
      <c r="BC160" s="860"/>
      <c r="BD160" s="860"/>
      <c r="BE160" s="860"/>
      <c r="BF160" s="860"/>
      <c r="BG160" s="860"/>
      <c r="BH160" s="860"/>
      <c r="BI160" s="860"/>
      <c r="BJ160" s="860"/>
      <c r="BK160" s="860"/>
      <c r="BL160" s="860"/>
      <c r="BM160" s="860"/>
      <c r="BN160" s="860"/>
      <c r="BO160" s="848">
        <f t="shared" si="107"/>
        <v>50</v>
      </c>
      <c r="BP160" s="860">
        <v>50</v>
      </c>
      <c r="BQ160" s="860"/>
      <c r="BR160" s="860"/>
      <c r="BS160" s="860"/>
      <c r="BT160" s="860"/>
      <c r="BU160" s="860"/>
      <c r="BV160" s="860"/>
      <c r="BW160" s="860"/>
      <c r="BX160" s="860"/>
      <c r="BY160" s="860"/>
      <c r="BZ160" s="860"/>
      <c r="CA160" s="860"/>
      <c r="CB160" s="860"/>
      <c r="CC160" s="860"/>
      <c r="CD160" s="860"/>
      <c r="CE160" s="860"/>
      <c r="CF160" s="848"/>
      <c r="CG160" s="848"/>
      <c r="CH160" s="848"/>
      <c r="CI160" s="848"/>
      <c r="CJ160" s="848"/>
      <c r="CK160" s="848"/>
      <c r="CL160" s="848"/>
      <c r="CM160" s="848"/>
      <c r="CN160" s="848"/>
      <c r="CO160" s="848"/>
      <c r="CP160" s="848"/>
      <c r="CQ160" s="848"/>
      <c r="CR160" s="848"/>
      <c r="CS160" s="848"/>
      <c r="CT160" s="848"/>
      <c r="CU160" s="848"/>
      <c r="CV160" s="848"/>
      <c r="CW160" s="848"/>
    </row>
    <row r="161" spans="1:101" ht="48" customHeight="1">
      <c r="A161" s="871"/>
      <c r="B161" s="867" t="s">
        <v>594</v>
      </c>
      <c r="C161" s="852" t="s">
        <v>614</v>
      </c>
      <c r="D161" s="867"/>
      <c r="E161" s="867"/>
      <c r="F161" s="861" t="s">
        <v>615</v>
      </c>
      <c r="G161" s="861" t="s">
        <v>616</v>
      </c>
      <c r="H161" s="850">
        <f t="shared" si="91"/>
        <v>0</v>
      </c>
      <c r="I161" s="860"/>
      <c r="J161" s="860"/>
      <c r="K161" s="860"/>
      <c r="L161" s="860"/>
      <c r="M161" s="860"/>
      <c r="N161" s="860"/>
      <c r="O161" s="860"/>
      <c r="P161" s="860"/>
      <c r="Q161" s="860"/>
      <c r="R161" s="860"/>
      <c r="S161" s="860"/>
      <c r="T161" s="855">
        <f t="shared" si="123"/>
        <v>0</v>
      </c>
      <c r="U161" s="860"/>
      <c r="V161" s="860"/>
      <c r="W161" s="860"/>
      <c r="X161" s="860"/>
      <c r="Y161" s="860"/>
      <c r="Z161" s="860"/>
      <c r="AA161" s="860"/>
      <c r="AB161" s="860"/>
      <c r="AC161" s="860"/>
      <c r="AD161" s="860"/>
      <c r="AE161" s="860"/>
      <c r="AF161" s="860"/>
      <c r="AG161" s="860"/>
      <c r="AH161" s="860"/>
      <c r="AI161" s="860">
        <f t="shared" si="140"/>
        <v>110</v>
      </c>
      <c r="AJ161" s="860">
        <v>110</v>
      </c>
      <c r="AK161" s="860"/>
      <c r="AL161" s="860"/>
      <c r="AM161" s="860"/>
      <c r="AN161" s="860"/>
      <c r="AO161" s="860"/>
      <c r="AP161" s="860"/>
      <c r="AQ161" s="860"/>
      <c r="AR161" s="860"/>
      <c r="AS161" s="860"/>
      <c r="AT161" s="860"/>
      <c r="AU161" s="860"/>
      <c r="AV161" s="860"/>
      <c r="AW161" s="860"/>
      <c r="AX161" s="860"/>
      <c r="AY161" s="855">
        <f t="shared" si="139"/>
        <v>0</v>
      </c>
      <c r="AZ161" s="860"/>
      <c r="BA161" s="860"/>
      <c r="BB161" s="860"/>
      <c r="BC161" s="860"/>
      <c r="BD161" s="860"/>
      <c r="BE161" s="860"/>
      <c r="BF161" s="860"/>
      <c r="BG161" s="860"/>
      <c r="BH161" s="860"/>
      <c r="BI161" s="860"/>
      <c r="BJ161" s="860"/>
      <c r="BK161" s="860"/>
      <c r="BL161" s="860"/>
      <c r="BM161" s="860"/>
      <c r="BN161" s="860"/>
      <c r="BO161" s="848">
        <f t="shared" si="107"/>
        <v>104.30240000000001</v>
      </c>
      <c r="BP161" s="860">
        <v>104.30240000000001</v>
      </c>
      <c r="BQ161" s="860"/>
      <c r="BR161" s="860"/>
      <c r="BS161" s="860"/>
      <c r="BT161" s="860"/>
      <c r="BU161" s="860"/>
      <c r="BV161" s="860"/>
      <c r="BW161" s="860"/>
      <c r="BX161" s="860"/>
      <c r="BY161" s="860"/>
      <c r="BZ161" s="860"/>
      <c r="CA161" s="860"/>
      <c r="CB161" s="860"/>
      <c r="CC161" s="860"/>
      <c r="CD161" s="860"/>
      <c r="CE161" s="860"/>
      <c r="CF161" s="848"/>
      <c r="CG161" s="848"/>
      <c r="CH161" s="848"/>
      <c r="CI161" s="848"/>
      <c r="CJ161" s="848"/>
      <c r="CK161" s="848"/>
      <c r="CL161" s="848"/>
      <c r="CM161" s="848"/>
      <c r="CN161" s="848"/>
      <c r="CO161" s="848"/>
      <c r="CP161" s="848"/>
      <c r="CQ161" s="848"/>
      <c r="CR161" s="848"/>
      <c r="CS161" s="848"/>
      <c r="CT161" s="848"/>
      <c r="CU161" s="848"/>
      <c r="CV161" s="848"/>
      <c r="CW161" s="848"/>
    </row>
    <row r="162" spans="1:101" ht="48" customHeight="1">
      <c r="A162" s="871"/>
      <c r="B162" s="867" t="s">
        <v>594</v>
      </c>
      <c r="C162" s="852" t="s">
        <v>617</v>
      </c>
      <c r="D162" s="867"/>
      <c r="E162" s="867"/>
      <c r="F162" s="861" t="s">
        <v>618</v>
      </c>
      <c r="G162" s="861" t="s">
        <v>619</v>
      </c>
      <c r="H162" s="850">
        <f t="shared" si="91"/>
        <v>0</v>
      </c>
      <c r="I162" s="860"/>
      <c r="J162" s="860"/>
      <c r="K162" s="860"/>
      <c r="L162" s="860"/>
      <c r="M162" s="860"/>
      <c r="N162" s="860"/>
      <c r="O162" s="860"/>
      <c r="P162" s="860"/>
      <c r="Q162" s="860"/>
      <c r="R162" s="860"/>
      <c r="S162" s="860"/>
      <c r="T162" s="855">
        <f t="shared" si="123"/>
        <v>0</v>
      </c>
      <c r="U162" s="860"/>
      <c r="V162" s="860"/>
      <c r="W162" s="860"/>
      <c r="X162" s="860"/>
      <c r="Y162" s="860"/>
      <c r="Z162" s="860"/>
      <c r="AA162" s="860"/>
      <c r="AB162" s="860"/>
      <c r="AC162" s="860"/>
      <c r="AD162" s="860"/>
      <c r="AE162" s="860"/>
      <c r="AF162" s="860"/>
      <c r="AG162" s="860"/>
      <c r="AH162" s="860"/>
      <c r="AI162" s="860">
        <f t="shared" si="140"/>
        <v>110</v>
      </c>
      <c r="AJ162" s="860">
        <v>110</v>
      </c>
      <c r="AK162" s="860"/>
      <c r="AL162" s="860"/>
      <c r="AM162" s="860"/>
      <c r="AN162" s="860"/>
      <c r="AO162" s="860"/>
      <c r="AP162" s="860"/>
      <c r="AQ162" s="860"/>
      <c r="AR162" s="860"/>
      <c r="AS162" s="860"/>
      <c r="AT162" s="860"/>
      <c r="AU162" s="860"/>
      <c r="AV162" s="860"/>
      <c r="AW162" s="860"/>
      <c r="AX162" s="860"/>
      <c r="AY162" s="855">
        <f t="shared" si="139"/>
        <v>0</v>
      </c>
      <c r="AZ162" s="860"/>
      <c r="BA162" s="860"/>
      <c r="BB162" s="860"/>
      <c r="BC162" s="860"/>
      <c r="BD162" s="860"/>
      <c r="BE162" s="860"/>
      <c r="BF162" s="860"/>
      <c r="BG162" s="860"/>
      <c r="BH162" s="860"/>
      <c r="BI162" s="860"/>
      <c r="BJ162" s="860"/>
      <c r="BK162" s="860"/>
      <c r="BL162" s="860"/>
      <c r="BM162" s="860"/>
      <c r="BN162" s="860"/>
      <c r="BO162" s="848">
        <f t="shared" si="107"/>
        <v>104.30240000000001</v>
      </c>
      <c r="BP162" s="860">
        <v>104.30240000000001</v>
      </c>
      <c r="BQ162" s="860"/>
      <c r="BR162" s="860"/>
      <c r="BS162" s="860"/>
      <c r="BT162" s="860"/>
      <c r="BU162" s="860"/>
      <c r="BV162" s="860"/>
      <c r="BW162" s="860"/>
      <c r="BX162" s="860"/>
      <c r="BY162" s="860"/>
      <c r="BZ162" s="860"/>
      <c r="CA162" s="860"/>
      <c r="CB162" s="860"/>
      <c r="CC162" s="860"/>
      <c r="CD162" s="860"/>
      <c r="CE162" s="860"/>
      <c r="CF162" s="848"/>
      <c r="CG162" s="848"/>
      <c r="CH162" s="848"/>
      <c r="CI162" s="848"/>
      <c r="CJ162" s="848"/>
      <c r="CK162" s="848"/>
      <c r="CL162" s="848"/>
      <c r="CM162" s="848"/>
      <c r="CN162" s="848"/>
      <c r="CO162" s="848"/>
      <c r="CP162" s="848"/>
      <c r="CQ162" s="848"/>
      <c r="CR162" s="848"/>
      <c r="CS162" s="848"/>
      <c r="CT162" s="848"/>
      <c r="CU162" s="848"/>
      <c r="CV162" s="848"/>
      <c r="CW162" s="848"/>
    </row>
    <row r="163" spans="1:101" ht="48" customHeight="1">
      <c r="A163" s="871"/>
      <c r="B163" s="867" t="s">
        <v>594</v>
      </c>
      <c r="C163" s="852" t="s">
        <v>620</v>
      </c>
      <c r="D163" s="867"/>
      <c r="E163" s="867"/>
      <c r="F163" s="861" t="s">
        <v>621</v>
      </c>
      <c r="G163" s="861" t="s">
        <v>622</v>
      </c>
      <c r="H163" s="850">
        <f t="shared" si="91"/>
        <v>1255</v>
      </c>
      <c r="I163" s="860">
        <v>1255</v>
      </c>
      <c r="J163" s="860"/>
      <c r="K163" s="860"/>
      <c r="L163" s="860"/>
      <c r="M163" s="860"/>
      <c r="N163" s="860"/>
      <c r="O163" s="860"/>
      <c r="P163" s="860"/>
      <c r="Q163" s="860"/>
      <c r="R163" s="860"/>
      <c r="S163" s="860"/>
      <c r="T163" s="855">
        <f t="shared" si="123"/>
        <v>695</v>
      </c>
      <c r="U163" s="860">
        <v>695</v>
      </c>
      <c r="V163" s="860"/>
      <c r="W163" s="860"/>
      <c r="X163" s="860"/>
      <c r="Y163" s="860"/>
      <c r="Z163" s="860"/>
      <c r="AA163" s="860"/>
      <c r="AB163" s="860"/>
      <c r="AC163" s="860"/>
      <c r="AD163" s="860"/>
      <c r="AE163" s="860"/>
      <c r="AF163" s="860"/>
      <c r="AG163" s="860"/>
      <c r="AH163" s="860"/>
      <c r="AI163" s="860">
        <f t="shared" si="140"/>
        <v>879</v>
      </c>
      <c r="AJ163" s="860">
        <v>879</v>
      </c>
      <c r="AK163" s="860"/>
      <c r="AL163" s="860"/>
      <c r="AM163" s="860"/>
      <c r="AN163" s="860"/>
      <c r="AO163" s="860"/>
      <c r="AP163" s="860"/>
      <c r="AQ163" s="860"/>
      <c r="AR163" s="860"/>
      <c r="AS163" s="860"/>
      <c r="AT163" s="860"/>
      <c r="AU163" s="860"/>
      <c r="AV163" s="860"/>
      <c r="AW163" s="860"/>
      <c r="AX163" s="860"/>
      <c r="AY163" s="855">
        <f t="shared" si="139"/>
        <v>0</v>
      </c>
      <c r="AZ163" s="860"/>
      <c r="BA163" s="860"/>
      <c r="BB163" s="860"/>
      <c r="BC163" s="860"/>
      <c r="BD163" s="860"/>
      <c r="BE163" s="860"/>
      <c r="BF163" s="860"/>
      <c r="BG163" s="860"/>
      <c r="BH163" s="860"/>
      <c r="BI163" s="860"/>
      <c r="BJ163" s="860"/>
      <c r="BK163" s="860"/>
      <c r="BL163" s="860"/>
      <c r="BM163" s="860"/>
      <c r="BN163" s="860"/>
      <c r="BO163" s="848">
        <f t="shared" si="107"/>
        <v>184</v>
      </c>
      <c r="BP163" s="860">
        <v>184</v>
      </c>
      <c r="BQ163" s="860"/>
      <c r="BR163" s="860"/>
      <c r="BS163" s="860"/>
      <c r="BT163" s="860"/>
      <c r="BU163" s="860"/>
      <c r="BV163" s="860"/>
      <c r="BW163" s="860"/>
      <c r="BX163" s="860"/>
      <c r="BY163" s="860"/>
      <c r="BZ163" s="860"/>
      <c r="CA163" s="860"/>
      <c r="CB163" s="860"/>
      <c r="CC163" s="860"/>
      <c r="CD163" s="860"/>
      <c r="CE163" s="860"/>
      <c r="CF163" s="848"/>
      <c r="CG163" s="848"/>
      <c r="CH163" s="848"/>
      <c r="CI163" s="848"/>
      <c r="CJ163" s="848"/>
      <c r="CK163" s="848"/>
      <c r="CL163" s="848"/>
      <c r="CM163" s="848"/>
      <c r="CN163" s="848"/>
      <c r="CO163" s="848"/>
      <c r="CP163" s="848"/>
      <c r="CQ163" s="848"/>
      <c r="CR163" s="848"/>
      <c r="CS163" s="848"/>
      <c r="CT163" s="848"/>
      <c r="CU163" s="848"/>
      <c r="CV163" s="848"/>
      <c r="CW163" s="848"/>
    </row>
    <row r="164" spans="1:101" ht="48" customHeight="1">
      <c r="A164" s="871"/>
      <c r="B164" s="867" t="s">
        <v>594</v>
      </c>
      <c r="C164" s="852" t="s">
        <v>623</v>
      </c>
      <c r="D164" s="867"/>
      <c r="E164" s="867"/>
      <c r="F164" s="861" t="s">
        <v>624</v>
      </c>
      <c r="G164" s="861" t="s">
        <v>625</v>
      </c>
      <c r="H164" s="850">
        <f t="shared" si="91"/>
        <v>1256</v>
      </c>
      <c r="I164" s="860">
        <v>1256</v>
      </c>
      <c r="J164" s="860"/>
      <c r="K164" s="860"/>
      <c r="L164" s="860"/>
      <c r="M164" s="860"/>
      <c r="N164" s="860"/>
      <c r="O164" s="860"/>
      <c r="P164" s="860"/>
      <c r="Q164" s="860"/>
      <c r="R164" s="860"/>
      <c r="S164" s="860"/>
      <c r="T164" s="855">
        <f t="shared" si="123"/>
        <v>669</v>
      </c>
      <c r="U164" s="860">
        <v>669</v>
      </c>
      <c r="V164" s="860"/>
      <c r="W164" s="860"/>
      <c r="X164" s="860"/>
      <c r="Y164" s="860"/>
      <c r="Z164" s="860"/>
      <c r="AA164" s="860"/>
      <c r="AB164" s="860"/>
      <c r="AC164" s="860"/>
      <c r="AD164" s="860"/>
      <c r="AE164" s="860"/>
      <c r="AF164" s="860"/>
      <c r="AG164" s="860"/>
      <c r="AH164" s="860"/>
      <c r="AI164" s="860">
        <f t="shared" si="140"/>
        <v>879</v>
      </c>
      <c r="AJ164" s="860">
        <v>879</v>
      </c>
      <c r="AK164" s="860"/>
      <c r="AL164" s="860"/>
      <c r="AM164" s="860"/>
      <c r="AN164" s="860"/>
      <c r="AO164" s="860"/>
      <c r="AP164" s="860"/>
      <c r="AQ164" s="860"/>
      <c r="AR164" s="860"/>
      <c r="AS164" s="860"/>
      <c r="AT164" s="860"/>
      <c r="AU164" s="860"/>
      <c r="AV164" s="860"/>
      <c r="AW164" s="860"/>
      <c r="AX164" s="860"/>
      <c r="AY164" s="855">
        <f t="shared" si="139"/>
        <v>0</v>
      </c>
      <c r="AZ164" s="860"/>
      <c r="BA164" s="860"/>
      <c r="BB164" s="860"/>
      <c r="BC164" s="860"/>
      <c r="BD164" s="860"/>
      <c r="BE164" s="860"/>
      <c r="BF164" s="860"/>
      <c r="BG164" s="860"/>
      <c r="BH164" s="860"/>
      <c r="BI164" s="860"/>
      <c r="BJ164" s="860"/>
      <c r="BK164" s="860"/>
      <c r="BL164" s="860"/>
      <c r="BM164" s="860"/>
      <c r="BN164" s="860"/>
      <c r="BO164" s="848">
        <f t="shared" si="107"/>
        <v>209.99850000000001</v>
      </c>
      <c r="BP164" s="860">
        <v>209.99850000000001</v>
      </c>
      <c r="BQ164" s="860"/>
      <c r="BR164" s="860"/>
      <c r="BS164" s="860"/>
      <c r="BT164" s="860"/>
      <c r="BU164" s="860"/>
      <c r="BV164" s="860"/>
      <c r="BW164" s="860"/>
      <c r="BX164" s="860"/>
      <c r="BY164" s="860"/>
      <c r="BZ164" s="860"/>
      <c r="CA164" s="860"/>
      <c r="CB164" s="860"/>
      <c r="CC164" s="860"/>
      <c r="CD164" s="860"/>
      <c r="CE164" s="860"/>
      <c r="CF164" s="848"/>
      <c r="CG164" s="848"/>
      <c r="CH164" s="848"/>
      <c r="CI164" s="848"/>
      <c r="CJ164" s="848"/>
      <c r="CK164" s="848"/>
      <c r="CL164" s="848"/>
      <c r="CM164" s="848"/>
      <c r="CN164" s="848"/>
      <c r="CO164" s="848"/>
      <c r="CP164" s="848"/>
      <c r="CQ164" s="848"/>
      <c r="CR164" s="848"/>
      <c r="CS164" s="848"/>
      <c r="CT164" s="848"/>
      <c r="CU164" s="848"/>
      <c r="CV164" s="848"/>
      <c r="CW164" s="848"/>
    </row>
    <row r="165" spans="1:101" ht="48" customHeight="1">
      <c r="A165" s="871"/>
      <c r="B165" s="867" t="s">
        <v>594</v>
      </c>
      <c r="C165" s="852" t="s">
        <v>626</v>
      </c>
      <c r="D165" s="867"/>
      <c r="E165" s="867"/>
      <c r="F165" s="861" t="s">
        <v>627</v>
      </c>
      <c r="G165" s="861" t="s">
        <v>628</v>
      </c>
      <c r="H165" s="850">
        <f t="shared" si="91"/>
        <v>0</v>
      </c>
      <c r="I165" s="860"/>
      <c r="J165" s="860"/>
      <c r="K165" s="860"/>
      <c r="L165" s="860"/>
      <c r="M165" s="860"/>
      <c r="N165" s="860"/>
      <c r="O165" s="860"/>
      <c r="P165" s="860"/>
      <c r="Q165" s="860"/>
      <c r="R165" s="860"/>
      <c r="S165" s="860"/>
      <c r="T165" s="855">
        <f t="shared" si="123"/>
        <v>0</v>
      </c>
      <c r="U165" s="860"/>
      <c r="V165" s="860"/>
      <c r="W165" s="860"/>
      <c r="X165" s="860"/>
      <c r="Y165" s="860"/>
      <c r="Z165" s="860"/>
      <c r="AA165" s="860"/>
      <c r="AB165" s="860"/>
      <c r="AC165" s="860"/>
      <c r="AD165" s="860"/>
      <c r="AE165" s="860"/>
      <c r="AF165" s="860"/>
      <c r="AG165" s="860"/>
      <c r="AH165" s="860"/>
      <c r="AI165" s="860">
        <f t="shared" si="140"/>
        <v>220</v>
      </c>
      <c r="AJ165" s="860">
        <v>220</v>
      </c>
      <c r="AK165" s="860"/>
      <c r="AL165" s="860"/>
      <c r="AM165" s="860"/>
      <c r="AN165" s="860"/>
      <c r="AO165" s="860"/>
      <c r="AP165" s="860"/>
      <c r="AQ165" s="860"/>
      <c r="AR165" s="860"/>
      <c r="AS165" s="860"/>
      <c r="AT165" s="860"/>
      <c r="AU165" s="860"/>
      <c r="AV165" s="860"/>
      <c r="AW165" s="860"/>
      <c r="AX165" s="860"/>
      <c r="AY165" s="855">
        <f t="shared" si="139"/>
        <v>0</v>
      </c>
      <c r="AZ165" s="860"/>
      <c r="BA165" s="860"/>
      <c r="BB165" s="860"/>
      <c r="BC165" s="860"/>
      <c r="BD165" s="860"/>
      <c r="BE165" s="860"/>
      <c r="BF165" s="860"/>
      <c r="BG165" s="860"/>
      <c r="BH165" s="860"/>
      <c r="BI165" s="860"/>
      <c r="BJ165" s="860"/>
      <c r="BK165" s="860"/>
      <c r="BL165" s="860"/>
      <c r="BM165" s="860"/>
      <c r="BN165" s="860"/>
      <c r="BO165" s="848">
        <f t="shared" si="107"/>
        <v>218.87</v>
      </c>
      <c r="BP165" s="860">
        <v>218.87</v>
      </c>
      <c r="BQ165" s="860"/>
      <c r="BR165" s="860"/>
      <c r="BS165" s="860"/>
      <c r="BT165" s="860"/>
      <c r="BU165" s="860"/>
      <c r="BV165" s="860"/>
      <c r="BW165" s="860"/>
      <c r="BX165" s="860"/>
      <c r="BY165" s="860"/>
      <c r="BZ165" s="860"/>
      <c r="CA165" s="860"/>
      <c r="CB165" s="860"/>
      <c r="CC165" s="860"/>
      <c r="CD165" s="860"/>
      <c r="CE165" s="860"/>
      <c r="CF165" s="848"/>
      <c r="CG165" s="848"/>
      <c r="CH165" s="848"/>
      <c r="CI165" s="848"/>
      <c r="CJ165" s="848"/>
      <c r="CK165" s="848"/>
      <c r="CL165" s="848"/>
      <c r="CM165" s="848"/>
      <c r="CN165" s="848"/>
      <c r="CO165" s="848"/>
      <c r="CP165" s="848"/>
      <c r="CQ165" s="848"/>
      <c r="CR165" s="848"/>
      <c r="CS165" s="848"/>
      <c r="CT165" s="848"/>
      <c r="CU165" s="848"/>
      <c r="CV165" s="848"/>
      <c r="CW165" s="848"/>
    </row>
    <row r="166" spans="1:101" ht="48" customHeight="1">
      <c r="A166" s="871"/>
      <c r="B166" s="867" t="s">
        <v>594</v>
      </c>
      <c r="C166" s="852" t="s">
        <v>629</v>
      </c>
      <c r="D166" s="867"/>
      <c r="E166" s="867"/>
      <c r="F166" s="861" t="s">
        <v>630</v>
      </c>
      <c r="G166" s="861" t="s">
        <v>631</v>
      </c>
      <c r="H166" s="850">
        <f t="shared" si="91"/>
        <v>0</v>
      </c>
      <c r="I166" s="860"/>
      <c r="J166" s="860"/>
      <c r="K166" s="860"/>
      <c r="L166" s="860"/>
      <c r="M166" s="860"/>
      <c r="N166" s="860"/>
      <c r="O166" s="860"/>
      <c r="P166" s="860"/>
      <c r="Q166" s="860"/>
      <c r="R166" s="860"/>
      <c r="S166" s="860"/>
      <c r="T166" s="855">
        <f t="shared" si="123"/>
        <v>0</v>
      </c>
      <c r="U166" s="860"/>
      <c r="V166" s="860"/>
      <c r="W166" s="860"/>
      <c r="X166" s="860"/>
      <c r="Y166" s="860"/>
      <c r="Z166" s="860"/>
      <c r="AA166" s="860"/>
      <c r="AB166" s="860"/>
      <c r="AC166" s="860"/>
      <c r="AD166" s="860"/>
      <c r="AE166" s="860"/>
      <c r="AF166" s="860"/>
      <c r="AG166" s="860"/>
      <c r="AH166" s="860"/>
      <c r="AI166" s="860">
        <f t="shared" si="140"/>
        <v>879</v>
      </c>
      <c r="AJ166" s="860">
        <v>879</v>
      </c>
      <c r="AK166" s="860"/>
      <c r="AL166" s="860"/>
      <c r="AM166" s="860"/>
      <c r="AN166" s="860"/>
      <c r="AO166" s="860"/>
      <c r="AP166" s="860"/>
      <c r="AQ166" s="860"/>
      <c r="AR166" s="860"/>
      <c r="AS166" s="860"/>
      <c r="AT166" s="860"/>
      <c r="AU166" s="860"/>
      <c r="AV166" s="860"/>
      <c r="AW166" s="860"/>
      <c r="AX166" s="860"/>
      <c r="AY166" s="855">
        <f t="shared" si="139"/>
        <v>0</v>
      </c>
      <c r="AZ166" s="860"/>
      <c r="BA166" s="860"/>
      <c r="BB166" s="860"/>
      <c r="BC166" s="860"/>
      <c r="BD166" s="860"/>
      <c r="BE166" s="860"/>
      <c r="BF166" s="860"/>
      <c r="BG166" s="860"/>
      <c r="BH166" s="860"/>
      <c r="BI166" s="860"/>
      <c r="BJ166" s="860"/>
      <c r="BK166" s="860"/>
      <c r="BL166" s="860"/>
      <c r="BM166" s="860"/>
      <c r="BN166" s="860"/>
      <c r="BO166" s="848">
        <f t="shared" si="107"/>
        <v>878.09249999999997</v>
      </c>
      <c r="BP166" s="860">
        <v>878.09249999999997</v>
      </c>
      <c r="BQ166" s="860"/>
      <c r="BR166" s="860"/>
      <c r="BS166" s="860"/>
      <c r="BT166" s="860"/>
      <c r="BU166" s="860"/>
      <c r="BV166" s="860"/>
      <c r="BW166" s="860"/>
      <c r="BX166" s="860"/>
      <c r="BY166" s="860"/>
      <c r="BZ166" s="860"/>
      <c r="CA166" s="860"/>
      <c r="CB166" s="860"/>
      <c r="CC166" s="860"/>
      <c r="CD166" s="860"/>
      <c r="CE166" s="860"/>
      <c r="CF166" s="848"/>
      <c r="CG166" s="848"/>
      <c r="CH166" s="848"/>
      <c r="CI166" s="848"/>
      <c r="CJ166" s="848"/>
      <c r="CK166" s="848"/>
      <c r="CL166" s="848"/>
      <c r="CM166" s="848"/>
      <c r="CN166" s="848"/>
      <c r="CO166" s="848"/>
      <c r="CP166" s="848"/>
      <c r="CQ166" s="848"/>
      <c r="CR166" s="848"/>
      <c r="CS166" s="848"/>
      <c r="CT166" s="848"/>
      <c r="CU166" s="848"/>
      <c r="CV166" s="848"/>
      <c r="CW166" s="848"/>
    </row>
    <row r="167" spans="1:101" ht="48" customHeight="1">
      <c r="A167" s="871"/>
      <c r="B167" s="867" t="s">
        <v>594</v>
      </c>
      <c r="C167" s="852" t="s">
        <v>632</v>
      </c>
      <c r="D167" s="867"/>
      <c r="E167" s="867"/>
      <c r="F167" s="861" t="s">
        <v>633</v>
      </c>
      <c r="G167" s="861" t="s">
        <v>634</v>
      </c>
      <c r="H167" s="850">
        <f t="shared" si="91"/>
        <v>0</v>
      </c>
      <c r="I167" s="860"/>
      <c r="J167" s="860"/>
      <c r="K167" s="860"/>
      <c r="L167" s="860"/>
      <c r="M167" s="860"/>
      <c r="N167" s="860"/>
      <c r="O167" s="860"/>
      <c r="P167" s="860"/>
      <c r="Q167" s="860"/>
      <c r="R167" s="860"/>
      <c r="S167" s="860"/>
      <c r="T167" s="855">
        <f t="shared" si="123"/>
        <v>190</v>
      </c>
      <c r="U167" s="860">
        <v>190</v>
      </c>
      <c r="V167" s="860"/>
      <c r="W167" s="860"/>
      <c r="X167" s="860"/>
      <c r="Y167" s="860"/>
      <c r="Z167" s="860"/>
      <c r="AA167" s="860"/>
      <c r="AB167" s="860"/>
      <c r="AC167" s="860"/>
      <c r="AD167" s="860"/>
      <c r="AE167" s="860"/>
      <c r="AF167" s="860"/>
      <c r="AG167" s="860"/>
      <c r="AH167" s="860"/>
      <c r="AI167" s="860">
        <f t="shared" si="140"/>
        <v>220</v>
      </c>
      <c r="AJ167" s="860">
        <v>220</v>
      </c>
      <c r="AK167" s="860"/>
      <c r="AL167" s="860"/>
      <c r="AM167" s="860"/>
      <c r="AN167" s="860"/>
      <c r="AO167" s="860"/>
      <c r="AP167" s="860"/>
      <c r="AQ167" s="860"/>
      <c r="AR167" s="860"/>
      <c r="AS167" s="860"/>
      <c r="AT167" s="860"/>
      <c r="AU167" s="860"/>
      <c r="AV167" s="860"/>
      <c r="AW167" s="860"/>
      <c r="AX167" s="860"/>
      <c r="AY167" s="855">
        <f t="shared" si="139"/>
        <v>0</v>
      </c>
      <c r="AZ167" s="860"/>
      <c r="BA167" s="860"/>
      <c r="BB167" s="860"/>
      <c r="BC167" s="860"/>
      <c r="BD167" s="860"/>
      <c r="BE167" s="860"/>
      <c r="BF167" s="860"/>
      <c r="BG167" s="860"/>
      <c r="BH167" s="860"/>
      <c r="BI167" s="860"/>
      <c r="BJ167" s="860"/>
      <c r="BK167" s="860"/>
      <c r="BL167" s="860"/>
      <c r="BM167" s="860"/>
      <c r="BN167" s="860"/>
      <c r="BO167" s="848">
        <f t="shared" si="107"/>
        <v>29.901</v>
      </c>
      <c r="BP167" s="860">
        <v>29.901</v>
      </c>
      <c r="BQ167" s="860"/>
      <c r="BR167" s="860"/>
      <c r="BS167" s="860"/>
      <c r="BT167" s="860"/>
      <c r="BU167" s="860"/>
      <c r="BV167" s="860"/>
      <c r="BW167" s="860"/>
      <c r="BX167" s="860"/>
      <c r="BY167" s="860"/>
      <c r="BZ167" s="860"/>
      <c r="CA167" s="860"/>
      <c r="CB167" s="860"/>
      <c r="CC167" s="860"/>
      <c r="CD167" s="860"/>
      <c r="CE167" s="860"/>
      <c r="CF167" s="848"/>
      <c r="CG167" s="848"/>
      <c r="CH167" s="848"/>
      <c r="CI167" s="848"/>
      <c r="CJ167" s="848"/>
      <c r="CK167" s="848"/>
      <c r="CL167" s="848"/>
      <c r="CM167" s="848"/>
      <c r="CN167" s="848"/>
      <c r="CO167" s="848"/>
      <c r="CP167" s="848"/>
      <c r="CQ167" s="848"/>
      <c r="CR167" s="848"/>
      <c r="CS167" s="848"/>
      <c r="CT167" s="848"/>
      <c r="CU167" s="848"/>
      <c r="CV167" s="848"/>
      <c r="CW167" s="848"/>
    </row>
    <row r="168" spans="1:101" ht="43.9" customHeight="1">
      <c r="A168" s="871"/>
      <c r="B168" s="867" t="s">
        <v>594</v>
      </c>
      <c r="C168" s="852" t="s">
        <v>635</v>
      </c>
      <c r="D168" s="867"/>
      <c r="E168" s="867"/>
      <c r="F168" s="861" t="s">
        <v>636</v>
      </c>
      <c r="G168" s="861" t="s">
        <v>637</v>
      </c>
      <c r="H168" s="850">
        <f t="shared" si="91"/>
        <v>1255</v>
      </c>
      <c r="I168" s="860">
        <v>1255</v>
      </c>
      <c r="J168" s="860"/>
      <c r="K168" s="860"/>
      <c r="L168" s="860"/>
      <c r="M168" s="860"/>
      <c r="N168" s="860"/>
      <c r="O168" s="860"/>
      <c r="P168" s="860"/>
      <c r="Q168" s="860"/>
      <c r="R168" s="860"/>
      <c r="S168" s="860"/>
      <c r="T168" s="855">
        <f t="shared" si="123"/>
        <v>216.25700000000001</v>
      </c>
      <c r="U168" s="860">
        <v>216.25700000000001</v>
      </c>
      <c r="V168" s="860"/>
      <c r="W168" s="860"/>
      <c r="X168" s="860"/>
      <c r="Y168" s="860"/>
      <c r="Z168" s="860"/>
      <c r="AA168" s="860"/>
      <c r="AB168" s="860"/>
      <c r="AC168" s="860"/>
      <c r="AD168" s="860"/>
      <c r="AE168" s="860"/>
      <c r="AF168" s="860"/>
      <c r="AG168" s="860"/>
      <c r="AH168" s="860"/>
      <c r="AI168" s="860">
        <f t="shared" si="140"/>
        <v>879</v>
      </c>
      <c r="AJ168" s="860">
        <v>879</v>
      </c>
      <c r="AK168" s="860"/>
      <c r="AL168" s="860"/>
      <c r="AM168" s="860"/>
      <c r="AN168" s="860"/>
      <c r="AO168" s="860"/>
      <c r="AP168" s="860"/>
      <c r="AQ168" s="860"/>
      <c r="AR168" s="860"/>
      <c r="AS168" s="860"/>
      <c r="AT168" s="860"/>
      <c r="AU168" s="860"/>
      <c r="AV168" s="860"/>
      <c r="AW168" s="860"/>
      <c r="AX168" s="860"/>
      <c r="AY168" s="855">
        <f t="shared" si="139"/>
        <v>0</v>
      </c>
      <c r="AZ168" s="860"/>
      <c r="BA168" s="860"/>
      <c r="BB168" s="860"/>
      <c r="BC168" s="860"/>
      <c r="BD168" s="860"/>
      <c r="BE168" s="860"/>
      <c r="BF168" s="860"/>
      <c r="BG168" s="860"/>
      <c r="BH168" s="860"/>
      <c r="BI168" s="860"/>
      <c r="BJ168" s="860"/>
      <c r="BK168" s="860"/>
      <c r="BL168" s="860"/>
      <c r="BM168" s="860"/>
      <c r="BN168" s="860"/>
      <c r="BO168" s="848">
        <f t="shared" si="107"/>
        <v>654.17190000000005</v>
      </c>
      <c r="BP168" s="860">
        <v>654.17190000000005</v>
      </c>
      <c r="BQ168" s="860"/>
      <c r="BR168" s="860"/>
      <c r="BS168" s="860"/>
      <c r="BT168" s="860"/>
      <c r="BU168" s="860"/>
      <c r="BV168" s="860"/>
      <c r="BW168" s="860"/>
      <c r="BX168" s="860"/>
      <c r="BY168" s="860"/>
      <c r="BZ168" s="860"/>
      <c r="CA168" s="860"/>
      <c r="CB168" s="860"/>
      <c r="CC168" s="860"/>
      <c r="CD168" s="860"/>
      <c r="CE168" s="860"/>
      <c r="CF168" s="848"/>
      <c r="CG168" s="848"/>
      <c r="CH168" s="848"/>
      <c r="CI168" s="848"/>
      <c r="CJ168" s="848"/>
      <c r="CK168" s="848"/>
      <c r="CL168" s="848"/>
      <c r="CM168" s="848"/>
      <c r="CN168" s="848"/>
      <c r="CO168" s="848"/>
      <c r="CP168" s="848"/>
      <c r="CQ168" s="848"/>
      <c r="CR168" s="848"/>
      <c r="CS168" s="848"/>
      <c r="CT168" s="848"/>
      <c r="CU168" s="848"/>
      <c r="CV168" s="848"/>
      <c r="CW168" s="848"/>
    </row>
    <row r="169" spans="1:101" ht="48" customHeight="1">
      <c r="A169" s="871"/>
      <c r="B169" s="867" t="s">
        <v>594</v>
      </c>
      <c r="C169" s="852" t="s">
        <v>638</v>
      </c>
      <c r="D169" s="867"/>
      <c r="E169" s="867"/>
      <c r="F169" s="861" t="s">
        <v>639</v>
      </c>
      <c r="G169" s="861" t="s">
        <v>640</v>
      </c>
      <c r="H169" s="850">
        <f t="shared" si="91"/>
        <v>0</v>
      </c>
      <c r="I169" s="860"/>
      <c r="J169" s="860"/>
      <c r="K169" s="860"/>
      <c r="L169" s="860"/>
      <c r="M169" s="860"/>
      <c r="N169" s="860"/>
      <c r="O169" s="860"/>
      <c r="P169" s="860"/>
      <c r="Q169" s="860"/>
      <c r="R169" s="860"/>
      <c r="S169" s="860"/>
      <c r="T169" s="855">
        <f t="shared" si="123"/>
        <v>362</v>
      </c>
      <c r="U169" s="860">
        <v>362</v>
      </c>
      <c r="V169" s="860"/>
      <c r="W169" s="860"/>
      <c r="X169" s="860"/>
      <c r="Y169" s="860"/>
      <c r="Z169" s="860"/>
      <c r="AA169" s="860"/>
      <c r="AB169" s="860"/>
      <c r="AC169" s="860"/>
      <c r="AD169" s="860"/>
      <c r="AE169" s="860"/>
      <c r="AF169" s="860"/>
      <c r="AG169" s="860"/>
      <c r="AH169" s="860"/>
      <c r="AI169" s="860">
        <f>AJ169</f>
        <v>439</v>
      </c>
      <c r="AJ169" s="860">
        <v>439</v>
      </c>
      <c r="AK169" s="860"/>
      <c r="AL169" s="860"/>
      <c r="AM169" s="860"/>
      <c r="AN169" s="860"/>
      <c r="AO169" s="860"/>
      <c r="AP169" s="860"/>
      <c r="AQ169" s="860"/>
      <c r="AR169" s="860"/>
      <c r="AS169" s="860"/>
      <c r="AT169" s="860"/>
      <c r="AU169" s="860"/>
      <c r="AV169" s="860"/>
      <c r="AW169" s="860"/>
      <c r="AX169" s="860"/>
      <c r="AY169" s="855">
        <f t="shared" si="139"/>
        <v>0</v>
      </c>
      <c r="AZ169" s="860"/>
      <c r="BA169" s="860"/>
      <c r="BB169" s="860"/>
      <c r="BC169" s="860"/>
      <c r="BD169" s="860"/>
      <c r="BE169" s="860"/>
      <c r="BF169" s="860"/>
      <c r="BG169" s="860"/>
      <c r="BH169" s="860"/>
      <c r="BI169" s="860"/>
      <c r="BJ169" s="860"/>
      <c r="BK169" s="860"/>
      <c r="BL169" s="860"/>
      <c r="BM169" s="860"/>
      <c r="BN169" s="860"/>
      <c r="BO169" s="848">
        <f t="shared" si="107"/>
        <v>76.416300000000007</v>
      </c>
      <c r="BP169" s="860">
        <v>76.416300000000007</v>
      </c>
      <c r="BQ169" s="860"/>
      <c r="BR169" s="860"/>
      <c r="BS169" s="860"/>
      <c r="BT169" s="860"/>
      <c r="BU169" s="860"/>
      <c r="BV169" s="860"/>
      <c r="BW169" s="860"/>
      <c r="BX169" s="860"/>
      <c r="BY169" s="860"/>
      <c r="BZ169" s="860"/>
      <c r="CA169" s="860"/>
      <c r="CB169" s="860"/>
      <c r="CC169" s="860"/>
      <c r="CD169" s="860"/>
      <c r="CE169" s="860"/>
      <c r="CF169" s="848"/>
      <c r="CG169" s="848"/>
      <c r="CH169" s="848"/>
      <c r="CI169" s="848"/>
      <c r="CJ169" s="848"/>
      <c r="CK169" s="848"/>
      <c r="CL169" s="848"/>
      <c r="CM169" s="848"/>
      <c r="CN169" s="848"/>
      <c r="CO169" s="848"/>
      <c r="CP169" s="848"/>
      <c r="CQ169" s="848"/>
      <c r="CR169" s="848"/>
      <c r="CS169" s="848"/>
      <c r="CT169" s="848"/>
      <c r="CU169" s="848"/>
      <c r="CV169" s="848"/>
      <c r="CW169" s="848"/>
    </row>
    <row r="170" spans="1:101" ht="39.6" customHeight="1">
      <c r="A170" s="871"/>
      <c r="B170" s="867" t="s">
        <v>594</v>
      </c>
      <c r="C170" s="852" t="s">
        <v>641</v>
      </c>
      <c r="D170" s="867"/>
      <c r="E170" s="867"/>
      <c r="F170" s="861" t="s">
        <v>642</v>
      </c>
      <c r="G170" s="861" t="s">
        <v>643</v>
      </c>
      <c r="H170" s="850">
        <f t="shared" si="91"/>
        <v>614</v>
      </c>
      <c r="I170" s="860">
        <v>614</v>
      </c>
      <c r="J170" s="860"/>
      <c r="K170" s="860"/>
      <c r="L170" s="860"/>
      <c r="M170" s="860"/>
      <c r="N170" s="860"/>
      <c r="O170" s="860"/>
      <c r="P170" s="860"/>
      <c r="Q170" s="860"/>
      <c r="R170" s="860"/>
      <c r="S170" s="860"/>
      <c r="T170" s="855">
        <f t="shared" si="123"/>
        <v>439.5</v>
      </c>
      <c r="U170" s="860">
        <v>439.5</v>
      </c>
      <c r="V170" s="860"/>
      <c r="W170" s="860"/>
      <c r="X170" s="860"/>
      <c r="Y170" s="860"/>
      <c r="Z170" s="860"/>
      <c r="AA170" s="860"/>
      <c r="AB170" s="860"/>
      <c r="AC170" s="860"/>
      <c r="AD170" s="860"/>
      <c r="AE170" s="860"/>
      <c r="AF170" s="860"/>
      <c r="AG170" s="860"/>
      <c r="AH170" s="860"/>
      <c r="AI170" s="860">
        <f t="shared" ref="AI170:AI175" si="141">AJ170</f>
        <v>440</v>
      </c>
      <c r="AJ170" s="860">
        <v>440</v>
      </c>
      <c r="AK170" s="860"/>
      <c r="AL170" s="860"/>
      <c r="AM170" s="860"/>
      <c r="AN170" s="860"/>
      <c r="AO170" s="860"/>
      <c r="AP170" s="860"/>
      <c r="AQ170" s="860"/>
      <c r="AR170" s="860"/>
      <c r="AS170" s="860"/>
      <c r="AT170" s="860"/>
      <c r="AU170" s="860"/>
      <c r="AV170" s="860"/>
      <c r="AW170" s="860"/>
      <c r="AX170" s="860"/>
      <c r="AY170" s="855">
        <f t="shared" si="139"/>
        <v>0</v>
      </c>
      <c r="AZ170" s="860"/>
      <c r="BA170" s="860"/>
      <c r="BB170" s="860"/>
      <c r="BC170" s="860"/>
      <c r="BD170" s="860"/>
      <c r="BE170" s="860"/>
      <c r="BF170" s="860"/>
      <c r="BG170" s="860"/>
      <c r="BH170" s="860"/>
      <c r="BI170" s="860"/>
      <c r="BJ170" s="860"/>
      <c r="BK170" s="860"/>
      <c r="BL170" s="860"/>
      <c r="BM170" s="860"/>
      <c r="BN170" s="860"/>
      <c r="BO170" s="848">
        <f t="shared" si="107"/>
        <v>0</v>
      </c>
      <c r="BP170" s="860">
        <v>0</v>
      </c>
      <c r="BQ170" s="860"/>
      <c r="BR170" s="860"/>
      <c r="BS170" s="860"/>
      <c r="BT170" s="860"/>
      <c r="BU170" s="860"/>
      <c r="BV170" s="860"/>
      <c r="BW170" s="860"/>
      <c r="BX170" s="860"/>
      <c r="BY170" s="860"/>
      <c r="BZ170" s="860"/>
      <c r="CA170" s="860"/>
      <c r="CB170" s="860"/>
      <c r="CC170" s="860"/>
      <c r="CD170" s="860"/>
      <c r="CE170" s="860"/>
      <c r="CF170" s="848"/>
      <c r="CG170" s="848"/>
      <c r="CH170" s="848"/>
      <c r="CI170" s="848"/>
      <c r="CJ170" s="848"/>
      <c r="CK170" s="848"/>
      <c r="CL170" s="848"/>
      <c r="CM170" s="848"/>
      <c r="CN170" s="848"/>
      <c r="CO170" s="848"/>
      <c r="CP170" s="848"/>
      <c r="CQ170" s="848"/>
      <c r="CR170" s="848"/>
      <c r="CS170" s="848"/>
      <c r="CT170" s="848"/>
      <c r="CU170" s="848"/>
      <c r="CV170" s="848"/>
      <c r="CW170" s="848"/>
    </row>
    <row r="171" spans="1:101" ht="47.45" customHeight="1">
      <c r="A171" s="871"/>
      <c r="B171" s="867" t="s">
        <v>594</v>
      </c>
      <c r="C171" s="852" t="s">
        <v>644</v>
      </c>
      <c r="D171" s="867"/>
      <c r="E171" s="867"/>
      <c r="F171" s="853" t="s">
        <v>645</v>
      </c>
      <c r="G171" s="853" t="s">
        <v>646</v>
      </c>
      <c r="H171" s="850">
        <f t="shared" si="91"/>
        <v>1172</v>
      </c>
      <c r="I171" s="860">
        <v>1172</v>
      </c>
      <c r="J171" s="860"/>
      <c r="K171" s="860"/>
      <c r="L171" s="860"/>
      <c r="M171" s="860"/>
      <c r="N171" s="860"/>
      <c r="O171" s="860"/>
      <c r="P171" s="860"/>
      <c r="Q171" s="860"/>
      <c r="R171" s="860"/>
      <c r="S171" s="860"/>
      <c r="T171" s="855">
        <f t="shared" si="123"/>
        <v>0</v>
      </c>
      <c r="U171" s="860"/>
      <c r="V171" s="860"/>
      <c r="W171" s="860"/>
      <c r="X171" s="860"/>
      <c r="Y171" s="860"/>
      <c r="Z171" s="860"/>
      <c r="AA171" s="860"/>
      <c r="AB171" s="860"/>
      <c r="AC171" s="860"/>
      <c r="AD171" s="860"/>
      <c r="AE171" s="860"/>
      <c r="AF171" s="860"/>
      <c r="AG171" s="860"/>
      <c r="AH171" s="860"/>
      <c r="AI171" s="860">
        <f t="shared" si="141"/>
        <v>879</v>
      </c>
      <c r="AJ171" s="860">
        <v>879</v>
      </c>
      <c r="AK171" s="860"/>
      <c r="AL171" s="860"/>
      <c r="AM171" s="860"/>
      <c r="AN171" s="860"/>
      <c r="AO171" s="860"/>
      <c r="AP171" s="860"/>
      <c r="AQ171" s="860"/>
      <c r="AR171" s="860"/>
      <c r="AS171" s="860"/>
      <c r="AT171" s="860"/>
      <c r="AU171" s="860"/>
      <c r="AV171" s="860"/>
      <c r="AW171" s="860"/>
      <c r="AX171" s="860"/>
      <c r="AY171" s="855">
        <f t="shared" si="139"/>
        <v>0</v>
      </c>
      <c r="AZ171" s="860"/>
      <c r="BA171" s="860"/>
      <c r="BB171" s="860"/>
      <c r="BC171" s="860"/>
      <c r="BD171" s="860"/>
      <c r="BE171" s="860"/>
      <c r="BF171" s="860"/>
      <c r="BG171" s="860"/>
      <c r="BH171" s="860"/>
      <c r="BI171" s="860"/>
      <c r="BJ171" s="860"/>
      <c r="BK171" s="860"/>
      <c r="BL171" s="860"/>
      <c r="BM171" s="860"/>
      <c r="BN171" s="860"/>
      <c r="BO171" s="848">
        <f t="shared" si="107"/>
        <v>842.69313599999998</v>
      </c>
      <c r="BP171" s="860">
        <v>842.69313599999998</v>
      </c>
      <c r="BQ171" s="860"/>
      <c r="BR171" s="860"/>
      <c r="BS171" s="860"/>
      <c r="BT171" s="860"/>
      <c r="BU171" s="860"/>
      <c r="BV171" s="860"/>
      <c r="BW171" s="860"/>
      <c r="BX171" s="860"/>
      <c r="BY171" s="860"/>
      <c r="BZ171" s="860"/>
      <c r="CA171" s="860"/>
      <c r="CB171" s="860"/>
      <c r="CC171" s="860"/>
      <c r="CD171" s="860"/>
      <c r="CE171" s="860"/>
      <c r="CF171" s="848"/>
      <c r="CG171" s="848"/>
      <c r="CH171" s="848"/>
      <c r="CI171" s="848"/>
      <c r="CJ171" s="848"/>
      <c r="CK171" s="848"/>
      <c r="CL171" s="848"/>
      <c r="CM171" s="848"/>
      <c r="CN171" s="848"/>
      <c r="CO171" s="848"/>
      <c r="CP171" s="848"/>
      <c r="CQ171" s="848"/>
      <c r="CR171" s="848"/>
      <c r="CS171" s="848"/>
      <c r="CT171" s="848"/>
      <c r="CU171" s="848"/>
      <c r="CV171" s="848"/>
      <c r="CW171" s="848"/>
    </row>
    <row r="172" spans="1:101" ht="42" customHeight="1">
      <c r="A172" s="871"/>
      <c r="B172" s="867" t="s">
        <v>594</v>
      </c>
      <c r="C172" s="852" t="s">
        <v>647</v>
      </c>
      <c r="D172" s="867"/>
      <c r="E172" s="867"/>
      <c r="F172" s="861" t="s">
        <v>648</v>
      </c>
      <c r="G172" s="861" t="s">
        <v>649</v>
      </c>
      <c r="H172" s="850">
        <f t="shared" si="91"/>
        <v>1258</v>
      </c>
      <c r="I172" s="860">
        <v>1258</v>
      </c>
      <c r="J172" s="860"/>
      <c r="K172" s="860"/>
      <c r="L172" s="860"/>
      <c r="M172" s="860"/>
      <c r="N172" s="860"/>
      <c r="O172" s="860"/>
      <c r="P172" s="860"/>
      <c r="Q172" s="860"/>
      <c r="R172" s="860"/>
      <c r="S172" s="860"/>
      <c r="T172" s="855">
        <f t="shared" si="123"/>
        <v>815.29499999999996</v>
      </c>
      <c r="U172" s="879">
        <v>815.29499999999996</v>
      </c>
      <c r="V172" s="860"/>
      <c r="W172" s="860"/>
      <c r="X172" s="860"/>
      <c r="Y172" s="860"/>
      <c r="Z172" s="860"/>
      <c r="AA172" s="860"/>
      <c r="AB172" s="860"/>
      <c r="AC172" s="860"/>
      <c r="AD172" s="860"/>
      <c r="AE172" s="860"/>
      <c r="AF172" s="860"/>
      <c r="AG172" s="860"/>
      <c r="AH172" s="860"/>
      <c r="AI172" s="860">
        <f t="shared" si="141"/>
        <v>879</v>
      </c>
      <c r="AJ172" s="860">
        <v>879</v>
      </c>
      <c r="AK172" s="860"/>
      <c r="AL172" s="860"/>
      <c r="AM172" s="860"/>
      <c r="AN172" s="860"/>
      <c r="AO172" s="860"/>
      <c r="AP172" s="860"/>
      <c r="AQ172" s="860"/>
      <c r="AR172" s="860"/>
      <c r="AS172" s="860"/>
      <c r="AT172" s="860"/>
      <c r="AU172" s="860"/>
      <c r="AV172" s="860"/>
      <c r="AW172" s="860"/>
      <c r="AX172" s="860"/>
      <c r="AY172" s="855">
        <f t="shared" si="139"/>
        <v>0</v>
      </c>
      <c r="AZ172" s="860"/>
      <c r="BA172" s="860"/>
      <c r="BB172" s="860"/>
      <c r="BC172" s="860"/>
      <c r="BD172" s="860"/>
      <c r="BE172" s="860"/>
      <c r="BF172" s="860"/>
      <c r="BG172" s="860"/>
      <c r="BH172" s="860"/>
      <c r="BI172" s="860"/>
      <c r="BJ172" s="860"/>
      <c r="BK172" s="860"/>
      <c r="BL172" s="860"/>
      <c r="BM172" s="860"/>
      <c r="BN172" s="860"/>
      <c r="BO172" s="848">
        <f t="shared" si="107"/>
        <v>292.78500000000003</v>
      </c>
      <c r="BP172" s="860">
        <v>292.78500000000003</v>
      </c>
      <c r="BQ172" s="860"/>
      <c r="BR172" s="860"/>
      <c r="BS172" s="860"/>
      <c r="BT172" s="860"/>
      <c r="BU172" s="860"/>
      <c r="BV172" s="860"/>
      <c r="BW172" s="860"/>
      <c r="BX172" s="860"/>
      <c r="BY172" s="860"/>
      <c r="BZ172" s="860"/>
      <c r="CA172" s="860"/>
      <c r="CB172" s="860"/>
      <c r="CC172" s="860"/>
      <c r="CD172" s="860"/>
      <c r="CE172" s="860"/>
      <c r="CF172" s="848"/>
      <c r="CG172" s="848"/>
      <c r="CH172" s="848"/>
      <c r="CI172" s="848"/>
      <c r="CJ172" s="848"/>
      <c r="CK172" s="848"/>
      <c r="CL172" s="848"/>
      <c r="CM172" s="848"/>
      <c r="CN172" s="848"/>
      <c r="CO172" s="848"/>
      <c r="CP172" s="848"/>
      <c r="CQ172" s="848"/>
      <c r="CR172" s="848"/>
      <c r="CS172" s="848"/>
      <c r="CT172" s="848"/>
      <c r="CU172" s="848"/>
      <c r="CV172" s="848"/>
      <c r="CW172" s="848"/>
    </row>
    <row r="173" spans="1:101" ht="46.15" customHeight="1">
      <c r="A173" s="871"/>
      <c r="B173" s="867" t="s">
        <v>594</v>
      </c>
      <c r="C173" s="852" t="s">
        <v>650</v>
      </c>
      <c r="D173" s="867"/>
      <c r="E173" s="867"/>
      <c r="F173" s="853" t="s">
        <v>651</v>
      </c>
      <c r="G173" s="853" t="s">
        <v>652</v>
      </c>
      <c r="H173" s="850">
        <f t="shared" si="91"/>
        <v>314</v>
      </c>
      <c r="I173" s="860">
        <v>314</v>
      </c>
      <c r="J173" s="860"/>
      <c r="K173" s="860"/>
      <c r="L173" s="860"/>
      <c r="M173" s="860"/>
      <c r="N173" s="860"/>
      <c r="O173" s="860"/>
      <c r="P173" s="860"/>
      <c r="Q173" s="860"/>
      <c r="R173" s="860"/>
      <c r="S173" s="860"/>
      <c r="T173" s="855">
        <f t="shared" si="123"/>
        <v>172</v>
      </c>
      <c r="U173" s="860">
        <v>172</v>
      </c>
      <c r="V173" s="860"/>
      <c r="W173" s="860"/>
      <c r="X173" s="860"/>
      <c r="Y173" s="860"/>
      <c r="Z173" s="860"/>
      <c r="AA173" s="860"/>
      <c r="AB173" s="860"/>
      <c r="AC173" s="860"/>
      <c r="AD173" s="860"/>
      <c r="AE173" s="860"/>
      <c r="AF173" s="860"/>
      <c r="AG173" s="860"/>
      <c r="AH173" s="860"/>
      <c r="AI173" s="860">
        <f t="shared" si="141"/>
        <v>220</v>
      </c>
      <c r="AJ173" s="860">
        <v>220</v>
      </c>
      <c r="AK173" s="860"/>
      <c r="AL173" s="860"/>
      <c r="AM173" s="860"/>
      <c r="AN173" s="860"/>
      <c r="AO173" s="860"/>
      <c r="AP173" s="860"/>
      <c r="AQ173" s="860"/>
      <c r="AR173" s="860"/>
      <c r="AS173" s="860"/>
      <c r="AT173" s="860"/>
      <c r="AU173" s="860"/>
      <c r="AV173" s="860"/>
      <c r="AW173" s="860"/>
      <c r="AX173" s="860"/>
      <c r="AY173" s="855">
        <f t="shared" si="139"/>
        <v>0</v>
      </c>
      <c r="AZ173" s="860"/>
      <c r="BA173" s="860"/>
      <c r="BB173" s="860"/>
      <c r="BC173" s="860"/>
      <c r="BD173" s="860"/>
      <c r="BE173" s="860"/>
      <c r="BF173" s="860"/>
      <c r="BG173" s="860"/>
      <c r="BH173" s="860"/>
      <c r="BI173" s="860"/>
      <c r="BJ173" s="860"/>
      <c r="BK173" s="860"/>
      <c r="BL173" s="860"/>
      <c r="BM173" s="860"/>
      <c r="BN173" s="860"/>
      <c r="BO173" s="848">
        <f t="shared" si="107"/>
        <v>47.999400000000001</v>
      </c>
      <c r="BP173" s="860">
        <v>47.999400000000001</v>
      </c>
      <c r="BQ173" s="860"/>
      <c r="BR173" s="860"/>
      <c r="BS173" s="860"/>
      <c r="BT173" s="860"/>
      <c r="BU173" s="860"/>
      <c r="BV173" s="860"/>
      <c r="BW173" s="860"/>
      <c r="BX173" s="860"/>
      <c r="BY173" s="860"/>
      <c r="BZ173" s="860"/>
      <c r="CA173" s="860"/>
      <c r="CB173" s="860"/>
      <c r="CC173" s="860"/>
      <c r="CD173" s="860"/>
      <c r="CE173" s="860"/>
      <c r="CF173" s="848"/>
      <c r="CG173" s="848"/>
      <c r="CH173" s="848"/>
      <c r="CI173" s="848"/>
      <c r="CJ173" s="848"/>
      <c r="CK173" s="848"/>
      <c r="CL173" s="848"/>
      <c r="CM173" s="848"/>
      <c r="CN173" s="848"/>
      <c r="CO173" s="848"/>
      <c r="CP173" s="848"/>
      <c r="CQ173" s="848"/>
      <c r="CR173" s="848"/>
      <c r="CS173" s="848"/>
      <c r="CT173" s="848"/>
      <c r="CU173" s="848"/>
      <c r="CV173" s="848"/>
      <c r="CW173" s="848"/>
    </row>
    <row r="174" spans="1:101" ht="45.6" customHeight="1">
      <c r="A174" s="871"/>
      <c r="B174" s="867" t="s">
        <v>594</v>
      </c>
      <c r="C174" s="852" t="s">
        <v>653</v>
      </c>
      <c r="D174" s="867"/>
      <c r="E174" s="867"/>
      <c r="F174" s="861" t="s">
        <v>654</v>
      </c>
      <c r="G174" s="861" t="s">
        <v>655</v>
      </c>
      <c r="H174" s="850">
        <f t="shared" ref="H174:H192" si="142">SUM(I174:S174)</f>
        <v>1255</v>
      </c>
      <c r="I174" s="860">
        <v>1255</v>
      </c>
      <c r="J174" s="860"/>
      <c r="K174" s="860"/>
      <c r="L174" s="860"/>
      <c r="M174" s="860"/>
      <c r="N174" s="860"/>
      <c r="O174" s="860"/>
      <c r="P174" s="860"/>
      <c r="Q174" s="860"/>
      <c r="R174" s="860"/>
      <c r="S174" s="860"/>
      <c r="T174" s="855">
        <f t="shared" si="123"/>
        <v>425.38200000000001</v>
      </c>
      <c r="U174" s="860">
        <v>425.38200000000001</v>
      </c>
      <c r="V174" s="860"/>
      <c r="W174" s="860"/>
      <c r="X174" s="860"/>
      <c r="Y174" s="860"/>
      <c r="Z174" s="860"/>
      <c r="AA174" s="860"/>
      <c r="AB174" s="860"/>
      <c r="AC174" s="860"/>
      <c r="AD174" s="860"/>
      <c r="AE174" s="860"/>
      <c r="AF174" s="860"/>
      <c r="AG174" s="860"/>
      <c r="AH174" s="860"/>
      <c r="AI174" s="860">
        <f t="shared" si="141"/>
        <v>879</v>
      </c>
      <c r="AJ174" s="860">
        <v>879</v>
      </c>
      <c r="AK174" s="860"/>
      <c r="AL174" s="860"/>
      <c r="AM174" s="860"/>
      <c r="AN174" s="860"/>
      <c r="AO174" s="860"/>
      <c r="AP174" s="860"/>
      <c r="AQ174" s="860"/>
      <c r="AR174" s="860"/>
      <c r="AS174" s="860"/>
      <c r="AT174" s="860"/>
      <c r="AU174" s="860"/>
      <c r="AV174" s="860"/>
      <c r="AW174" s="860"/>
      <c r="AX174" s="860"/>
      <c r="AY174" s="855">
        <f t="shared" si="139"/>
        <v>0</v>
      </c>
      <c r="AZ174" s="860"/>
      <c r="BA174" s="860"/>
      <c r="BB174" s="860"/>
      <c r="BC174" s="860"/>
      <c r="BD174" s="860"/>
      <c r="BE174" s="860"/>
      <c r="BF174" s="860"/>
      <c r="BG174" s="860"/>
      <c r="BH174" s="860"/>
      <c r="BI174" s="860"/>
      <c r="BJ174" s="860"/>
      <c r="BK174" s="860"/>
      <c r="BL174" s="860"/>
      <c r="BM174" s="860"/>
      <c r="BN174" s="860"/>
      <c r="BO174" s="848">
        <f t="shared" si="107"/>
        <v>397.03449999999998</v>
      </c>
      <c r="BP174" s="860">
        <v>397.03449999999998</v>
      </c>
      <c r="BQ174" s="860"/>
      <c r="BR174" s="860"/>
      <c r="BS174" s="860"/>
      <c r="BT174" s="860"/>
      <c r="BU174" s="860"/>
      <c r="BV174" s="860"/>
      <c r="BW174" s="860"/>
      <c r="BX174" s="860"/>
      <c r="BY174" s="860"/>
      <c r="BZ174" s="860"/>
      <c r="CA174" s="860"/>
      <c r="CB174" s="860"/>
      <c r="CC174" s="860"/>
      <c r="CD174" s="860"/>
      <c r="CE174" s="860"/>
      <c r="CF174" s="848"/>
      <c r="CG174" s="848"/>
      <c r="CH174" s="848"/>
      <c r="CI174" s="848"/>
      <c r="CJ174" s="848"/>
      <c r="CK174" s="848"/>
      <c r="CL174" s="848"/>
      <c r="CM174" s="848"/>
      <c r="CN174" s="848"/>
      <c r="CO174" s="848"/>
      <c r="CP174" s="848"/>
      <c r="CQ174" s="848"/>
      <c r="CR174" s="848"/>
      <c r="CS174" s="848"/>
      <c r="CT174" s="848"/>
      <c r="CU174" s="848"/>
      <c r="CV174" s="848"/>
      <c r="CW174" s="848"/>
    </row>
    <row r="175" spans="1:101" ht="46.9" customHeight="1">
      <c r="A175" s="871"/>
      <c r="B175" s="867" t="s">
        <v>594</v>
      </c>
      <c r="C175" s="852" t="s">
        <v>656</v>
      </c>
      <c r="D175" s="867"/>
      <c r="E175" s="867"/>
      <c r="F175" s="853" t="s">
        <v>657</v>
      </c>
      <c r="G175" s="853" t="s">
        <v>658</v>
      </c>
      <c r="H175" s="850">
        <f t="shared" si="142"/>
        <v>440</v>
      </c>
      <c r="I175" s="860">
        <v>440</v>
      </c>
      <c r="J175" s="860"/>
      <c r="K175" s="860"/>
      <c r="L175" s="860"/>
      <c r="M175" s="860"/>
      <c r="N175" s="860"/>
      <c r="O175" s="860"/>
      <c r="P175" s="860"/>
      <c r="Q175" s="860"/>
      <c r="R175" s="860"/>
      <c r="S175" s="860"/>
      <c r="T175" s="855">
        <f t="shared" si="123"/>
        <v>385</v>
      </c>
      <c r="U175" s="860">
        <v>385</v>
      </c>
      <c r="V175" s="860"/>
      <c r="W175" s="860"/>
      <c r="X175" s="860"/>
      <c r="Y175" s="860"/>
      <c r="Z175" s="860"/>
      <c r="AA175" s="860"/>
      <c r="AB175" s="860"/>
      <c r="AC175" s="860"/>
      <c r="AD175" s="860"/>
      <c r="AE175" s="860"/>
      <c r="AF175" s="860"/>
      <c r="AG175" s="860"/>
      <c r="AH175" s="860"/>
      <c r="AI175" s="860">
        <f t="shared" si="141"/>
        <v>440</v>
      </c>
      <c r="AJ175" s="860">
        <v>440</v>
      </c>
      <c r="AK175" s="860"/>
      <c r="AL175" s="860"/>
      <c r="AM175" s="860"/>
      <c r="AN175" s="860"/>
      <c r="AO175" s="860"/>
      <c r="AP175" s="860"/>
      <c r="AQ175" s="860"/>
      <c r="AR175" s="860"/>
      <c r="AS175" s="860"/>
      <c r="AT175" s="860"/>
      <c r="AU175" s="860"/>
      <c r="AV175" s="860"/>
      <c r="AW175" s="860"/>
      <c r="AX175" s="860"/>
      <c r="AY175" s="855">
        <f t="shared" si="139"/>
        <v>0</v>
      </c>
      <c r="AZ175" s="860"/>
      <c r="BA175" s="860"/>
      <c r="BB175" s="860"/>
      <c r="BC175" s="860"/>
      <c r="BD175" s="860"/>
      <c r="BE175" s="860"/>
      <c r="BF175" s="860"/>
      <c r="BG175" s="860"/>
      <c r="BH175" s="860"/>
      <c r="BI175" s="860"/>
      <c r="BJ175" s="860"/>
      <c r="BK175" s="860"/>
      <c r="BL175" s="860"/>
      <c r="BM175" s="860"/>
      <c r="BN175" s="860"/>
      <c r="BO175" s="848">
        <f t="shared" si="107"/>
        <v>48.694482999999998</v>
      </c>
      <c r="BP175" s="860">
        <v>48.694482999999998</v>
      </c>
      <c r="BQ175" s="860"/>
      <c r="BR175" s="860"/>
      <c r="BS175" s="860"/>
      <c r="BT175" s="860"/>
      <c r="BU175" s="860"/>
      <c r="BV175" s="860"/>
      <c r="BW175" s="860"/>
      <c r="BX175" s="860"/>
      <c r="BY175" s="860"/>
      <c r="BZ175" s="860"/>
      <c r="CA175" s="860"/>
      <c r="CB175" s="860"/>
      <c r="CC175" s="860"/>
      <c r="CD175" s="860"/>
      <c r="CE175" s="860"/>
      <c r="CF175" s="848"/>
      <c r="CG175" s="848"/>
      <c r="CH175" s="848"/>
      <c r="CI175" s="848"/>
      <c r="CJ175" s="848"/>
      <c r="CK175" s="848"/>
      <c r="CL175" s="848"/>
      <c r="CM175" s="848"/>
      <c r="CN175" s="848"/>
      <c r="CO175" s="848"/>
      <c r="CP175" s="848"/>
      <c r="CQ175" s="848"/>
      <c r="CR175" s="848"/>
      <c r="CS175" s="848"/>
      <c r="CT175" s="848"/>
      <c r="CU175" s="848"/>
      <c r="CV175" s="848"/>
      <c r="CW175" s="848"/>
    </row>
    <row r="176" spans="1:101" ht="48" customHeight="1">
      <c r="A176" s="871"/>
      <c r="B176" s="867" t="s">
        <v>594</v>
      </c>
      <c r="C176" s="852" t="s">
        <v>659</v>
      </c>
      <c r="D176" s="867"/>
      <c r="E176" s="867"/>
      <c r="F176" s="853" t="s">
        <v>657</v>
      </c>
      <c r="G176" s="853" t="s">
        <v>660</v>
      </c>
      <c r="H176" s="850">
        <f t="shared" si="142"/>
        <v>1187</v>
      </c>
      <c r="I176" s="860">
        <v>1187</v>
      </c>
      <c r="J176" s="860"/>
      <c r="K176" s="860"/>
      <c r="L176" s="860"/>
      <c r="M176" s="860"/>
      <c r="N176" s="860"/>
      <c r="O176" s="860"/>
      <c r="P176" s="860"/>
      <c r="Q176" s="860"/>
      <c r="R176" s="860"/>
      <c r="S176" s="860"/>
      <c r="T176" s="855">
        <f t="shared" si="123"/>
        <v>385</v>
      </c>
      <c r="U176" s="860">
        <v>385</v>
      </c>
      <c r="V176" s="860"/>
      <c r="W176" s="860"/>
      <c r="X176" s="860"/>
      <c r="Y176" s="860"/>
      <c r="Z176" s="860"/>
      <c r="AA176" s="860"/>
      <c r="AB176" s="860"/>
      <c r="AC176" s="860"/>
      <c r="AD176" s="860"/>
      <c r="AE176" s="860"/>
      <c r="AF176" s="860"/>
      <c r="AG176" s="860"/>
      <c r="AH176" s="860"/>
      <c r="AI176" s="860">
        <f>AJ176</f>
        <v>440</v>
      </c>
      <c r="AJ176" s="860">
        <v>440</v>
      </c>
      <c r="AK176" s="860"/>
      <c r="AL176" s="860"/>
      <c r="AM176" s="860"/>
      <c r="AN176" s="860"/>
      <c r="AO176" s="860"/>
      <c r="AP176" s="860"/>
      <c r="AQ176" s="860"/>
      <c r="AR176" s="860"/>
      <c r="AS176" s="860"/>
      <c r="AT176" s="860"/>
      <c r="AU176" s="860"/>
      <c r="AV176" s="860"/>
      <c r="AW176" s="860"/>
      <c r="AX176" s="860"/>
      <c r="AY176" s="855">
        <f t="shared" si="139"/>
        <v>0</v>
      </c>
      <c r="AZ176" s="860"/>
      <c r="BA176" s="860"/>
      <c r="BB176" s="860"/>
      <c r="BC176" s="860"/>
      <c r="BD176" s="860"/>
      <c r="BE176" s="860"/>
      <c r="BF176" s="860"/>
      <c r="BG176" s="860"/>
      <c r="BH176" s="860"/>
      <c r="BI176" s="860"/>
      <c r="BJ176" s="860"/>
      <c r="BK176" s="860"/>
      <c r="BL176" s="860"/>
      <c r="BM176" s="860"/>
      <c r="BN176" s="860"/>
      <c r="BO176" s="848">
        <f t="shared" si="107"/>
        <v>49.696069999999999</v>
      </c>
      <c r="BP176" s="860">
        <v>49.696069999999999</v>
      </c>
      <c r="BQ176" s="860"/>
      <c r="BR176" s="860"/>
      <c r="BS176" s="860"/>
      <c r="BT176" s="860"/>
      <c r="BU176" s="860"/>
      <c r="BV176" s="860"/>
      <c r="BW176" s="860"/>
      <c r="BX176" s="860"/>
      <c r="BY176" s="860"/>
      <c r="BZ176" s="860"/>
      <c r="CA176" s="860"/>
      <c r="CB176" s="860"/>
      <c r="CC176" s="860"/>
      <c r="CD176" s="860"/>
      <c r="CE176" s="860"/>
      <c r="CF176" s="848"/>
      <c r="CG176" s="848"/>
      <c r="CH176" s="848"/>
      <c r="CI176" s="848"/>
      <c r="CJ176" s="848"/>
      <c r="CK176" s="848"/>
      <c r="CL176" s="848"/>
      <c r="CM176" s="848"/>
      <c r="CN176" s="848"/>
      <c r="CO176" s="848"/>
      <c r="CP176" s="848"/>
      <c r="CQ176" s="848"/>
      <c r="CR176" s="848"/>
      <c r="CS176" s="848"/>
      <c r="CT176" s="848"/>
      <c r="CU176" s="848"/>
      <c r="CV176" s="848"/>
      <c r="CW176" s="848"/>
    </row>
    <row r="177" spans="1:101" ht="48" customHeight="1">
      <c r="A177" s="871"/>
      <c r="B177" s="867" t="s">
        <v>594</v>
      </c>
      <c r="C177" s="852" t="s">
        <v>661</v>
      </c>
      <c r="D177" s="867"/>
      <c r="E177" s="867"/>
      <c r="F177" s="861" t="s">
        <v>662</v>
      </c>
      <c r="G177" s="861" t="s">
        <v>663</v>
      </c>
      <c r="H177" s="850">
        <f t="shared" si="142"/>
        <v>0</v>
      </c>
      <c r="I177" s="860"/>
      <c r="J177" s="860"/>
      <c r="K177" s="860"/>
      <c r="L177" s="860"/>
      <c r="M177" s="860"/>
      <c r="N177" s="860"/>
      <c r="O177" s="860"/>
      <c r="P177" s="860"/>
      <c r="Q177" s="860"/>
      <c r="R177" s="860"/>
      <c r="S177" s="860"/>
      <c r="T177" s="855">
        <f t="shared" si="123"/>
        <v>0</v>
      </c>
      <c r="U177" s="860"/>
      <c r="V177" s="860"/>
      <c r="W177" s="860"/>
      <c r="X177" s="860"/>
      <c r="Y177" s="860"/>
      <c r="Z177" s="860"/>
      <c r="AA177" s="860"/>
      <c r="AB177" s="860"/>
      <c r="AC177" s="860"/>
      <c r="AD177" s="860"/>
      <c r="AE177" s="860"/>
      <c r="AF177" s="860"/>
      <c r="AG177" s="860"/>
      <c r="AH177" s="860"/>
      <c r="AI177" s="860">
        <f>AJ177</f>
        <v>220</v>
      </c>
      <c r="AJ177" s="860">
        <v>220</v>
      </c>
      <c r="AK177" s="860"/>
      <c r="AL177" s="860"/>
      <c r="AM177" s="860"/>
      <c r="AN177" s="860"/>
      <c r="AO177" s="860"/>
      <c r="AP177" s="860"/>
      <c r="AQ177" s="860"/>
      <c r="AR177" s="860"/>
      <c r="AS177" s="860"/>
      <c r="AT177" s="860"/>
      <c r="AU177" s="860"/>
      <c r="AV177" s="860"/>
      <c r="AW177" s="860"/>
      <c r="AX177" s="860"/>
      <c r="AY177" s="855">
        <f t="shared" si="139"/>
        <v>0</v>
      </c>
      <c r="AZ177" s="860"/>
      <c r="BA177" s="860"/>
      <c r="BB177" s="860"/>
      <c r="BC177" s="860"/>
      <c r="BD177" s="860"/>
      <c r="BE177" s="860"/>
      <c r="BF177" s="860"/>
      <c r="BG177" s="860"/>
      <c r="BH177" s="860"/>
      <c r="BI177" s="860"/>
      <c r="BJ177" s="860"/>
      <c r="BK177" s="860"/>
      <c r="BL177" s="860"/>
      <c r="BM177" s="860"/>
      <c r="BN177" s="860"/>
      <c r="BO177" s="848">
        <f t="shared" si="107"/>
        <v>218.94880000000001</v>
      </c>
      <c r="BP177" s="860">
        <v>218.94880000000001</v>
      </c>
      <c r="BQ177" s="860"/>
      <c r="BR177" s="860"/>
      <c r="BS177" s="860"/>
      <c r="BT177" s="860"/>
      <c r="BU177" s="860"/>
      <c r="BV177" s="860"/>
      <c r="BW177" s="860"/>
      <c r="BX177" s="860"/>
      <c r="BY177" s="860"/>
      <c r="BZ177" s="860"/>
      <c r="CA177" s="860"/>
      <c r="CB177" s="860"/>
      <c r="CC177" s="860"/>
      <c r="CD177" s="860"/>
      <c r="CE177" s="860"/>
      <c r="CF177" s="848"/>
      <c r="CG177" s="848"/>
      <c r="CH177" s="848"/>
      <c r="CI177" s="848"/>
      <c r="CJ177" s="848"/>
      <c r="CK177" s="848"/>
      <c r="CL177" s="848"/>
      <c r="CM177" s="848"/>
      <c r="CN177" s="848"/>
      <c r="CO177" s="848"/>
      <c r="CP177" s="848"/>
      <c r="CQ177" s="848"/>
      <c r="CR177" s="848"/>
      <c r="CS177" s="848"/>
      <c r="CT177" s="848"/>
      <c r="CU177" s="848"/>
      <c r="CV177" s="848"/>
      <c r="CW177" s="848"/>
    </row>
    <row r="178" spans="1:101" ht="48" customHeight="1">
      <c r="A178" s="871"/>
      <c r="B178" s="867" t="s">
        <v>594</v>
      </c>
      <c r="C178" s="852" t="s">
        <v>664</v>
      </c>
      <c r="D178" s="867"/>
      <c r="E178" s="867"/>
      <c r="F178" s="861" t="s">
        <v>665</v>
      </c>
      <c r="G178" s="861" t="s">
        <v>666</v>
      </c>
      <c r="H178" s="850">
        <f t="shared" si="142"/>
        <v>1256</v>
      </c>
      <c r="I178" s="860">
        <v>1256</v>
      </c>
      <c r="J178" s="860"/>
      <c r="K178" s="860"/>
      <c r="L178" s="860"/>
      <c r="M178" s="860"/>
      <c r="N178" s="860"/>
      <c r="O178" s="860"/>
      <c r="P178" s="860"/>
      <c r="Q178" s="860"/>
      <c r="R178" s="860"/>
      <c r="S178" s="860"/>
      <c r="T178" s="855">
        <f t="shared" si="123"/>
        <v>818.32939999999996</v>
      </c>
      <c r="U178" s="860">
        <v>818.32939999999996</v>
      </c>
      <c r="V178" s="860"/>
      <c r="W178" s="860"/>
      <c r="X178" s="860"/>
      <c r="Y178" s="860"/>
      <c r="Z178" s="860"/>
      <c r="AA178" s="860"/>
      <c r="AB178" s="860"/>
      <c r="AC178" s="860"/>
      <c r="AD178" s="860"/>
      <c r="AE178" s="860"/>
      <c r="AF178" s="860"/>
      <c r="AG178" s="860"/>
      <c r="AH178" s="860"/>
      <c r="AI178" s="860">
        <f>AJ178</f>
        <v>879</v>
      </c>
      <c r="AJ178" s="860">
        <v>879</v>
      </c>
      <c r="AK178" s="860"/>
      <c r="AL178" s="860"/>
      <c r="AM178" s="860"/>
      <c r="AN178" s="860"/>
      <c r="AO178" s="860"/>
      <c r="AP178" s="860"/>
      <c r="AQ178" s="860"/>
      <c r="AR178" s="860"/>
      <c r="AS178" s="860"/>
      <c r="AT178" s="860"/>
      <c r="AU178" s="860"/>
      <c r="AV178" s="860"/>
      <c r="AW178" s="860"/>
      <c r="AX178" s="860"/>
      <c r="AY178" s="855">
        <f t="shared" si="139"/>
        <v>0</v>
      </c>
      <c r="AZ178" s="860"/>
      <c r="BA178" s="860"/>
      <c r="BB178" s="860"/>
      <c r="BC178" s="860"/>
      <c r="BD178" s="860"/>
      <c r="BE178" s="860"/>
      <c r="BF178" s="860"/>
      <c r="BG178" s="860"/>
      <c r="BH178" s="860"/>
      <c r="BI178" s="860"/>
      <c r="BJ178" s="860"/>
      <c r="BK178" s="860"/>
      <c r="BL178" s="860"/>
      <c r="BM178" s="860"/>
      <c r="BN178" s="860"/>
      <c r="BO178" s="848">
        <f t="shared" si="107"/>
        <v>267.74599999999998</v>
      </c>
      <c r="BP178" s="860">
        <v>267.74599999999998</v>
      </c>
      <c r="BQ178" s="860"/>
      <c r="BR178" s="860"/>
      <c r="BS178" s="860"/>
      <c r="BT178" s="860"/>
      <c r="BU178" s="860"/>
      <c r="BV178" s="860"/>
      <c r="BW178" s="860"/>
      <c r="BX178" s="860"/>
      <c r="BY178" s="860"/>
      <c r="BZ178" s="860"/>
      <c r="CA178" s="860"/>
      <c r="CB178" s="860"/>
      <c r="CC178" s="860"/>
      <c r="CD178" s="860"/>
      <c r="CE178" s="860"/>
      <c r="CF178" s="848"/>
      <c r="CG178" s="848"/>
      <c r="CH178" s="848"/>
      <c r="CI178" s="848"/>
      <c r="CJ178" s="848"/>
      <c r="CK178" s="848"/>
      <c r="CL178" s="848"/>
      <c r="CM178" s="848"/>
      <c r="CN178" s="848"/>
      <c r="CO178" s="848"/>
      <c r="CP178" s="848"/>
      <c r="CQ178" s="848"/>
      <c r="CR178" s="848"/>
      <c r="CS178" s="848"/>
      <c r="CT178" s="848"/>
      <c r="CU178" s="848"/>
      <c r="CV178" s="848"/>
      <c r="CW178" s="848"/>
    </row>
    <row r="179" spans="1:101" ht="48" customHeight="1">
      <c r="A179" s="871"/>
      <c r="B179" s="867" t="s">
        <v>594</v>
      </c>
      <c r="C179" s="852" t="s">
        <v>667</v>
      </c>
      <c r="D179" s="867"/>
      <c r="E179" s="867"/>
      <c r="F179" s="861" t="s">
        <v>668</v>
      </c>
      <c r="G179" s="861" t="s">
        <v>669</v>
      </c>
      <c r="H179" s="850">
        <f t="shared" si="142"/>
        <v>0</v>
      </c>
      <c r="I179" s="860"/>
      <c r="J179" s="860"/>
      <c r="K179" s="860"/>
      <c r="L179" s="860"/>
      <c r="M179" s="860"/>
      <c r="N179" s="860"/>
      <c r="O179" s="860"/>
      <c r="P179" s="860"/>
      <c r="Q179" s="860"/>
      <c r="R179" s="860"/>
      <c r="S179" s="860"/>
      <c r="T179" s="855">
        <f t="shared" si="123"/>
        <v>0</v>
      </c>
      <c r="U179" s="860"/>
      <c r="V179" s="860"/>
      <c r="W179" s="860"/>
      <c r="X179" s="860"/>
      <c r="Y179" s="860"/>
      <c r="Z179" s="860"/>
      <c r="AA179" s="860"/>
      <c r="AB179" s="860"/>
      <c r="AC179" s="860"/>
      <c r="AD179" s="860"/>
      <c r="AE179" s="860"/>
      <c r="AF179" s="860"/>
      <c r="AG179" s="860"/>
      <c r="AH179" s="860"/>
      <c r="AI179" s="860">
        <f>AJ179</f>
        <v>220</v>
      </c>
      <c r="AJ179" s="860">
        <v>220</v>
      </c>
      <c r="AK179" s="860"/>
      <c r="AL179" s="860"/>
      <c r="AM179" s="860"/>
      <c r="AN179" s="860"/>
      <c r="AO179" s="860"/>
      <c r="AP179" s="860"/>
      <c r="AQ179" s="860"/>
      <c r="AR179" s="860"/>
      <c r="AS179" s="860"/>
      <c r="AT179" s="860"/>
      <c r="AU179" s="860"/>
      <c r="AV179" s="860"/>
      <c r="AW179" s="860"/>
      <c r="AX179" s="860"/>
      <c r="AY179" s="855">
        <f t="shared" si="139"/>
        <v>0</v>
      </c>
      <c r="AZ179" s="860"/>
      <c r="BA179" s="860"/>
      <c r="BB179" s="860"/>
      <c r="BC179" s="860"/>
      <c r="BD179" s="860"/>
      <c r="BE179" s="860"/>
      <c r="BF179" s="860"/>
      <c r="BG179" s="860"/>
      <c r="BH179" s="860"/>
      <c r="BI179" s="860"/>
      <c r="BJ179" s="860"/>
      <c r="BK179" s="860"/>
      <c r="BL179" s="860"/>
      <c r="BM179" s="860"/>
      <c r="BN179" s="860"/>
      <c r="BO179" s="848">
        <f t="shared" si="107"/>
        <v>217.0728</v>
      </c>
      <c r="BP179" s="860">
        <v>217.0728</v>
      </c>
      <c r="BQ179" s="860"/>
      <c r="BR179" s="860"/>
      <c r="BS179" s="860"/>
      <c r="BT179" s="860"/>
      <c r="BU179" s="860"/>
      <c r="BV179" s="860"/>
      <c r="BW179" s="860"/>
      <c r="BX179" s="860"/>
      <c r="BY179" s="860"/>
      <c r="BZ179" s="860"/>
      <c r="CA179" s="860"/>
      <c r="CB179" s="860"/>
      <c r="CC179" s="860"/>
      <c r="CD179" s="860"/>
      <c r="CE179" s="860"/>
      <c r="CF179" s="848"/>
      <c r="CG179" s="848"/>
      <c r="CH179" s="848"/>
      <c r="CI179" s="848"/>
      <c r="CJ179" s="848"/>
      <c r="CK179" s="848"/>
      <c r="CL179" s="848"/>
      <c r="CM179" s="848"/>
      <c r="CN179" s="848"/>
      <c r="CO179" s="848"/>
      <c r="CP179" s="848"/>
      <c r="CQ179" s="848"/>
      <c r="CR179" s="848"/>
      <c r="CS179" s="848"/>
      <c r="CT179" s="848"/>
      <c r="CU179" s="848"/>
      <c r="CV179" s="848"/>
      <c r="CW179" s="848"/>
    </row>
    <row r="180" spans="1:101" s="851" customFormat="1" ht="27" customHeight="1">
      <c r="A180" s="868" t="s">
        <v>590</v>
      </c>
      <c r="B180" s="868"/>
      <c r="C180" s="857" t="s">
        <v>670</v>
      </c>
      <c r="D180" s="867">
        <f>D181+D323</f>
        <v>0</v>
      </c>
      <c r="E180" s="864">
        <f>E181+E323</f>
        <v>0</v>
      </c>
      <c r="F180" s="869"/>
      <c r="G180" s="864"/>
      <c r="H180" s="850">
        <f t="shared" si="142"/>
        <v>121054</v>
      </c>
      <c r="I180" s="870">
        <f t="shared" ref="I180:Q180" si="143">SUM(I181:I183)</f>
        <v>0</v>
      </c>
      <c r="J180" s="870">
        <f t="shared" si="143"/>
        <v>0</v>
      </c>
      <c r="K180" s="870">
        <f t="shared" si="143"/>
        <v>0</v>
      </c>
      <c r="L180" s="870">
        <f t="shared" si="143"/>
        <v>0</v>
      </c>
      <c r="M180" s="870">
        <f t="shared" si="143"/>
        <v>0</v>
      </c>
      <c r="N180" s="870">
        <f t="shared" si="143"/>
        <v>0</v>
      </c>
      <c r="O180" s="870">
        <f t="shared" si="143"/>
        <v>0</v>
      </c>
      <c r="P180" s="870">
        <f t="shared" si="143"/>
        <v>0</v>
      </c>
      <c r="Q180" s="870">
        <f t="shared" si="143"/>
        <v>17106</v>
      </c>
      <c r="R180" s="870">
        <v>103948</v>
      </c>
      <c r="S180" s="870">
        <f t="shared" ref="S180:BN180" si="144">SUM(S181:S183)</f>
        <v>0</v>
      </c>
      <c r="T180" s="870">
        <f t="shared" si="144"/>
        <v>107606.638049</v>
      </c>
      <c r="U180" s="870">
        <f t="shared" si="144"/>
        <v>0</v>
      </c>
      <c r="V180" s="870">
        <f t="shared" si="144"/>
        <v>0</v>
      </c>
      <c r="W180" s="870">
        <f t="shared" si="144"/>
        <v>95705.638049000001</v>
      </c>
      <c r="X180" s="870">
        <f t="shared" si="144"/>
        <v>0</v>
      </c>
      <c r="Y180" s="870">
        <f t="shared" si="144"/>
        <v>0</v>
      </c>
      <c r="Z180" s="870">
        <f t="shared" si="144"/>
        <v>10000</v>
      </c>
      <c r="AA180" s="870">
        <f t="shared" si="144"/>
        <v>0</v>
      </c>
      <c r="AB180" s="870">
        <f t="shared" si="144"/>
        <v>0</v>
      </c>
      <c r="AC180" s="870">
        <f t="shared" si="144"/>
        <v>0</v>
      </c>
      <c r="AD180" s="870">
        <f t="shared" si="144"/>
        <v>0</v>
      </c>
      <c r="AE180" s="870">
        <f t="shared" si="144"/>
        <v>0</v>
      </c>
      <c r="AF180" s="870">
        <f t="shared" si="144"/>
        <v>0</v>
      </c>
      <c r="AG180" s="870">
        <f t="shared" si="144"/>
        <v>0</v>
      </c>
      <c r="AH180" s="870">
        <f t="shared" si="144"/>
        <v>1901</v>
      </c>
      <c r="AI180" s="870">
        <f t="shared" si="144"/>
        <v>120641</v>
      </c>
      <c r="AJ180" s="870">
        <f t="shared" si="144"/>
        <v>0</v>
      </c>
      <c r="AK180" s="870">
        <f t="shared" si="144"/>
        <v>0</v>
      </c>
      <c r="AL180" s="870">
        <f t="shared" si="144"/>
        <v>95706</v>
      </c>
      <c r="AM180" s="870">
        <f t="shared" si="144"/>
        <v>0</v>
      </c>
      <c r="AN180" s="870">
        <f t="shared" si="144"/>
        <v>0</v>
      </c>
      <c r="AO180" s="870">
        <f t="shared" si="144"/>
        <v>10000</v>
      </c>
      <c r="AP180" s="870">
        <f t="shared" si="144"/>
        <v>0</v>
      </c>
      <c r="AQ180" s="870">
        <f t="shared" si="144"/>
        <v>0</v>
      </c>
      <c r="AR180" s="870">
        <f t="shared" si="144"/>
        <v>0</v>
      </c>
      <c r="AS180" s="870">
        <f t="shared" si="144"/>
        <v>3000</v>
      </c>
      <c r="AT180" s="870">
        <f t="shared" si="144"/>
        <v>0</v>
      </c>
      <c r="AU180" s="870">
        <f t="shared" si="144"/>
        <v>0</v>
      </c>
      <c r="AV180" s="870">
        <f t="shared" si="144"/>
        <v>0</v>
      </c>
      <c r="AW180" s="870">
        <f t="shared" si="144"/>
        <v>0</v>
      </c>
      <c r="AX180" s="870">
        <f t="shared" si="144"/>
        <v>11935</v>
      </c>
      <c r="AY180" s="870">
        <f t="shared" si="144"/>
        <v>5000</v>
      </c>
      <c r="AZ180" s="870">
        <f t="shared" si="144"/>
        <v>0</v>
      </c>
      <c r="BA180" s="870">
        <f t="shared" si="144"/>
        <v>0</v>
      </c>
      <c r="BB180" s="870">
        <f t="shared" si="144"/>
        <v>0</v>
      </c>
      <c r="BC180" s="870">
        <f t="shared" si="144"/>
        <v>5000</v>
      </c>
      <c r="BD180" s="870">
        <f t="shared" si="144"/>
        <v>0</v>
      </c>
      <c r="BE180" s="870">
        <f t="shared" si="144"/>
        <v>0</v>
      </c>
      <c r="BF180" s="870">
        <f t="shared" si="144"/>
        <v>0</v>
      </c>
      <c r="BG180" s="870">
        <f t="shared" si="144"/>
        <v>0</v>
      </c>
      <c r="BH180" s="870">
        <f t="shared" si="144"/>
        <v>0</v>
      </c>
      <c r="BI180" s="870">
        <f t="shared" si="144"/>
        <v>0</v>
      </c>
      <c r="BJ180" s="870">
        <f t="shared" si="144"/>
        <v>0</v>
      </c>
      <c r="BK180" s="870">
        <f t="shared" si="144"/>
        <v>0</v>
      </c>
      <c r="BL180" s="870">
        <f t="shared" si="144"/>
        <v>0</v>
      </c>
      <c r="BM180" s="870">
        <f t="shared" si="144"/>
        <v>0</v>
      </c>
      <c r="BN180" s="870">
        <f t="shared" si="144"/>
        <v>0</v>
      </c>
      <c r="BO180" s="848">
        <f t="shared" si="107"/>
        <v>5424.8693069999999</v>
      </c>
      <c r="BP180" s="870">
        <f t="shared" ref="BP180:CE180" si="145">SUM(BP181:BP183)</f>
        <v>0</v>
      </c>
      <c r="BQ180" s="870">
        <f t="shared" si="145"/>
        <v>0</v>
      </c>
      <c r="BR180" s="870">
        <f t="shared" si="145"/>
        <v>0</v>
      </c>
      <c r="BS180" s="870">
        <f>SUM(BS181:BS183)</f>
        <v>5424.8693069999999</v>
      </c>
      <c r="BT180" s="870">
        <f t="shared" si="145"/>
        <v>0</v>
      </c>
      <c r="BU180" s="870">
        <f t="shared" si="145"/>
        <v>0</v>
      </c>
      <c r="BV180" s="870">
        <f t="shared" si="145"/>
        <v>0</v>
      </c>
      <c r="BW180" s="870">
        <f t="shared" si="145"/>
        <v>0</v>
      </c>
      <c r="BX180" s="870">
        <f t="shared" si="145"/>
        <v>0</v>
      </c>
      <c r="BY180" s="870">
        <f t="shared" si="145"/>
        <v>0</v>
      </c>
      <c r="BZ180" s="870">
        <f t="shared" si="145"/>
        <v>0</v>
      </c>
      <c r="CA180" s="870">
        <f t="shared" si="145"/>
        <v>0</v>
      </c>
      <c r="CB180" s="870">
        <f t="shared" si="145"/>
        <v>0</v>
      </c>
      <c r="CC180" s="870">
        <f t="shared" si="145"/>
        <v>0</v>
      </c>
      <c r="CD180" s="870">
        <f t="shared" si="145"/>
        <v>0</v>
      </c>
      <c r="CE180" s="870">
        <f t="shared" si="145"/>
        <v>0</v>
      </c>
      <c r="CF180" s="848">
        <f t="shared" si="113"/>
        <v>108.49738614</v>
      </c>
      <c r="CG180" s="848"/>
      <c r="CH180" s="848"/>
      <c r="CI180" s="848"/>
      <c r="CJ180" s="848">
        <f t="shared" ref="CJ180:CJ181" si="146">BS180/BC180*100</f>
        <v>108.49738614</v>
      </c>
      <c r="CK180" s="848"/>
      <c r="CL180" s="848"/>
      <c r="CM180" s="848"/>
      <c r="CN180" s="848"/>
      <c r="CO180" s="848"/>
      <c r="CP180" s="848"/>
      <c r="CQ180" s="848"/>
      <c r="CR180" s="848"/>
      <c r="CS180" s="848"/>
      <c r="CT180" s="848"/>
      <c r="CU180" s="848"/>
      <c r="CV180" s="848"/>
      <c r="CW180" s="848"/>
    </row>
    <row r="181" spans="1:101" ht="33" customHeight="1">
      <c r="A181" s="871"/>
      <c r="B181" s="867" t="s">
        <v>594</v>
      </c>
      <c r="C181" s="852" t="s">
        <v>671</v>
      </c>
      <c r="D181" s="867"/>
      <c r="E181" s="867"/>
      <c r="F181" s="853" t="s">
        <v>672</v>
      </c>
      <c r="G181" s="846" t="s">
        <v>673</v>
      </c>
      <c r="H181" s="850">
        <f t="shared" si="142"/>
        <v>84539</v>
      </c>
      <c r="I181" s="855"/>
      <c r="J181" s="855"/>
      <c r="K181" s="860"/>
      <c r="L181" s="860"/>
      <c r="M181" s="860"/>
      <c r="N181" s="860"/>
      <c r="O181" s="860"/>
      <c r="P181" s="860"/>
      <c r="Q181" s="860">
        <v>17106</v>
      </c>
      <c r="R181" s="860">
        <v>67433</v>
      </c>
      <c r="S181" s="860"/>
      <c r="T181" s="855">
        <f t="shared" si="123"/>
        <v>67954.544649000003</v>
      </c>
      <c r="U181" s="860"/>
      <c r="V181" s="860"/>
      <c r="W181" s="860">
        <v>57954.544649000003</v>
      </c>
      <c r="X181" s="860"/>
      <c r="Y181" s="860"/>
      <c r="Z181" s="860">
        <v>10000</v>
      </c>
      <c r="AA181" s="860"/>
      <c r="AB181" s="860"/>
      <c r="AC181" s="860"/>
      <c r="AD181" s="860"/>
      <c r="AE181" s="860"/>
      <c r="AF181" s="860"/>
      <c r="AG181" s="860"/>
      <c r="AH181" s="860"/>
      <c r="AI181" s="860">
        <f>AW181+AL181+AO181+AX181</f>
        <v>68394</v>
      </c>
      <c r="AJ181" s="860"/>
      <c r="AK181" s="860"/>
      <c r="AL181" s="860">
        <v>57955</v>
      </c>
      <c r="AM181" s="860"/>
      <c r="AN181" s="860"/>
      <c r="AO181" s="860">
        <v>10000</v>
      </c>
      <c r="AP181" s="860"/>
      <c r="AQ181" s="860"/>
      <c r="AR181" s="860"/>
      <c r="AS181" s="860"/>
      <c r="AT181" s="860"/>
      <c r="AU181" s="860"/>
      <c r="AV181" s="860"/>
      <c r="AW181" s="860"/>
      <c r="AX181" s="860">
        <v>439</v>
      </c>
      <c r="AY181" s="855">
        <f t="shared" si="139"/>
        <v>5000</v>
      </c>
      <c r="AZ181" s="860"/>
      <c r="BA181" s="860"/>
      <c r="BB181" s="860"/>
      <c r="BC181" s="860">
        <v>5000</v>
      </c>
      <c r="BD181" s="860"/>
      <c r="BE181" s="860"/>
      <c r="BF181" s="860"/>
      <c r="BG181" s="860"/>
      <c r="BH181" s="860"/>
      <c r="BI181" s="860"/>
      <c r="BJ181" s="860"/>
      <c r="BK181" s="860"/>
      <c r="BL181" s="860"/>
      <c r="BM181" s="860"/>
      <c r="BN181" s="860"/>
      <c r="BO181" s="848">
        <f t="shared" si="107"/>
        <v>5000</v>
      </c>
      <c r="BP181" s="860"/>
      <c r="BQ181" s="860"/>
      <c r="BR181" s="860"/>
      <c r="BS181" s="860">
        <v>5000</v>
      </c>
      <c r="BT181" s="860"/>
      <c r="BU181" s="860"/>
      <c r="BV181" s="860"/>
      <c r="BW181" s="860"/>
      <c r="BX181" s="860"/>
      <c r="BY181" s="860"/>
      <c r="BZ181" s="860"/>
      <c r="CA181" s="860"/>
      <c r="CB181" s="860"/>
      <c r="CC181" s="860"/>
      <c r="CD181" s="860"/>
      <c r="CE181" s="860"/>
      <c r="CF181" s="848">
        <f t="shared" si="113"/>
        <v>100</v>
      </c>
      <c r="CG181" s="848"/>
      <c r="CH181" s="848"/>
      <c r="CI181" s="848"/>
      <c r="CJ181" s="848">
        <f t="shared" si="146"/>
        <v>100</v>
      </c>
      <c r="CK181" s="848"/>
      <c r="CL181" s="848"/>
      <c r="CM181" s="848"/>
      <c r="CN181" s="848"/>
      <c r="CO181" s="848"/>
      <c r="CP181" s="848"/>
      <c r="CQ181" s="848"/>
      <c r="CR181" s="848"/>
      <c r="CS181" s="848"/>
      <c r="CT181" s="848"/>
      <c r="CU181" s="848"/>
      <c r="CV181" s="848"/>
      <c r="CW181" s="848"/>
    </row>
    <row r="182" spans="1:101" ht="65.45" customHeight="1">
      <c r="A182" s="871"/>
      <c r="B182" s="867"/>
      <c r="C182" s="865" t="s">
        <v>674</v>
      </c>
      <c r="D182" s="867"/>
      <c r="E182" s="867"/>
      <c r="F182" s="853"/>
      <c r="G182" s="846"/>
      <c r="H182" s="850">
        <f t="shared" si="142"/>
        <v>36515</v>
      </c>
      <c r="I182" s="860"/>
      <c r="J182" s="860"/>
      <c r="K182" s="860"/>
      <c r="L182" s="860"/>
      <c r="M182" s="860"/>
      <c r="N182" s="860"/>
      <c r="O182" s="860"/>
      <c r="P182" s="860"/>
      <c r="Q182" s="860"/>
      <c r="R182" s="860">
        <v>36515</v>
      </c>
      <c r="S182" s="860"/>
      <c r="T182" s="855">
        <f t="shared" si="123"/>
        <v>32621.163400000001</v>
      </c>
      <c r="U182" s="860"/>
      <c r="V182" s="860"/>
      <c r="W182" s="860">
        <v>30720.163400000001</v>
      </c>
      <c r="X182" s="860"/>
      <c r="Y182" s="860"/>
      <c r="Z182" s="860"/>
      <c r="AA182" s="860"/>
      <c r="AB182" s="860"/>
      <c r="AC182" s="860"/>
      <c r="AD182" s="860"/>
      <c r="AE182" s="860"/>
      <c r="AF182" s="860"/>
      <c r="AG182" s="860"/>
      <c r="AH182" s="860">
        <v>1901</v>
      </c>
      <c r="AI182" s="860">
        <f>SUM(AJ182:AX182)</f>
        <v>45216</v>
      </c>
      <c r="AJ182" s="860"/>
      <c r="AK182" s="860"/>
      <c r="AL182" s="860">
        <v>30720</v>
      </c>
      <c r="AM182" s="860"/>
      <c r="AN182" s="860"/>
      <c r="AO182" s="860"/>
      <c r="AP182" s="860"/>
      <c r="AQ182" s="860"/>
      <c r="AR182" s="860"/>
      <c r="AS182" s="860">
        <v>3000</v>
      </c>
      <c r="AT182" s="860"/>
      <c r="AU182" s="860"/>
      <c r="AV182" s="860"/>
      <c r="AW182" s="860"/>
      <c r="AX182" s="860">
        <v>11496</v>
      </c>
      <c r="AY182" s="855"/>
      <c r="AZ182" s="860"/>
      <c r="BA182" s="860"/>
      <c r="BB182" s="860"/>
      <c r="BC182" s="860"/>
      <c r="BD182" s="860"/>
      <c r="BE182" s="860"/>
      <c r="BF182" s="860"/>
      <c r="BG182" s="860"/>
      <c r="BH182" s="860"/>
      <c r="BI182" s="860"/>
      <c r="BJ182" s="860"/>
      <c r="BK182" s="860"/>
      <c r="BL182" s="860"/>
      <c r="BM182" s="860"/>
      <c r="BN182" s="860"/>
      <c r="BO182" s="848">
        <f t="shared" si="107"/>
        <v>361</v>
      </c>
      <c r="BP182" s="860"/>
      <c r="BQ182" s="860"/>
      <c r="BR182" s="860"/>
      <c r="BS182" s="860">
        <v>361</v>
      </c>
      <c r="BT182" s="860"/>
      <c r="BU182" s="860"/>
      <c r="BV182" s="860"/>
      <c r="BW182" s="860"/>
      <c r="BX182" s="860"/>
      <c r="BY182" s="860"/>
      <c r="BZ182" s="860"/>
      <c r="CA182" s="860"/>
      <c r="CB182" s="860"/>
      <c r="CC182" s="860"/>
      <c r="CD182" s="860"/>
      <c r="CE182" s="860"/>
      <c r="CF182" s="848">
        <f>BO323/AY323%</f>
        <v>102.46709343307199</v>
      </c>
      <c r="CG182" s="848"/>
      <c r="CH182" s="848"/>
      <c r="CI182" s="848"/>
      <c r="CJ182" s="848"/>
      <c r="CK182" s="848"/>
      <c r="CL182" s="848"/>
      <c r="CM182" s="848"/>
      <c r="CN182" s="848"/>
      <c r="CO182" s="848"/>
      <c r="CP182" s="848"/>
      <c r="CQ182" s="848"/>
      <c r="CR182" s="848"/>
      <c r="CS182" s="848"/>
      <c r="CT182" s="848"/>
      <c r="CU182" s="848"/>
      <c r="CV182" s="848"/>
      <c r="CW182" s="848"/>
    </row>
    <row r="183" spans="1:101" ht="32.450000000000003" customHeight="1">
      <c r="A183" s="871"/>
      <c r="B183" s="867" t="s">
        <v>594</v>
      </c>
      <c r="C183" s="852" t="s">
        <v>675</v>
      </c>
      <c r="D183" s="867"/>
      <c r="E183" s="867"/>
      <c r="F183" s="858"/>
      <c r="G183" s="867"/>
      <c r="H183" s="850">
        <f t="shared" si="142"/>
        <v>0</v>
      </c>
      <c r="I183" s="860"/>
      <c r="J183" s="860"/>
      <c r="K183" s="860"/>
      <c r="L183" s="860"/>
      <c r="M183" s="860"/>
      <c r="N183" s="860"/>
      <c r="O183" s="860"/>
      <c r="P183" s="860"/>
      <c r="Q183" s="860"/>
      <c r="R183" s="860"/>
      <c r="S183" s="860"/>
      <c r="T183" s="855">
        <f t="shared" si="123"/>
        <v>7030.93</v>
      </c>
      <c r="U183" s="860"/>
      <c r="V183" s="860"/>
      <c r="W183" s="860">
        <v>7030.93</v>
      </c>
      <c r="X183" s="860"/>
      <c r="Y183" s="860"/>
      <c r="Z183" s="860"/>
      <c r="AA183" s="860"/>
      <c r="AB183" s="860"/>
      <c r="AC183" s="860"/>
      <c r="AD183" s="860"/>
      <c r="AE183" s="860"/>
      <c r="AF183" s="860"/>
      <c r="AG183" s="860"/>
      <c r="AH183" s="860"/>
      <c r="AI183" s="860">
        <f>AL183</f>
        <v>7031</v>
      </c>
      <c r="AJ183" s="860"/>
      <c r="AK183" s="860"/>
      <c r="AL183" s="860">
        <v>7031</v>
      </c>
      <c r="AM183" s="860"/>
      <c r="AN183" s="860"/>
      <c r="AO183" s="860"/>
      <c r="AP183" s="860"/>
      <c r="AQ183" s="860"/>
      <c r="AR183" s="860"/>
      <c r="AS183" s="860"/>
      <c r="AT183" s="860"/>
      <c r="AU183" s="860"/>
      <c r="AV183" s="860"/>
      <c r="AW183" s="860"/>
      <c r="AX183" s="860"/>
      <c r="AY183" s="855">
        <f t="shared" si="139"/>
        <v>0</v>
      </c>
      <c r="AZ183" s="860"/>
      <c r="BA183" s="860"/>
      <c r="BB183" s="860"/>
      <c r="BC183" s="860"/>
      <c r="BD183" s="860"/>
      <c r="BE183" s="860"/>
      <c r="BF183" s="860"/>
      <c r="BG183" s="860"/>
      <c r="BH183" s="860"/>
      <c r="BI183" s="860"/>
      <c r="BJ183" s="860"/>
      <c r="BK183" s="860"/>
      <c r="BL183" s="860"/>
      <c r="BM183" s="860"/>
      <c r="BN183" s="860"/>
      <c r="BO183" s="848">
        <f t="shared" si="107"/>
        <v>63.869306999999999</v>
      </c>
      <c r="BP183" s="860"/>
      <c r="BQ183" s="860"/>
      <c r="BR183" s="860"/>
      <c r="BS183" s="860">
        <v>63.869306999999999</v>
      </c>
      <c r="BT183" s="860"/>
      <c r="BU183" s="860"/>
      <c r="BV183" s="860"/>
      <c r="BW183" s="860"/>
      <c r="BX183" s="860"/>
      <c r="BY183" s="860"/>
      <c r="BZ183" s="860"/>
      <c r="CA183" s="860"/>
      <c r="CB183" s="860"/>
      <c r="CC183" s="860"/>
      <c r="CD183" s="860"/>
      <c r="CE183" s="860"/>
      <c r="CF183" s="848"/>
      <c r="CG183" s="848"/>
      <c r="CH183" s="848"/>
      <c r="CI183" s="848"/>
      <c r="CJ183" s="848"/>
      <c r="CK183" s="848"/>
      <c r="CL183" s="848"/>
      <c r="CM183" s="848"/>
      <c r="CN183" s="848"/>
      <c r="CO183" s="848"/>
      <c r="CP183" s="848"/>
      <c r="CQ183" s="848"/>
      <c r="CR183" s="848"/>
      <c r="CS183" s="848"/>
      <c r="CT183" s="848"/>
      <c r="CU183" s="848"/>
      <c r="CV183" s="848"/>
      <c r="CW183" s="848"/>
    </row>
    <row r="184" spans="1:101" ht="27" customHeight="1">
      <c r="A184" s="868" t="s">
        <v>676</v>
      </c>
      <c r="B184" s="868"/>
      <c r="C184" s="857" t="s">
        <v>677</v>
      </c>
      <c r="D184" s="867">
        <f>D185</f>
        <v>0</v>
      </c>
      <c r="E184" s="864">
        <f t="shared" ref="E184:BP184" si="147">E185</f>
        <v>0</v>
      </c>
      <c r="F184" s="869"/>
      <c r="G184" s="864">
        <f t="shared" si="147"/>
        <v>0</v>
      </c>
      <c r="H184" s="850">
        <f t="shared" si="142"/>
        <v>91163.778999999995</v>
      </c>
      <c r="I184" s="870">
        <f t="shared" si="147"/>
        <v>0</v>
      </c>
      <c r="J184" s="870">
        <f t="shared" si="147"/>
        <v>0</v>
      </c>
      <c r="K184" s="870">
        <f t="shared" si="147"/>
        <v>0</v>
      </c>
      <c r="L184" s="870">
        <f t="shared" si="147"/>
        <v>0</v>
      </c>
      <c r="M184" s="870">
        <f t="shared" si="147"/>
        <v>0</v>
      </c>
      <c r="N184" s="870">
        <f t="shared" si="147"/>
        <v>0</v>
      </c>
      <c r="O184" s="870">
        <f t="shared" si="147"/>
        <v>0</v>
      </c>
      <c r="P184" s="870">
        <f t="shared" si="147"/>
        <v>0</v>
      </c>
      <c r="Q184" s="870">
        <f t="shared" si="147"/>
        <v>0</v>
      </c>
      <c r="R184" s="870">
        <v>85747</v>
      </c>
      <c r="S184" s="870">
        <f t="shared" si="147"/>
        <v>5416.7789999999995</v>
      </c>
      <c r="T184" s="870">
        <f t="shared" si="147"/>
        <v>39025.536735000009</v>
      </c>
      <c r="U184" s="870">
        <f t="shared" si="147"/>
        <v>0</v>
      </c>
      <c r="V184" s="870">
        <f t="shared" si="147"/>
        <v>8109.243735</v>
      </c>
      <c r="W184" s="870">
        <f t="shared" si="147"/>
        <v>30916.293000000001</v>
      </c>
      <c r="X184" s="870">
        <f t="shared" si="147"/>
        <v>0</v>
      </c>
      <c r="Y184" s="870">
        <f t="shared" si="147"/>
        <v>0</v>
      </c>
      <c r="Z184" s="870">
        <f t="shared" si="147"/>
        <v>0</v>
      </c>
      <c r="AA184" s="870">
        <f t="shared" si="147"/>
        <v>0</v>
      </c>
      <c r="AB184" s="870">
        <f t="shared" si="147"/>
        <v>0</v>
      </c>
      <c r="AC184" s="870">
        <f t="shared" si="147"/>
        <v>0</v>
      </c>
      <c r="AD184" s="870">
        <f t="shared" si="147"/>
        <v>0</v>
      </c>
      <c r="AE184" s="870">
        <f t="shared" si="147"/>
        <v>0</v>
      </c>
      <c r="AF184" s="870">
        <f t="shared" si="147"/>
        <v>0</v>
      </c>
      <c r="AG184" s="870">
        <f t="shared" si="147"/>
        <v>0</v>
      </c>
      <c r="AH184" s="870">
        <f t="shared" si="147"/>
        <v>0</v>
      </c>
      <c r="AI184" s="870">
        <f t="shared" si="147"/>
        <v>9922</v>
      </c>
      <c r="AJ184" s="870">
        <f t="shared" si="147"/>
        <v>0</v>
      </c>
      <c r="AK184" s="870">
        <f t="shared" si="147"/>
        <v>7452</v>
      </c>
      <c r="AL184" s="870">
        <f t="shared" si="147"/>
        <v>0</v>
      </c>
      <c r="AM184" s="870">
        <f t="shared" si="147"/>
        <v>0</v>
      </c>
      <c r="AN184" s="870">
        <f t="shared" si="147"/>
        <v>0</v>
      </c>
      <c r="AO184" s="870">
        <f t="shared" si="147"/>
        <v>0</v>
      </c>
      <c r="AP184" s="870">
        <f t="shared" si="147"/>
        <v>0</v>
      </c>
      <c r="AQ184" s="870">
        <f t="shared" si="147"/>
        <v>0</v>
      </c>
      <c r="AR184" s="870">
        <f t="shared" si="147"/>
        <v>0</v>
      </c>
      <c r="AS184" s="870">
        <f t="shared" si="147"/>
        <v>800</v>
      </c>
      <c r="AT184" s="870">
        <f t="shared" si="147"/>
        <v>0</v>
      </c>
      <c r="AU184" s="870">
        <f t="shared" si="147"/>
        <v>0</v>
      </c>
      <c r="AV184" s="870">
        <f t="shared" si="147"/>
        <v>0</v>
      </c>
      <c r="AW184" s="870">
        <f t="shared" si="147"/>
        <v>0</v>
      </c>
      <c r="AX184" s="870">
        <f t="shared" si="147"/>
        <v>1670</v>
      </c>
      <c r="AY184" s="870">
        <f t="shared" si="147"/>
        <v>1025</v>
      </c>
      <c r="AZ184" s="870">
        <f t="shared" si="147"/>
        <v>0</v>
      </c>
      <c r="BA184" s="870">
        <f t="shared" si="147"/>
        <v>0</v>
      </c>
      <c r="BB184" s="870">
        <f t="shared" si="147"/>
        <v>0</v>
      </c>
      <c r="BC184" s="870">
        <f t="shared" si="147"/>
        <v>0</v>
      </c>
      <c r="BD184" s="870">
        <f t="shared" si="147"/>
        <v>0</v>
      </c>
      <c r="BE184" s="870">
        <f t="shared" si="147"/>
        <v>0</v>
      </c>
      <c r="BF184" s="870">
        <f t="shared" si="147"/>
        <v>0</v>
      </c>
      <c r="BG184" s="870">
        <f t="shared" si="147"/>
        <v>0</v>
      </c>
      <c r="BH184" s="870">
        <f t="shared" si="147"/>
        <v>725</v>
      </c>
      <c r="BI184" s="870">
        <f t="shared" si="147"/>
        <v>0</v>
      </c>
      <c r="BJ184" s="870">
        <f t="shared" si="147"/>
        <v>0</v>
      </c>
      <c r="BK184" s="870">
        <f t="shared" si="147"/>
        <v>0</v>
      </c>
      <c r="BL184" s="870">
        <f t="shared" si="147"/>
        <v>0</v>
      </c>
      <c r="BM184" s="870">
        <f t="shared" si="147"/>
        <v>0</v>
      </c>
      <c r="BN184" s="870">
        <f t="shared" si="147"/>
        <v>300</v>
      </c>
      <c r="BO184" s="848">
        <f t="shared" si="107"/>
        <v>1023.526</v>
      </c>
      <c r="BP184" s="870">
        <f t="shared" si="147"/>
        <v>0</v>
      </c>
      <c r="BQ184" s="870">
        <f t="shared" ref="BQ184:CS185" si="148">BQ185</f>
        <v>0</v>
      </c>
      <c r="BR184" s="870">
        <f t="shared" si="148"/>
        <v>0</v>
      </c>
      <c r="BS184" s="870">
        <f>BS185</f>
        <v>0</v>
      </c>
      <c r="BT184" s="870">
        <f t="shared" si="148"/>
        <v>0</v>
      </c>
      <c r="BU184" s="870">
        <f t="shared" si="148"/>
        <v>0</v>
      </c>
      <c r="BV184" s="870">
        <f t="shared" si="148"/>
        <v>723.52599999999995</v>
      </c>
      <c r="BW184" s="870">
        <f t="shared" si="148"/>
        <v>0</v>
      </c>
      <c r="BX184" s="870">
        <f t="shared" si="148"/>
        <v>0</v>
      </c>
      <c r="BY184" s="870">
        <f t="shared" si="148"/>
        <v>0</v>
      </c>
      <c r="BZ184" s="870">
        <f t="shared" si="148"/>
        <v>0</v>
      </c>
      <c r="CA184" s="870">
        <f t="shared" si="148"/>
        <v>0</v>
      </c>
      <c r="CB184" s="870">
        <f t="shared" si="148"/>
        <v>0</v>
      </c>
      <c r="CC184" s="870">
        <f t="shared" si="148"/>
        <v>0</v>
      </c>
      <c r="CD184" s="870">
        <f t="shared" si="148"/>
        <v>0</v>
      </c>
      <c r="CE184" s="870">
        <f t="shared" si="148"/>
        <v>300</v>
      </c>
      <c r="CF184" s="848"/>
      <c r="CG184" s="848"/>
      <c r="CH184" s="848"/>
      <c r="CI184" s="848"/>
      <c r="CJ184" s="848"/>
      <c r="CK184" s="848"/>
      <c r="CL184" s="848"/>
      <c r="CM184" s="848"/>
      <c r="CN184" s="848"/>
      <c r="CO184" s="848">
        <f t="shared" si="138"/>
        <v>0</v>
      </c>
      <c r="CP184" s="848"/>
      <c r="CQ184" s="848"/>
      <c r="CR184" s="848"/>
      <c r="CS184" s="848"/>
      <c r="CT184" s="848"/>
      <c r="CU184" s="848"/>
      <c r="CV184" s="848"/>
      <c r="CW184" s="848">
        <f t="shared" si="115"/>
        <v>100</v>
      </c>
    </row>
    <row r="185" spans="1:101" s="851" customFormat="1" ht="16.149999999999999" customHeight="1">
      <c r="A185" s="868"/>
      <c r="B185" s="868"/>
      <c r="C185" s="857" t="s">
        <v>358</v>
      </c>
      <c r="D185" s="867">
        <f>SUM(D186:D192)</f>
        <v>0</v>
      </c>
      <c r="E185" s="864">
        <f t="shared" ref="E185:G185" si="149">SUM(E186:E192)</f>
        <v>0</v>
      </c>
      <c r="F185" s="869"/>
      <c r="G185" s="864">
        <f t="shared" si="149"/>
        <v>0</v>
      </c>
      <c r="H185" s="850">
        <f t="shared" si="142"/>
        <v>91163.778999999995</v>
      </c>
      <c r="I185" s="870">
        <f t="shared" ref="I185:BT185" si="150">SUM(I186:I192)</f>
        <v>0</v>
      </c>
      <c r="J185" s="870">
        <f t="shared" si="150"/>
        <v>0</v>
      </c>
      <c r="K185" s="870">
        <f t="shared" si="150"/>
        <v>0</v>
      </c>
      <c r="L185" s="870">
        <f t="shared" si="150"/>
        <v>0</v>
      </c>
      <c r="M185" s="870">
        <f t="shared" si="150"/>
        <v>0</v>
      </c>
      <c r="N185" s="870">
        <f t="shared" si="150"/>
        <v>0</v>
      </c>
      <c r="O185" s="870">
        <f t="shared" si="150"/>
        <v>0</v>
      </c>
      <c r="P185" s="870">
        <f t="shared" si="150"/>
        <v>0</v>
      </c>
      <c r="Q185" s="870">
        <f t="shared" si="150"/>
        <v>0</v>
      </c>
      <c r="R185" s="870">
        <v>85747</v>
      </c>
      <c r="S185" s="870">
        <f t="shared" si="150"/>
        <v>5416.7789999999995</v>
      </c>
      <c r="T185" s="870">
        <f t="shared" si="150"/>
        <v>39025.536735000009</v>
      </c>
      <c r="U185" s="870">
        <f t="shared" si="150"/>
        <v>0</v>
      </c>
      <c r="V185" s="870">
        <f t="shared" si="150"/>
        <v>8109.243735</v>
      </c>
      <c r="W185" s="870">
        <f t="shared" si="150"/>
        <v>30916.293000000001</v>
      </c>
      <c r="X185" s="870">
        <f t="shared" si="150"/>
        <v>0</v>
      </c>
      <c r="Y185" s="870">
        <f t="shared" si="150"/>
        <v>0</v>
      </c>
      <c r="Z185" s="870">
        <f t="shared" si="150"/>
        <v>0</v>
      </c>
      <c r="AA185" s="870">
        <f t="shared" si="150"/>
        <v>0</v>
      </c>
      <c r="AB185" s="870">
        <f t="shared" si="150"/>
        <v>0</v>
      </c>
      <c r="AC185" s="870">
        <f t="shared" si="150"/>
        <v>0</v>
      </c>
      <c r="AD185" s="870">
        <f t="shared" si="150"/>
        <v>0</v>
      </c>
      <c r="AE185" s="870">
        <f t="shared" si="150"/>
        <v>0</v>
      </c>
      <c r="AF185" s="870">
        <f t="shared" si="150"/>
        <v>0</v>
      </c>
      <c r="AG185" s="870">
        <f t="shared" si="150"/>
        <v>0</v>
      </c>
      <c r="AH185" s="870">
        <f t="shared" si="150"/>
        <v>0</v>
      </c>
      <c r="AI185" s="870">
        <f t="shared" si="150"/>
        <v>9922</v>
      </c>
      <c r="AJ185" s="870">
        <f t="shared" si="150"/>
        <v>0</v>
      </c>
      <c r="AK185" s="870">
        <f t="shared" si="150"/>
        <v>7452</v>
      </c>
      <c r="AL185" s="870">
        <f t="shared" si="150"/>
        <v>0</v>
      </c>
      <c r="AM185" s="870">
        <f t="shared" si="150"/>
        <v>0</v>
      </c>
      <c r="AN185" s="870">
        <f t="shared" si="150"/>
        <v>0</v>
      </c>
      <c r="AO185" s="870">
        <f t="shared" si="150"/>
        <v>0</v>
      </c>
      <c r="AP185" s="870">
        <f t="shared" si="150"/>
        <v>0</v>
      </c>
      <c r="AQ185" s="870">
        <f t="shared" si="150"/>
        <v>0</v>
      </c>
      <c r="AR185" s="870">
        <f t="shared" si="150"/>
        <v>0</v>
      </c>
      <c r="AS185" s="870">
        <f t="shared" si="150"/>
        <v>800</v>
      </c>
      <c r="AT185" s="870">
        <f t="shared" si="150"/>
        <v>0</v>
      </c>
      <c r="AU185" s="870">
        <f t="shared" si="150"/>
        <v>0</v>
      </c>
      <c r="AV185" s="870">
        <f t="shared" si="150"/>
        <v>0</v>
      </c>
      <c r="AW185" s="870">
        <f t="shared" si="150"/>
        <v>0</v>
      </c>
      <c r="AX185" s="870">
        <f t="shared" si="150"/>
        <v>1670</v>
      </c>
      <c r="AY185" s="870">
        <f t="shared" si="150"/>
        <v>1025</v>
      </c>
      <c r="AZ185" s="870">
        <f t="shared" si="150"/>
        <v>0</v>
      </c>
      <c r="BA185" s="870">
        <f t="shared" si="150"/>
        <v>0</v>
      </c>
      <c r="BB185" s="870">
        <f t="shared" si="150"/>
        <v>0</v>
      </c>
      <c r="BC185" s="870">
        <f t="shared" si="150"/>
        <v>0</v>
      </c>
      <c r="BD185" s="870">
        <f t="shared" si="150"/>
        <v>0</v>
      </c>
      <c r="BE185" s="870">
        <f t="shared" si="150"/>
        <v>0</v>
      </c>
      <c r="BF185" s="870">
        <f t="shared" si="150"/>
        <v>0</v>
      </c>
      <c r="BG185" s="870">
        <f t="shared" si="150"/>
        <v>0</v>
      </c>
      <c r="BH185" s="870">
        <f t="shared" si="150"/>
        <v>725</v>
      </c>
      <c r="BI185" s="870">
        <f t="shared" si="150"/>
        <v>0</v>
      </c>
      <c r="BJ185" s="870">
        <f t="shared" si="150"/>
        <v>0</v>
      </c>
      <c r="BK185" s="870">
        <f t="shared" si="150"/>
        <v>0</v>
      </c>
      <c r="BL185" s="870">
        <f t="shared" si="150"/>
        <v>0</v>
      </c>
      <c r="BM185" s="870">
        <f t="shared" si="150"/>
        <v>0</v>
      </c>
      <c r="BN185" s="870">
        <f t="shared" si="150"/>
        <v>300</v>
      </c>
      <c r="BO185" s="848">
        <f t="shared" si="107"/>
        <v>1023.526</v>
      </c>
      <c r="BP185" s="870">
        <f t="shared" si="150"/>
        <v>0</v>
      </c>
      <c r="BQ185" s="870">
        <f t="shared" si="150"/>
        <v>0</v>
      </c>
      <c r="BR185" s="870">
        <f t="shared" si="150"/>
        <v>0</v>
      </c>
      <c r="BS185" s="870">
        <f>SUM(BS186:BS192)</f>
        <v>0</v>
      </c>
      <c r="BT185" s="870">
        <f t="shared" si="150"/>
        <v>0</v>
      </c>
      <c r="BU185" s="870">
        <f t="shared" ref="BU185:CS186" si="151">SUM(BU186:BU192)</f>
        <v>0</v>
      </c>
      <c r="BV185" s="870">
        <f t="shared" si="151"/>
        <v>723.52599999999995</v>
      </c>
      <c r="BW185" s="870">
        <f t="shared" si="151"/>
        <v>0</v>
      </c>
      <c r="BX185" s="870">
        <f t="shared" si="151"/>
        <v>0</v>
      </c>
      <c r="BY185" s="870">
        <f t="shared" si="151"/>
        <v>0</v>
      </c>
      <c r="BZ185" s="870">
        <f t="shared" si="151"/>
        <v>0</v>
      </c>
      <c r="CA185" s="870">
        <f t="shared" si="151"/>
        <v>0</v>
      </c>
      <c r="CB185" s="870">
        <f t="shared" si="151"/>
        <v>0</v>
      </c>
      <c r="CC185" s="870">
        <f t="shared" si="151"/>
        <v>0</v>
      </c>
      <c r="CD185" s="870">
        <f t="shared" si="151"/>
        <v>0</v>
      </c>
      <c r="CE185" s="870">
        <f t="shared" si="151"/>
        <v>300</v>
      </c>
      <c r="CF185" s="870">
        <f t="shared" si="148"/>
        <v>688.78461538461534</v>
      </c>
      <c r="CG185" s="848"/>
      <c r="CH185" s="848"/>
      <c r="CI185" s="848"/>
      <c r="CJ185" s="848"/>
      <c r="CK185" s="848"/>
      <c r="CL185" s="848"/>
      <c r="CM185" s="848"/>
      <c r="CN185" s="848"/>
      <c r="CO185" s="848">
        <f t="shared" si="138"/>
        <v>0</v>
      </c>
      <c r="CP185" s="848"/>
      <c r="CQ185" s="848"/>
      <c r="CR185" s="848"/>
      <c r="CS185" s="870">
        <f t="shared" si="148"/>
        <v>0</v>
      </c>
      <c r="CT185" s="848"/>
      <c r="CU185" s="848"/>
      <c r="CV185" s="848"/>
      <c r="CW185" s="848">
        <f t="shared" si="115"/>
        <v>100</v>
      </c>
    </row>
    <row r="186" spans="1:101" s="851" customFormat="1" ht="28.9" customHeight="1">
      <c r="A186" s="845"/>
      <c r="B186" s="867" t="s">
        <v>677</v>
      </c>
      <c r="C186" s="852" t="s">
        <v>678</v>
      </c>
      <c r="D186" s="846"/>
      <c r="E186" s="845"/>
      <c r="F186" s="853" t="s">
        <v>679</v>
      </c>
      <c r="G186" s="854" t="s">
        <v>680</v>
      </c>
      <c r="H186" s="850">
        <f t="shared" si="142"/>
        <v>85747</v>
      </c>
      <c r="I186" s="850"/>
      <c r="J186" s="848"/>
      <c r="K186" s="848"/>
      <c r="L186" s="848"/>
      <c r="M186" s="848"/>
      <c r="N186" s="848"/>
      <c r="O186" s="848"/>
      <c r="P186" s="848"/>
      <c r="Q186" s="848"/>
      <c r="R186" s="855">
        <v>85747</v>
      </c>
      <c r="S186" s="850"/>
      <c r="T186" s="855">
        <f>W186</f>
        <v>30916.293000000001</v>
      </c>
      <c r="U186" s="848"/>
      <c r="V186" s="848"/>
      <c r="W186" s="855">
        <v>30916.293000000001</v>
      </c>
      <c r="X186" s="848"/>
      <c r="Y186" s="848"/>
      <c r="Z186" s="848"/>
      <c r="AA186" s="848"/>
      <c r="AB186" s="848"/>
      <c r="AC186" s="848"/>
      <c r="AD186" s="848"/>
      <c r="AE186" s="848"/>
      <c r="AF186" s="848"/>
      <c r="AG186" s="848"/>
      <c r="AH186" s="855"/>
      <c r="AI186" s="855">
        <f>AX186</f>
        <v>1594</v>
      </c>
      <c r="AJ186" s="855"/>
      <c r="AK186" s="855"/>
      <c r="AL186" s="855"/>
      <c r="AM186" s="855"/>
      <c r="AN186" s="855"/>
      <c r="AO186" s="855"/>
      <c r="AP186" s="855"/>
      <c r="AQ186" s="855"/>
      <c r="AR186" s="855"/>
      <c r="AS186" s="855"/>
      <c r="AT186" s="855"/>
      <c r="AU186" s="855"/>
      <c r="AV186" s="855"/>
      <c r="AW186" s="855"/>
      <c r="AX186" s="855">
        <v>1594</v>
      </c>
      <c r="AY186" s="855">
        <f t="shared" ref="AY186:AY192" si="152">SUM(AZ186:BN186)</f>
        <v>300</v>
      </c>
      <c r="AZ186" s="855"/>
      <c r="BA186" s="855"/>
      <c r="BB186" s="855"/>
      <c r="BC186" s="855"/>
      <c r="BD186" s="855"/>
      <c r="BE186" s="855"/>
      <c r="BF186" s="855"/>
      <c r="BG186" s="855"/>
      <c r="BH186" s="855"/>
      <c r="BI186" s="855"/>
      <c r="BJ186" s="855"/>
      <c r="BK186" s="855"/>
      <c r="BL186" s="855"/>
      <c r="BM186" s="855"/>
      <c r="BN186" s="855">
        <f>'[10]bieu cu'!H76</f>
        <v>300</v>
      </c>
      <c r="BO186" s="848">
        <f t="shared" si="107"/>
        <v>300</v>
      </c>
      <c r="BP186" s="855"/>
      <c r="BQ186" s="855"/>
      <c r="BR186" s="855"/>
      <c r="BS186" s="855"/>
      <c r="BT186" s="855"/>
      <c r="BU186" s="855"/>
      <c r="BV186" s="855"/>
      <c r="BW186" s="855"/>
      <c r="BX186" s="855"/>
      <c r="BY186" s="855"/>
      <c r="BZ186" s="855"/>
      <c r="CA186" s="855"/>
      <c r="CB186" s="855"/>
      <c r="CC186" s="855"/>
      <c r="CD186" s="855"/>
      <c r="CE186" s="855">
        <f>'[10]bieu cu'!M76</f>
        <v>300</v>
      </c>
      <c r="CF186" s="870">
        <f t="shared" si="151"/>
        <v>688.78461538461534</v>
      </c>
      <c r="CG186" s="848"/>
      <c r="CH186" s="848"/>
      <c r="CI186" s="848"/>
      <c r="CJ186" s="848"/>
      <c r="CK186" s="848"/>
      <c r="CL186" s="848"/>
      <c r="CM186" s="848"/>
      <c r="CN186" s="848"/>
      <c r="CO186" s="848"/>
      <c r="CP186" s="848"/>
      <c r="CQ186" s="848"/>
      <c r="CR186" s="848"/>
      <c r="CS186" s="870">
        <f t="shared" si="151"/>
        <v>0</v>
      </c>
      <c r="CT186" s="848"/>
      <c r="CU186" s="848"/>
      <c r="CV186" s="848"/>
      <c r="CW186" s="848">
        <f t="shared" si="115"/>
        <v>100</v>
      </c>
    </row>
    <row r="187" spans="1:101" ht="31.9" customHeight="1">
      <c r="A187" s="845"/>
      <c r="B187" s="852" t="s">
        <v>677</v>
      </c>
      <c r="C187" s="852" t="s">
        <v>681</v>
      </c>
      <c r="D187" s="846"/>
      <c r="E187" s="845"/>
      <c r="F187" s="853">
        <v>2011</v>
      </c>
      <c r="G187" s="846" t="s">
        <v>467</v>
      </c>
      <c r="H187" s="850">
        <f t="shared" si="142"/>
        <v>717</v>
      </c>
      <c r="I187" s="860"/>
      <c r="J187" s="848"/>
      <c r="K187" s="848"/>
      <c r="L187" s="848"/>
      <c r="M187" s="848"/>
      <c r="N187" s="848"/>
      <c r="O187" s="848"/>
      <c r="P187" s="848"/>
      <c r="Q187" s="848"/>
      <c r="R187" s="848"/>
      <c r="S187" s="855">
        <v>717</v>
      </c>
      <c r="T187" s="855">
        <f t="shared" si="123"/>
        <v>5300.2859150000004</v>
      </c>
      <c r="U187" s="848"/>
      <c r="V187" s="855">
        <v>5300.2859150000004</v>
      </c>
      <c r="W187" s="848"/>
      <c r="X187" s="848"/>
      <c r="Y187" s="848"/>
      <c r="Z187" s="848"/>
      <c r="AA187" s="848"/>
      <c r="AB187" s="848"/>
      <c r="AC187" s="848"/>
      <c r="AD187" s="848"/>
      <c r="AE187" s="848"/>
      <c r="AF187" s="848"/>
      <c r="AG187" s="848"/>
      <c r="AH187" s="855"/>
      <c r="AI187" s="855">
        <f>AK187</f>
        <v>6300</v>
      </c>
      <c r="AJ187" s="855"/>
      <c r="AK187" s="855">
        <v>6300</v>
      </c>
      <c r="AL187" s="855"/>
      <c r="AM187" s="855"/>
      <c r="AN187" s="855"/>
      <c r="AO187" s="855"/>
      <c r="AP187" s="855"/>
      <c r="AQ187" s="855"/>
      <c r="AR187" s="855"/>
      <c r="AS187" s="855"/>
      <c r="AT187" s="855"/>
      <c r="AU187" s="855"/>
      <c r="AV187" s="855"/>
      <c r="AW187" s="855"/>
      <c r="AX187" s="855"/>
      <c r="AY187" s="855">
        <f t="shared" si="152"/>
        <v>538</v>
      </c>
      <c r="AZ187" s="855"/>
      <c r="BA187" s="855"/>
      <c r="BB187" s="855"/>
      <c r="BC187" s="855"/>
      <c r="BD187" s="855"/>
      <c r="BE187" s="855"/>
      <c r="BF187" s="855"/>
      <c r="BG187" s="855"/>
      <c r="BH187" s="855">
        <v>538</v>
      </c>
      <c r="BI187" s="855"/>
      <c r="BJ187" s="855"/>
      <c r="BK187" s="855"/>
      <c r="BL187" s="855"/>
      <c r="BM187" s="855"/>
      <c r="BN187" s="855"/>
      <c r="BO187" s="848">
        <f t="shared" si="107"/>
        <v>538</v>
      </c>
      <c r="BP187" s="855"/>
      <c r="BQ187" s="855"/>
      <c r="BR187" s="855"/>
      <c r="BS187" s="855"/>
      <c r="BT187" s="855"/>
      <c r="BU187" s="855"/>
      <c r="BV187" s="855">
        <v>538</v>
      </c>
      <c r="BW187" s="855"/>
      <c r="BX187" s="855"/>
      <c r="BY187" s="855"/>
      <c r="BZ187" s="855"/>
      <c r="CA187" s="855"/>
      <c r="CB187" s="855"/>
      <c r="CC187" s="855"/>
      <c r="CD187" s="855"/>
      <c r="CE187" s="855"/>
      <c r="CF187" s="848">
        <f t="shared" ref="CF187:CF200" si="153">BO186/AY186%</f>
        <v>100</v>
      </c>
      <c r="CG187" s="848"/>
      <c r="CH187" s="848"/>
      <c r="CI187" s="848"/>
      <c r="CJ187" s="848"/>
      <c r="CK187" s="848"/>
      <c r="CL187" s="848"/>
      <c r="CM187" s="848"/>
      <c r="CN187" s="848"/>
      <c r="CO187" s="848">
        <f t="shared" si="138"/>
        <v>0</v>
      </c>
      <c r="CP187" s="848"/>
      <c r="CQ187" s="848"/>
      <c r="CR187" s="848"/>
      <c r="CS187" s="848"/>
      <c r="CT187" s="848"/>
      <c r="CU187" s="848"/>
      <c r="CV187" s="848"/>
      <c r="CW187" s="848"/>
    </row>
    <row r="188" spans="1:101" ht="31.9" customHeight="1">
      <c r="A188" s="845"/>
      <c r="B188" s="852" t="s">
        <v>677</v>
      </c>
      <c r="C188" s="852" t="s">
        <v>682</v>
      </c>
      <c r="D188" s="846"/>
      <c r="E188" s="845"/>
      <c r="F188" s="853">
        <v>2008</v>
      </c>
      <c r="G188" s="846" t="s">
        <v>683</v>
      </c>
      <c r="H188" s="850">
        <f t="shared" si="142"/>
        <v>1934.6320000000001</v>
      </c>
      <c r="I188" s="860"/>
      <c r="J188" s="848"/>
      <c r="K188" s="848"/>
      <c r="L188" s="848"/>
      <c r="M188" s="848"/>
      <c r="N188" s="848"/>
      <c r="O188" s="848"/>
      <c r="P188" s="848"/>
      <c r="Q188" s="848"/>
      <c r="R188" s="848"/>
      <c r="S188" s="860">
        <v>1934.6320000000001</v>
      </c>
      <c r="T188" s="855">
        <f t="shared" si="123"/>
        <v>1435.2280000000001</v>
      </c>
      <c r="U188" s="848"/>
      <c r="V188" s="855">
        <v>1435.2280000000001</v>
      </c>
      <c r="W188" s="848"/>
      <c r="X188" s="848"/>
      <c r="Y188" s="848"/>
      <c r="Z188" s="848"/>
      <c r="AA188" s="848"/>
      <c r="AB188" s="848"/>
      <c r="AC188" s="848"/>
      <c r="AD188" s="848"/>
      <c r="AE188" s="848"/>
      <c r="AF188" s="848"/>
      <c r="AG188" s="848"/>
      <c r="AH188" s="855"/>
      <c r="AI188" s="855">
        <f>AK188+AS188</f>
        <v>1781</v>
      </c>
      <c r="AJ188" s="855"/>
      <c r="AK188" s="855">
        <v>981</v>
      </c>
      <c r="AL188" s="855"/>
      <c r="AM188" s="855"/>
      <c r="AN188" s="855"/>
      <c r="AO188" s="855"/>
      <c r="AP188" s="855"/>
      <c r="AQ188" s="855"/>
      <c r="AR188" s="855"/>
      <c r="AS188" s="855">
        <v>800</v>
      </c>
      <c r="AT188" s="855"/>
      <c r="AU188" s="855"/>
      <c r="AV188" s="855"/>
      <c r="AW188" s="855"/>
      <c r="AX188" s="855"/>
      <c r="AY188" s="855">
        <f t="shared" si="152"/>
        <v>111</v>
      </c>
      <c r="AZ188" s="855"/>
      <c r="BA188" s="855"/>
      <c r="BB188" s="855"/>
      <c r="BC188" s="855"/>
      <c r="BD188" s="855"/>
      <c r="BE188" s="855"/>
      <c r="BF188" s="855"/>
      <c r="BG188" s="855"/>
      <c r="BH188" s="855">
        <f>'[10]bieu cu'!H344</f>
        <v>111</v>
      </c>
      <c r="BI188" s="855"/>
      <c r="BJ188" s="855"/>
      <c r="BK188" s="855"/>
      <c r="BL188" s="855"/>
      <c r="BM188" s="855"/>
      <c r="BN188" s="855"/>
      <c r="BO188" s="848">
        <f t="shared" si="107"/>
        <v>111</v>
      </c>
      <c r="BP188" s="855"/>
      <c r="BQ188" s="855"/>
      <c r="BR188" s="855"/>
      <c r="BS188" s="855"/>
      <c r="BT188" s="855"/>
      <c r="BU188" s="855"/>
      <c r="BV188" s="855">
        <v>111</v>
      </c>
      <c r="BW188" s="855"/>
      <c r="BX188" s="855"/>
      <c r="BY188" s="855"/>
      <c r="BZ188" s="855"/>
      <c r="CA188" s="855"/>
      <c r="CB188" s="855"/>
      <c r="CC188" s="855"/>
      <c r="CD188" s="855"/>
      <c r="CE188" s="855"/>
      <c r="CF188" s="848">
        <f t="shared" si="153"/>
        <v>100</v>
      </c>
      <c r="CG188" s="848"/>
      <c r="CH188" s="848"/>
      <c r="CI188" s="848"/>
      <c r="CJ188" s="848"/>
      <c r="CK188" s="848"/>
      <c r="CL188" s="848"/>
      <c r="CM188" s="848"/>
      <c r="CN188" s="848"/>
      <c r="CO188" s="848">
        <f t="shared" si="138"/>
        <v>0</v>
      </c>
      <c r="CP188" s="848"/>
      <c r="CQ188" s="848"/>
      <c r="CR188" s="848"/>
      <c r="CS188" s="848"/>
      <c r="CT188" s="848"/>
      <c r="CU188" s="848"/>
      <c r="CV188" s="848"/>
      <c r="CW188" s="848"/>
    </row>
    <row r="189" spans="1:101" ht="31.9" customHeight="1">
      <c r="A189" s="845"/>
      <c r="B189" s="852" t="s">
        <v>677</v>
      </c>
      <c r="C189" s="852" t="s">
        <v>684</v>
      </c>
      <c r="D189" s="846"/>
      <c r="E189" s="845"/>
      <c r="F189" s="853">
        <v>2009</v>
      </c>
      <c r="G189" s="846" t="s">
        <v>685</v>
      </c>
      <c r="H189" s="850">
        <f t="shared" si="142"/>
        <v>1060</v>
      </c>
      <c r="I189" s="860"/>
      <c r="J189" s="848"/>
      <c r="K189" s="848"/>
      <c r="L189" s="848"/>
      <c r="M189" s="848"/>
      <c r="N189" s="848"/>
      <c r="O189" s="848"/>
      <c r="P189" s="848"/>
      <c r="Q189" s="848"/>
      <c r="R189" s="848"/>
      <c r="S189" s="860">
        <v>1060</v>
      </c>
      <c r="T189" s="855">
        <f t="shared" si="123"/>
        <v>0</v>
      </c>
      <c r="U189" s="848"/>
      <c r="V189" s="855"/>
      <c r="W189" s="848"/>
      <c r="X189" s="848"/>
      <c r="Y189" s="848"/>
      <c r="Z189" s="848"/>
      <c r="AA189" s="848"/>
      <c r="AB189" s="848"/>
      <c r="AC189" s="848"/>
      <c r="AD189" s="848"/>
      <c r="AE189" s="848"/>
      <c r="AF189" s="848"/>
      <c r="AG189" s="848"/>
      <c r="AH189" s="855"/>
      <c r="AI189" s="855">
        <f>AX189+AK189</f>
        <v>133</v>
      </c>
      <c r="AJ189" s="855"/>
      <c r="AK189" s="855">
        <v>94</v>
      </c>
      <c r="AL189" s="855"/>
      <c r="AM189" s="855"/>
      <c r="AN189" s="855"/>
      <c r="AO189" s="855"/>
      <c r="AP189" s="855"/>
      <c r="AQ189" s="855"/>
      <c r="AR189" s="855"/>
      <c r="AS189" s="855"/>
      <c r="AT189" s="855"/>
      <c r="AU189" s="855"/>
      <c r="AV189" s="855"/>
      <c r="AW189" s="855"/>
      <c r="AX189" s="855">
        <v>39</v>
      </c>
      <c r="AY189" s="855">
        <f t="shared" si="152"/>
        <v>39</v>
      </c>
      <c r="AZ189" s="855"/>
      <c r="BA189" s="855"/>
      <c r="BB189" s="855"/>
      <c r="BC189" s="855"/>
      <c r="BD189" s="855"/>
      <c r="BE189" s="855"/>
      <c r="BF189" s="855"/>
      <c r="BG189" s="855"/>
      <c r="BH189" s="855">
        <f>'[10]bieu cu'!H345</f>
        <v>39</v>
      </c>
      <c r="BI189" s="855"/>
      <c r="BJ189" s="855"/>
      <c r="BK189" s="855"/>
      <c r="BL189" s="855"/>
      <c r="BM189" s="855"/>
      <c r="BN189" s="855"/>
      <c r="BO189" s="848">
        <f t="shared" si="107"/>
        <v>38.526000000000003</v>
      </c>
      <c r="BP189" s="855"/>
      <c r="BQ189" s="855"/>
      <c r="BR189" s="855"/>
      <c r="BS189" s="855"/>
      <c r="BT189" s="855"/>
      <c r="BU189" s="855"/>
      <c r="BV189" s="855">
        <v>38.526000000000003</v>
      </c>
      <c r="BW189" s="855"/>
      <c r="BX189" s="855"/>
      <c r="BY189" s="855"/>
      <c r="BZ189" s="855"/>
      <c r="CA189" s="855"/>
      <c r="CB189" s="855"/>
      <c r="CC189" s="855"/>
      <c r="CD189" s="855"/>
      <c r="CE189" s="855"/>
      <c r="CF189" s="848">
        <f t="shared" si="153"/>
        <v>99.999999999999986</v>
      </c>
      <c r="CG189" s="848"/>
      <c r="CH189" s="848"/>
      <c r="CI189" s="848"/>
      <c r="CJ189" s="848"/>
      <c r="CK189" s="848"/>
      <c r="CL189" s="848"/>
      <c r="CM189" s="848"/>
      <c r="CN189" s="848"/>
      <c r="CO189" s="848">
        <f t="shared" si="138"/>
        <v>0</v>
      </c>
      <c r="CP189" s="848"/>
      <c r="CQ189" s="848"/>
      <c r="CR189" s="848"/>
      <c r="CS189" s="848"/>
      <c r="CT189" s="848"/>
      <c r="CU189" s="848"/>
      <c r="CV189" s="848"/>
      <c r="CW189" s="848"/>
    </row>
    <row r="190" spans="1:101" ht="31.9" customHeight="1">
      <c r="A190" s="845"/>
      <c r="B190" s="852" t="s">
        <v>677</v>
      </c>
      <c r="C190" s="852" t="s">
        <v>686</v>
      </c>
      <c r="D190" s="846"/>
      <c r="E190" s="845"/>
      <c r="F190" s="853">
        <v>2009</v>
      </c>
      <c r="G190" s="846" t="s">
        <v>687</v>
      </c>
      <c r="H190" s="850">
        <f t="shared" si="142"/>
        <v>653.97400000000005</v>
      </c>
      <c r="I190" s="860"/>
      <c r="J190" s="848"/>
      <c r="K190" s="848"/>
      <c r="L190" s="848"/>
      <c r="M190" s="848"/>
      <c r="N190" s="848"/>
      <c r="O190" s="848"/>
      <c r="P190" s="848"/>
      <c r="Q190" s="848"/>
      <c r="R190" s="848"/>
      <c r="S190" s="860">
        <v>653.97400000000005</v>
      </c>
      <c r="T190" s="855">
        <f t="shared" si="123"/>
        <v>1373.72982</v>
      </c>
      <c r="U190" s="848"/>
      <c r="V190" s="855">
        <v>1373.72982</v>
      </c>
      <c r="W190" s="848"/>
      <c r="X190" s="848"/>
      <c r="Y190" s="848"/>
      <c r="Z190" s="848"/>
      <c r="AA190" s="848"/>
      <c r="AB190" s="848"/>
      <c r="AC190" s="848"/>
      <c r="AD190" s="848"/>
      <c r="AE190" s="848"/>
      <c r="AF190" s="848"/>
      <c r="AG190" s="848"/>
      <c r="AH190" s="855"/>
      <c r="AI190" s="855">
        <f>AX190+AK190</f>
        <v>69</v>
      </c>
      <c r="AJ190" s="855"/>
      <c r="AK190" s="855">
        <v>53</v>
      </c>
      <c r="AL190" s="855"/>
      <c r="AM190" s="855"/>
      <c r="AN190" s="855"/>
      <c r="AO190" s="855"/>
      <c r="AP190" s="855"/>
      <c r="AQ190" s="855"/>
      <c r="AR190" s="855"/>
      <c r="AS190" s="855"/>
      <c r="AT190" s="855"/>
      <c r="AU190" s="855"/>
      <c r="AV190" s="855"/>
      <c r="AW190" s="855"/>
      <c r="AX190" s="855">
        <v>16</v>
      </c>
      <c r="AY190" s="855">
        <f t="shared" si="152"/>
        <v>16</v>
      </c>
      <c r="AZ190" s="855"/>
      <c r="BA190" s="855"/>
      <c r="BB190" s="855"/>
      <c r="BC190" s="855"/>
      <c r="BD190" s="855"/>
      <c r="BE190" s="855"/>
      <c r="BF190" s="855"/>
      <c r="BG190" s="855"/>
      <c r="BH190" s="855">
        <f>'[10]bieu cu'!H346</f>
        <v>16</v>
      </c>
      <c r="BI190" s="855"/>
      <c r="BJ190" s="855"/>
      <c r="BK190" s="855"/>
      <c r="BL190" s="855"/>
      <c r="BM190" s="855"/>
      <c r="BN190" s="855"/>
      <c r="BO190" s="848">
        <f t="shared" si="107"/>
        <v>16</v>
      </c>
      <c r="BP190" s="855"/>
      <c r="BQ190" s="855"/>
      <c r="BR190" s="855"/>
      <c r="BS190" s="855"/>
      <c r="BT190" s="855"/>
      <c r="BU190" s="855"/>
      <c r="BV190" s="855">
        <v>16</v>
      </c>
      <c r="BW190" s="855"/>
      <c r="BX190" s="855"/>
      <c r="BY190" s="855"/>
      <c r="BZ190" s="855"/>
      <c r="CA190" s="855"/>
      <c r="CB190" s="855"/>
      <c r="CC190" s="855"/>
      <c r="CD190" s="855"/>
      <c r="CE190" s="855"/>
      <c r="CF190" s="848">
        <f t="shared" si="153"/>
        <v>98.784615384615392</v>
      </c>
      <c r="CG190" s="848"/>
      <c r="CH190" s="848"/>
      <c r="CI190" s="848"/>
      <c r="CJ190" s="848"/>
      <c r="CK190" s="848"/>
      <c r="CL190" s="848"/>
      <c r="CM190" s="848"/>
      <c r="CN190" s="848"/>
      <c r="CO190" s="848">
        <f t="shared" si="138"/>
        <v>0</v>
      </c>
      <c r="CP190" s="848"/>
      <c r="CQ190" s="848"/>
      <c r="CR190" s="848"/>
      <c r="CS190" s="848"/>
      <c r="CT190" s="848"/>
      <c r="CU190" s="848"/>
      <c r="CV190" s="848"/>
      <c r="CW190" s="848"/>
    </row>
    <row r="191" spans="1:101" ht="31.9" customHeight="1">
      <c r="A191" s="845"/>
      <c r="B191" s="852" t="s">
        <v>677</v>
      </c>
      <c r="C191" s="852" t="s">
        <v>688</v>
      </c>
      <c r="D191" s="846"/>
      <c r="E191" s="845"/>
      <c r="F191" s="853">
        <v>2009</v>
      </c>
      <c r="G191" s="846" t="s">
        <v>689</v>
      </c>
      <c r="H191" s="850">
        <f t="shared" si="142"/>
        <v>405.267</v>
      </c>
      <c r="I191" s="860"/>
      <c r="J191" s="848"/>
      <c r="K191" s="848"/>
      <c r="L191" s="848"/>
      <c r="M191" s="848"/>
      <c r="N191" s="848"/>
      <c r="O191" s="848"/>
      <c r="P191" s="848"/>
      <c r="Q191" s="848"/>
      <c r="R191" s="848"/>
      <c r="S191" s="860">
        <v>405.267</v>
      </c>
      <c r="T191" s="855">
        <f t="shared" si="123"/>
        <v>0</v>
      </c>
      <c r="U191" s="848"/>
      <c r="V191" s="855"/>
      <c r="W191" s="848"/>
      <c r="X191" s="848"/>
      <c r="Y191" s="848"/>
      <c r="Z191" s="848"/>
      <c r="AA191" s="848"/>
      <c r="AB191" s="848"/>
      <c r="AC191" s="848"/>
      <c r="AD191" s="848"/>
      <c r="AE191" s="848"/>
      <c r="AF191" s="848"/>
      <c r="AG191" s="848"/>
      <c r="AH191" s="855"/>
      <c r="AI191" s="855">
        <f>AX191+AK191</f>
        <v>35</v>
      </c>
      <c r="AJ191" s="855"/>
      <c r="AK191" s="855">
        <v>24</v>
      </c>
      <c r="AL191" s="855"/>
      <c r="AM191" s="855"/>
      <c r="AN191" s="855"/>
      <c r="AO191" s="855"/>
      <c r="AP191" s="855"/>
      <c r="AQ191" s="855"/>
      <c r="AR191" s="855"/>
      <c r="AS191" s="855"/>
      <c r="AT191" s="855"/>
      <c r="AU191" s="855"/>
      <c r="AV191" s="855"/>
      <c r="AW191" s="855"/>
      <c r="AX191" s="855">
        <v>11</v>
      </c>
      <c r="AY191" s="855">
        <f t="shared" si="152"/>
        <v>11</v>
      </c>
      <c r="AZ191" s="855"/>
      <c r="BA191" s="855"/>
      <c r="BB191" s="855"/>
      <c r="BC191" s="855"/>
      <c r="BD191" s="855"/>
      <c r="BE191" s="855"/>
      <c r="BF191" s="855"/>
      <c r="BG191" s="855"/>
      <c r="BH191" s="855">
        <f>'[10]bieu cu'!H347</f>
        <v>11</v>
      </c>
      <c r="BI191" s="855"/>
      <c r="BJ191" s="855"/>
      <c r="BK191" s="855"/>
      <c r="BL191" s="855"/>
      <c r="BM191" s="855"/>
      <c r="BN191" s="855"/>
      <c r="BO191" s="848">
        <f t="shared" si="107"/>
        <v>11</v>
      </c>
      <c r="BP191" s="855"/>
      <c r="BQ191" s="855"/>
      <c r="BR191" s="855"/>
      <c r="BS191" s="855"/>
      <c r="BT191" s="855"/>
      <c r="BU191" s="855"/>
      <c r="BV191" s="855">
        <v>11</v>
      </c>
      <c r="BW191" s="855"/>
      <c r="BX191" s="855"/>
      <c r="BY191" s="855"/>
      <c r="BZ191" s="855"/>
      <c r="CA191" s="855"/>
      <c r="CB191" s="855"/>
      <c r="CC191" s="855"/>
      <c r="CD191" s="855"/>
      <c r="CE191" s="855"/>
      <c r="CF191" s="848">
        <f t="shared" si="153"/>
        <v>100</v>
      </c>
      <c r="CG191" s="848"/>
      <c r="CH191" s="848"/>
      <c r="CI191" s="848"/>
      <c r="CJ191" s="848"/>
      <c r="CK191" s="848"/>
      <c r="CL191" s="848"/>
      <c r="CM191" s="848"/>
      <c r="CN191" s="848"/>
      <c r="CO191" s="848">
        <f t="shared" si="138"/>
        <v>0</v>
      </c>
      <c r="CP191" s="848"/>
      <c r="CQ191" s="848"/>
      <c r="CR191" s="848"/>
      <c r="CS191" s="848"/>
      <c r="CT191" s="848"/>
      <c r="CU191" s="848"/>
      <c r="CV191" s="848"/>
      <c r="CW191" s="848"/>
    </row>
    <row r="192" spans="1:101" ht="31.9" customHeight="1">
      <c r="A192" s="845"/>
      <c r="B192" s="852" t="s">
        <v>677</v>
      </c>
      <c r="C192" s="852" t="s">
        <v>690</v>
      </c>
      <c r="D192" s="846"/>
      <c r="E192" s="845"/>
      <c r="F192" s="853">
        <v>2008</v>
      </c>
      <c r="G192" s="846" t="s">
        <v>691</v>
      </c>
      <c r="H192" s="850">
        <f t="shared" si="142"/>
        <v>645.90599999999995</v>
      </c>
      <c r="I192" s="860"/>
      <c r="J192" s="848"/>
      <c r="K192" s="848"/>
      <c r="L192" s="848"/>
      <c r="M192" s="848"/>
      <c r="N192" s="848"/>
      <c r="O192" s="848"/>
      <c r="P192" s="848"/>
      <c r="Q192" s="848"/>
      <c r="R192" s="848"/>
      <c r="S192" s="860">
        <v>645.90599999999995</v>
      </c>
      <c r="T192" s="855">
        <f t="shared" si="123"/>
        <v>0</v>
      </c>
      <c r="U192" s="848"/>
      <c r="V192" s="848"/>
      <c r="W192" s="848"/>
      <c r="X192" s="848"/>
      <c r="Y192" s="848"/>
      <c r="Z192" s="848"/>
      <c r="AA192" s="848"/>
      <c r="AB192" s="848"/>
      <c r="AC192" s="848"/>
      <c r="AD192" s="848"/>
      <c r="AE192" s="848"/>
      <c r="AF192" s="848"/>
      <c r="AG192" s="848"/>
      <c r="AH192" s="855"/>
      <c r="AI192" s="855">
        <f t="shared" ref="AI192" si="154">AX192</f>
        <v>10</v>
      </c>
      <c r="AJ192" s="855"/>
      <c r="AK192" s="855"/>
      <c r="AL192" s="855"/>
      <c r="AM192" s="855"/>
      <c r="AN192" s="855"/>
      <c r="AO192" s="855"/>
      <c r="AP192" s="855"/>
      <c r="AQ192" s="855"/>
      <c r="AR192" s="855"/>
      <c r="AS192" s="855"/>
      <c r="AT192" s="855"/>
      <c r="AU192" s="855"/>
      <c r="AV192" s="855"/>
      <c r="AW192" s="855"/>
      <c r="AX192" s="855">
        <v>10</v>
      </c>
      <c r="AY192" s="855">
        <f t="shared" si="152"/>
        <v>10</v>
      </c>
      <c r="AZ192" s="855"/>
      <c r="BA192" s="855"/>
      <c r="BB192" s="855"/>
      <c r="BC192" s="855"/>
      <c r="BD192" s="855"/>
      <c r="BE192" s="855"/>
      <c r="BF192" s="855"/>
      <c r="BG192" s="855"/>
      <c r="BH192" s="855">
        <f>'[10]bieu cu'!H348</f>
        <v>10</v>
      </c>
      <c r="BI192" s="855"/>
      <c r="BJ192" s="855"/>
      <c r="BK192" s="855"/>
      <c r="BL192" s="855"/>
      <c r="BM192" s="855"/>
      <c r="BN192" s="855"/>
      <c r="BO192" s="848">
        <f t="shared" si="107"/>
        <v>9</v>
      </c>
      <c r="BP192" s="855"/>
      <c r="BQ192" s="855"/>
      <c r="BR192" s="855"/>
      <c r="BS192" s="855"/>
      <c r="BT192" s="855"/>
      <c r="BU192" s="855"/>
      <c r="BV192" s="855">
        <v>9</v>
      </c>
      <c r="BW192" s="855"/>
      <c r="BX192" s="855"/>
      <c r="BY192" s="855"/>
      <c r="BZ192" s="855"/>
      <c r="CA192" s="855"/>
      <c r="CB192" s="855"/>
      <c r="CC192" s="855"/>
      <c r="CD192" s="855"/>
      <c r="CE192" s="855"/>
      <c r="CF192" s="848">
        <f t="shared" si="153"/>
        <v>100</v>
      </c>
      <c r="CG192" s="848"/>
      <c r="CH192" s="848"/>
      <c r="CI192" s="848"/>
      <c r="CJ192" s="848"/>
      <c r="CK192" s="848"/>
      <c r="CL192" s="848"/>
      <c r="CM192" s="848"/>
      <c r="CN192" s="848"/>
      <c r="CO192" s="848">
        <f t="shared" si="138"/>
        <v>0</v>
      </c>
      <c r="CP192" s="848"/>
      <c r="CQ192" s="848"/>
      <c r="CR192" s="848"/>
      <c r="CS192" s="848"/>
      <c r="CT192" s="848"/>
      <c r="CU192" s="848"/>
      <c r="CV192" s="848"/>
      <c r="CW192" s="848"/>
    </row>
    <row r="193" spans="1:101" ht="31.9" customHeight="1">
      <c r="A193" s="845" t="s">
        <v>692</v>
      </c>
      <c r="B193" s="845"/>
      <c r="C193" s="864" t="s">
        <v>693</v>
      </c>
      <c r="D193" s="846">
        <f t="shared" ref="D193:BN193" si="155">D194+D216</f>
        <v>0</v>
      </c>
      <c r="E193" s="845">
        <f t="shared" si="155"/>
        <v>0</v>
      </c>
      <c r="F193" s="847"/>
      <c r="G193" s="845"/>
      <c r="H193" s="850">
        <f>SUM(I193:S193)</f>
        <v>95743</v>
      </c>
      <c r="I193" s="848">
        <f t="shared" si="155"/>
        <v>7763</v>
      </c>
      <c r="J193" s="848">
        <f t="shared" si="155"/>
        <v>27963</v>
      </c>
      <c r="K193" s="848">
        <f t="shared" si="155"/>
        <v>0</v>
      </c>
      <c r="L193" s="848">
        <f t="shared" si="155"/>
        <v>0</v>
      </c>
      <c r="M193" s="848">
        <f t="shared" si="155"/>
        <v>0</v>
      </c>
      <c r="N193" s="848">
        <f t="shared" si="155"/>
        <v>0</v>
      </c>
      <c r="O193" s="848">
        <f t="shared" si="155"/>
        <v>0</v>
      </c>
      <c r="P193" s="848">
        <f t="shared" si="155"/>
        <v>0</v>
      </c>
      <c r="Q193" s="848">
        <f t="shared" si="155"/>
        <v>0</v>
      </c>
      <c r="R193" s="848">
        <v>52165</v>
      </c>
      <c r="S193" s="848">
        <f t="shared" si="155"/>
        <v>7852</v>
      </c>
      <c r="T193" s="848">
        <f t="shared" si="155"/>
        <v>86395.62</v>
      </c>
      <c r="U193" s="848">
        <f t="shared" si="155"/>
        <v>40908.61</v>
      </c>
      <c r="V193" s="848">
        <f t="shared" si="155"/>
        <v>0</v>
      </c>
      <c r="W193" s="848">
        <f t="shared" si="155"/>
        <v>34966.505000000005</v>
      </c>
      <c r="X193" s="848">
        <f t="shared" si="155"/>
        <v>0</v>
      </c>
      <c r="Y193" s="848">
        <f t="shared" si="155"/>
        <v>0</v>
      </c>
      <c r="Z193" s="848">
        <f t="shared" si="155"/>
        <v>0</v>
      </c>
      <c r="AA193" s="848">
        <f t="shared" si="155"/>
        <v>0</v>
      </c>
      <c r="AB193" s="848">
        <f t="shared" si="155"/>
        <v>0</v>
      </c>
      <c r="AC193" s="848">
        <f t="shared" si="155"/>
        <v>0</v>
      </c>
      <c r="AD193" s="848">
        <f t="shared" si="155"/>
        <v>0</v>
      </c>
      <c r="AE193" s="848">
        <f t="shared" si="155"/>
        <v>0</v>
      </c>
      <c r="AF193" s="848">
        <f t="shared" si="155"/>
        <v>0</v>
      </c>
      <c r="AG193" s="848">
        <f t="shared" si="155"/>
        <v>0</v>
      </c>
      <c r="AH193" s="848">
        <f t="shared" si="155"/>
        <v>10520.504999999999</v>
      </c>
      <c r="AI193" s="848">
        <f t="shared" si="155"/>
        <v>50372</v>
      </c>
      <c r="AJ193" s="848">
        <f t="shared" si="155"/>
        <v>23258</v>
      </c>
      <c r="AK193" s="848">
        <f t="shared" si="155"/>
        <v>0</v>
      </c>
      <c r="AL193" s="848">
        <f t="shared" si="155"/>
        <v>24963</v>
      </c>
      <c r="AM193" s="848">
        <f t="shared" si="155"/>
        <v>0</v>
      </c>
      <c r="AN193" s="848">
        <f t="shared" si="155"/>
        <v>0</v>
      </c>
      <c r="AO193" s="848">
        <f t="shared" si="155"/>
        <v>0</v>
      </c>
      <c r="AP193" s="848">
        <f t="shared" si="155"/>
        <v>0</v>
      </c>
      <c r="AQ193" s="848">
        <f t="shared" si="155"/>
        <v>0</v>
      </c>
      <c r="AR193" s="848">
        <f t="shared" si="155"/>
        <v>0</v>
      </c>
      <c r="AS193" s="848">
        <f t="shared" si="155"/>
        <v>2151</v>
      </c>
      <c r="AT193" s="848">
        <f t="shared" si="155"/>
        <v>0</v>
      </c>
      <c r="AU193" s="848">
        <f t="shared" si="155"/>
        <v>0</v>
      </c>
      <c r="AV193" s="848">
        <f t="shared" si="155"/>
        <v>0</v>
      </c>
      <c r="AW193" s="848">
        <f t="shared" si="155"/>
        <v>0</v>
      </c>
      <c r="AX193" s="848">
        <f t="shared" si="155"/>
        <v>0</v>
      </c>
      <c r="AY193" s="848">
        <f t="shared" si="155"/>
        <v>2923</v>
      </c>
      <c r="AZ193" s="848">
        <f t="shared" si="155"/>
        <v>0</v>
      </c>
      <c r="BA193" s="848">
        <f t="shared" si="155"/>
        <v>0</v>
      </c>
      <c r="BB193" s="848">
        <f t="shared" si="155"/>
        <v>0</v>
      </c>
      <c r="BC193" s="848">
        <f t="shared" si="155"/>
        <v>0</v>
      </c>
      <c r="BD193" s="848">
        <f t="shared" si="155"/>
        <v>0</v>
      </c>
      <c r="BE193" s="848">
        <f t="shared" si="155"/>
        <v>0</v>
      </c>
      <c r="BF193" s="848">
        <f t="shared" si="155"/>
        <v>0</v>
      </c>
      <c r="BG193" s="848">
        <f t="shared" si="155"/>
        <v>0</v>
      </c>
      <c r="BH193" s="848">
        <f t="shared" si="155"/>
        <v>0</v>
      </c>
      <c r="BI193" s="848">
        <f t="shared" si="155"/>
        <v>0</v>
      </c>
      <c r="BJ193" s="848">
        <f t="shared" si="155"/>
        <v>0</v>
      </c>
      <c r="BK193" s="848">
        <f t="shared" si="155"/>
        <v>0</v>
      </c>
      <c r="BL193" s="848">
        <f t="shared" si="155"/>
        <v>0</v>
      </c>
      <c r="BM193" s="848">
        <f t="shared" si="155"/>
        <v>0</v>
      </c>
      <c r="BN193" s="848">
        <f t="shared" si="155"/>
        <v>2923</v>
      </c>
      <c r="BO193" s="848">
        <f t="shared" si="107"/>
        <v>8313.0862000000016</v>
      </c>
      <c r="BP193" s="848">
        <f>BP194+BP216</f>
        <v>5973.1632000000009</v>
      </c>
      <c r="BQ193" s="848">
        <f t="shared" ref="BQ193:CD193" si="156">BQ194+BQ216</f>
        <v>0</v>
      </c>
      <c r="BR193" s="848">
        <f t="shared" si="156"/>
        <v>0</v>
      </c>
      <c r="BS193" s="848">
        <f>BS194+BS216</f>
        <v>0</v>
      </c>
      <c r="BT193" s="848">
        <f t="shared" si="156"/>
        <v>0</v>
      </c>
      <c r="BU193" s="848">
        <f t="shared" si="156"/>
        <v>0</v>
      </c>
      <c r="BV193" s="848">
        <f t="shared" si="156"/>
        <v>0</v>
      </c>
      <c r="BW193" s="848">
        <f t="shared" si="156"/>
        <v>0</v>
      </c>
      <c r="BX193" s="848">
        <f t="shared" si="156"/>
        <v>0</v>
      </c>
      <c r="BY193" s="848">
        <f t="shared" si="156"/>
        <v>0</v>
      </c>
      <c r="BZ193" s="848">
        <f t="shared" si="156"/>
        <v>0</v>
      </c>
      <c r="CA193" s="848">
        <f>CA194+CA216</f>
        <v>0</v>
      </c>
      <c r="CB193" s="848">
        <f t="shared" si="156"/>
        <v>0</v>
      </c>
      <c r="CC193" s="848">
        <f t="shared" si="156"/>
        <v>0</v>
      </c>
      <c r="CD193" s="848">
        <f t="shared" si="156"/>
        <v>0</v>
      </c>
      <c r="CE193" s="848">
        <f>CE194+CE216</f>
        <v>2339.9229999999998</v>
      </c>
      <c r="CF193" s="848">
        <f t="shared" si="153"/>
        <v>90</v>
      </c>
      <c r="CG193" s="848"/>
      <c r="CH193" s="848"/>
      <c r="CI193" s="848"/>
      <c r="CJ193" s="848"/>
      <c r="CK193" s="848"/>
      <c r="CL193" s="848"/>
      <c r="CM193" s="848"/>
      <c r="CN193" s="848"/>
      <c r="CO193" s="848"/>
      <c r="CP193" s="848"/>
      <c r="CQ193" s="848"/>
      <c r="CR193" s="848"/>
      <c r="CS193" s="848"/>
      <c r="CT193" s="848"/>
      <c r="CU193" s="848"/>
      <c r="CV193" s="848"/>
      <c r="CW193" s="848">
        <f t="shared" si="115"/>
        <v>80.052104002736897</v>
      </c>
    </row>
    <row r="194" spans="1:101" s="851" customFormat="1" ht="24.75" customHeight="1">
      <c r="A194" s="845" t="s">
        <v>30</v>
      </c>
      <c r="B194" s="845"/>
      <c r="C194" s="864" t="s">
        <v>358</v>
      </c>
      <c r="D194" s="846">
        <f>D196+D197+D198</f>
        <v>0</v>
      </c>
      <c r="E194" s="845">
        <f t="shared" ref="E194" si="157">E196+E197+E198</f>
        <v>0</v>
      </c>
      <c r="F194" s="847"/>
      <c r="G194" s="845"/>
      <c r="H194" s="850">
        <f t="shared" ref="H194:H258" si="158">SUM(I194:S194)</f>
        <v>92588</v>
      </c>
      <c r="I194" s="848">
        <f>SUM(I196:I215)</f>
        <v>7763</v>
      </c>
      <c r="J194" s="848">
        <f>SUM(J195:J215)</f>
        <v>27963</v>
      </c>
      <c r="K194" s="848">
        <f t="shared" ref="K194:Q194" si="159">SUM(K196:K215)</f>
        <v>0</v>
      </c>
      <c r="L194" s="848">
        <f t="shared" si="159"/>
        <v>0</v>
      </c>
      <c r="M194" s="848">
        <f t="shared" si="159"/>
        <v>0</v>
      </c>
      <c r="N194" s="848">
        <f t="shared" si="159"/>
        <v>0</v>
      </c>
      <c r="O194" s="848">
        <f t="shared" si="159"/>
        <v>0</v>
      </c>
      <c r="P194" s="848">
        <f t="shared" si="159"/>
        <v>0</v>
      </c>
      <c r="Q194" s="848">
        <f t="shared" si="159"/>
        <v>0</v>
      </c>
      <c r="R194" s="848">
        <v>52165</v>
      </c>
      <c r="S194" s="848">
        <f>SUM(S196:S215)</f>
        <v>4697</v>
      </c>
      <c r="T194" s="848">
        <f>SUM(T195:T215)</f>
        <v>86395.62</v>
      </c>
      <c r="U194" s="848">
        <f t="shared" ref="U194:AH194" si="160">SUM(U196:U215)</f>
        <v>40908.61</v>
      </c>
      <c r="V194" s="848">
        <f t="shared" si="160"/>
        <v>0</v>
      </c>
      <c r="W194" s="848">
        <f>SUM(W195:W215)</f>
        <v>34966.505000000005</v>
      </c>
      <c r="X194" s="848">
        <f t="shared" si="160"/>
        <v>0</v>
      </c>
      <c r="Y194" s="848">
        <f t="shared" si="160"/>
        <v>0</v>
      </c>
      <c r="Z194" s="848">
        <f t="shared" si="160"/>
        <v>0</v>
      </c>
      <c r="AA194" s="848">
        <f t="shared" si="160"/>
        <v>0</v>
      </c>
      <c r="AB194" s="848">
        <f t="shared" si="160"/>
        <v>0</v>
      </c>
      <c r="AC194" s="848">
        <f t="shared" si="160"/>
        <v>0</v>
      </c>
      <c r="AD194" s="848">
        <f t="shared" si="160"/>
        <v>0</v>
      </c>
      <c r="AE194" s="848">
        <f t="shared" si="160"/>
        <v>0</v>
      </c>
      <c r="AF194" s="848">
        <f t="shared" si="160"/>
        <v>0</v>
      </c>
      <c r="AG194" s="848">
        <f t="shared" si="160"/>
        <v>0</v>
      </c>
      <c r="AH194" s="848">
        <f t="shared" si="160"/>
        <v>10520.504999999999</v>
      </c>
      <c r="AI194" s="848">
        <f>SUM(AI195:AI215)</f>
        <v>50372</v>
      </c>
      <c r="AJ194" s="848">
        <f t="shared" ref="AJ194:AX194" si="161">SUM(AJ196:AJ215)</f>
        <v>23258</v>
      </c>
      <c r="AK194" s="848">
        <f t="shared" si="161"/>
        <v>0</v>
      </c>
      <c r="AL194" s="848">
        <f>SUM(AL195:AL215)</f>
        <v>24963</v>
      </c>
      <c r="AM194" s="848">
        <f t="shared" si="161"/>
        <v>0</v>
      </c>
      <c r="AN194" s="848">
        <f t="shared" si="161"/>
        <v>0</v>
      </c>
      <c r="AO194" s="848">
        <f t="shared" si="161"/>
        <v>0</v>
      </c>
      <c r="AP194" s="848">
        <f t="shared" si="161"/>
        <v>0</v>
      </c>
      <c r="AQ194" s="848">
        <f t="shared" si="161"/>
        <v>0</v>
      </c>
      <c r="AR194" s="848">
        <f t="shared" si="161"/>
        <v>0</v>
      </c>
      <c r="AS194" s="848">
        <f t="shared" si="161"/>
        <v>2151</v>
      </c>
      <c r="AT194" s="848">
        <f t="shared" si="161"/>
        <v>0</v>
      </c>
      <c r="AU194" s="848">
        <f t="shared" si="161"/>
        <v>0</v>
      </c>
      <c r="AV194" s="848">
        <f t="shared" si="161"/>
        <v>0</v>
      </c>
      <c r="AW194" s="848">
        <f t="shared" si="161"/>
        <v>0</v>
      </c>
      <c r="AX194" s="848">
        <f t="shared" si="161"/>
        <v>0</v>
      </c>
      <c r="AY194" s="848">
        <f>SUM(AY195:AY215)</f>
        <v>1723</v>
      </c>
      <c r="AZ194" s="848">
        <f t="shared" ref="AZ194:BR194" si="162">SUM(AZ196:AZ215)</f>
        <v>0</v>
      </c>
      <c r="BA194" s="848">
        <f t="shared" si="162"/>
        <v>0</v>
      </c>
      <c r="BB194" s="848">
        <f t="shared" si="162"/>
        <v>0</v>
      </c>
      <c r="BC194" s="848">
        <f t="shared" si="162"/>
        <v>0</v>
      </c>
      <c r="BD194" s="848">
        <f t="shared" si="162"/>
        <v>0</v>
      </c>
      <c r="BE194" s="848">
        <f t="shared" si="162"/>
        <v>0</v>
      </c>
      <c r="BF194" s="848">
        <f t="shared" si="162"/>
        <v>0</v>
      </c>
      <c r="BG194" s="848">
        <f t="shared" si="162"/>
        <v>0</v>
      </c>
      <c r="BH194" s="848">
        <f t="shared" si="162"/>
        <v>0</v>
      </c>
      <c r="BI194" s="848">
        <f t="shared" si="162"/>
        <v>0</v>
      </c>
      <c r="BJ194" s="848">
        <f t="shared" si="162"/>
        <v>0</v>
      </c>
      <c r="BK194" s="848">
        <f t="shared" si="162"/>
        <v>0</v>
      </c>
      <c r="BL194" s="848">
        <f t="shared" si="162"/>
        <v>0</v>
      </c>
      <c r="BM194" s="848">
        <f t="shared" si="162"/>
        <v>0</v>
      </c>
      <c r="BN194" s="848">
        <f>SUM(BN195:BN215)</f>
        <v>1723</v>
      </c>
      <c r="BO194" s="848">
        <f t="shared" si="107"/>
        <v>7690.0862000000006</v>
      </c>
      <c r="BP194" s="848">
        <f t="shared" si="162"/>
        <v>5973.1632000000009</v>
      </c>
      <c r="BQ194" s="848">
        <f t="shared" si="162"/>
        <v>0</v>
      </c>
      <c r="BR194" s="848">
        <f t="shared" si="162"/>
        <v>0</v>
      </c>
      <c r="BS194" s="848">
        <f>SUM(BS195:BS215)</f>
        <v>0</v>
      </c>
      <c r="BT194" s="848">
        <f t="shared" ref="BT194:CD194" si="163">SUM(BT195:BT215)</f>
        <v>0</v>
      </c>
      <c r="BU194" s="848">
        <f t="shared" si="163"/>
        <v>0</v>
      </c>
      <c r="BV194" s="848">
        <f t="shared" si="163"/>
        <v>0</v>
      </c>
      <c r="BW194" s="848">
        <f t="shared" si="163"/>
        <v>0</v>
      </c>
      <c r="BX194" s="848">
        <f t="shared" si="163"/>
        <v>0</v>
      </c>
      <c r="BY194" s="848">
        <f t="shared" si="163"/>
        <v>0</v>
      </c>
      <c r="BZ194" s="848">
        <f t="shared" si="163"/>
        <v>0</v>
      </c>
      <c r="CA194" s="848">
        <f t="shared" si="163"/>
        <v>0</v>
      </c>
      <c r="CB194" s="848">
        <f t="shared" si="163"/>
        <v>0</v>
      </c>
      <c r="CC194" s="848">
        <f t="shared" si="163"/>
        <v>0</v>
      </c>
      <c r="CD194" s="848">
        <f t="shared" si="163"/>
        <v>0</v>
      </c>
      <c r="CE194" s="848">
        <f>SUM(CE195:CE215)</f>
        <v>1716.923</v>
      </c>
      <c r="CF194" s="848">
        <f t="shared" si="153"/>
        <v>284.402538487855</v>
      </c>
      <c r="CG194" s="848"/>
      <c r="CH194" s="848"/>
      <c r="CI194" s="848"/>
      <c r="CJ194" s="848"/>
      <c r="CK194" s="848"/>
      <c r="CL194" s="848"/>
      <c r="CM194" s="848"/>
      <c r="CN194" s="848"/>
      <c r="CO194" s="848"/>
      <c r="CP194" s="848"/>
      <c r="CQ194" s="848"/>
      <c r="CR194" s="848"/>
      <c r="CS194" s="848"/>
      <c r="CT194" s="848"/>
      <c r="CU194" s="848"/>
      <c r="CV194" s="848"/>
      <c r="CW194" s="848">
        <f t="shared" si="115"/>
        <v>99.647301218804401</v>
      </c>
    </row>
    <row r="195" spans="1:101" s="851" customFormat="1" ht="40.15" customHeight="1">
      <c r="A195" s="845"/>
      <c r="B195" s="867" t="s">
        <v>693</v>
      </c>
      <c r="C195" s="852" t="s">
        <v>1518</v>
      </c>
      <c r="D195" s="846"/>
      <c r="E195" s="845"/>
      <c r="F195" s="847"/>
      <c r="G195" s="846" t="s">
        <v>1519</v>
      </c>
      <c r="H195" s="850">
        <v>27963</v>
      </c>
      <c r="I195" s="855"/>
      <c r="J195" s="855">
        <v>27963</v>
      </c>
      <c r="K195" s="855"/>
      <c r="L195" s="855"/>
      <c r="M195" s="855"/>
      <c r="N195" s="855"/>
      <c r="O195" s="855"/>
      <c r="P195" s="855"/>
      <c r="Q195" s="855"/>
      <c r="R195" s="855"/>
      <c r="S195" s="855"/>
      <c r="T195" s="855">
        <v>14803</v>
      </c>
      <c r="U195" s="855"/>
      <c r="V195" s="855"/>
      <c r="W195" s="855">
        <v>14803</v>
      </c>
      <c r="X195" s="855"/>
      <c r="Y195" s="855"/>
      <c r="Z195" s="855"/>
      <c r="AA195" s="855"/>
      <c r="AB195" s="855"/>
      <c r="AC195" s="855"/>
      <c r="AD195" s="855"/>
      <c r="AE195" s="855"/>
      <c r="AF195" s="855"/>
      <c r="AG195" s="855"/>
      <c r="AH195" s="855"/>
      <c r="AI195" s="855">
        <f>AL195</f>
        <v>14803</v>
      </c>
      <c r="AJ195" s="855"/>
      <c r="AK195" s="855"/>
      <c r="AL195" s="855">
        <v>14803</v>
      </c>
      <c r="AM195" s="855"/>
      <c r="AN195" s="855"/>
      <c r="AO195" s="855"/>
      <c r="AP195" s="855"/>
      <c r="AQ195" s="855"/>
      <c r="AR195" s="855"/>
      <c r="AS195" s="855"/>
      <c r="AT195" s="855"/>
      <c r="AU195" s="855"/>
      <c r="AV195" s="855"/>
      <c r="AW195" s="855"/>
      <c r="AX195" s="855"/>
      <c r="AY195" s="855">
        <f>BN195</f>
        <v>1016</v>
      </c>
      <c r="AZ195" s="848"/>
      <c r="BA195" s="848"/>
      <c r="BB195" s="848"/>
      <c r="BC195" s="848"/>
      <c r="BD195" s="848"/>
      <c r="BE195" s="848"/>
      <c r="BF195" s="848"/>
      <c r="BG195" s="848"/>
      <c r="BH195" s="848"/>
      <c r="BI195" s="848"/>
      <c r="BJ195" s="848"/>
      <c r="BK195" s="848"/>
      <c r="BL195" s="848"/>
      <c r="BM195" s="848"/>
      <c r="BN195" s="855">
        <v>1016</v>
      </c>
      <c r="BO195" s="848">
        <f t="shared" si="107"/>
        <v>1016</v>
      </c>
      <c r="BP195" s="848"/>
      <c r="BQ195" s="848"/>
      <c r="BR195" s="848"/>
      <c r="BS195" s="848"/>
      <c r="BT195" s="848"/>
      <c r="BU195" s="848"/>
      <c r="BV195" s="848"/>
      <c r="BW195" s="848"/>
      <c r="BX195" s="848"/>
      <c r="BY195" s="848"/>
      <c r="BZ195" s="848"/>
      <c r="CA195" s="848"/>
      <c r="CB195" s="848"/>
      <c r="CC195" s="848"/>
      <c r="CD195" s="848"/>
      <c r="CE195" s="855">
        <v>1016</v>
      </c>
      <c r="CF195" s="848"/>
      <c r="CG195" s="848"/>
      <c r="CH195" s="848"/>
      <c r="CI195" s="848"/>
      <c r="CJ195" s="848"/>
      <c r="CK195" s="848"/>
      <c r="CL195" s="848"/>
      <c r="CM195" s="848"/>
      <c r="CN195" s="848"/>
      <c r="CO195" s="848"/>
      <c r="CP195" s="848"/>
      <c r="CQ195" s="848"/>
      <c r="CR195" s="848"/>
      <c r="CS195" s="848"/>
      <c r="CT195" s="848"/>
      <c r="CU195" s="848"/>
      <c r="CV195" s="848"/>
      <c r="CW195" s="848">
        <f t="shared" si="115"/>
        <v>100</v>
      </c>
    </row>
    <row r="196" spans="1:101" s="851" customFormat="1" ht="33" customHeight="1">
      <c r="A196" s="845"/>
      <c r="B196" s="867" t="s">
        <v>693</v>
      </c>
      <c r="C196" s="852" t="s">
        <v>694</v>
      </c>
      <c r="D196" s="846"/>
      <c r="E196" s="845"/>
      <c r="F196" s="853">
        <v>2010</v>
      </c>
      <c r="G196" s="854" t="s">
        <v>695</v>
      </c>
      <c r="H196" s="850">
        <f t="shared" si="158"/>
        <v>10934</v>
      </c>
      <c r="I196" s="855"/>
      <c r="J196" s="848"/>
      <c r="K196" s="848"/>
      <c r="L196" s="848"/>
      <c r="M196" s="848"/>
      <c r="N196" s="848"/>
      <c r="O196" s="848"/>
      <c r="P196" s="848"/>
      <c r="Q196" s="848"/>
      <c r="R196" s="855">
        <v>10869</v>
      </c>
      <c r="S196" s="855">
        <v>65</v>
      </c>
      <c r="T196" s="855">
        <f t="shared" si="123"/>
        <v>0</v>
      </c>
      <c r="U196" s="848"/>
      <c r="V196" s="848"/>
      <c r="W196" s="848"/>
      <c r="X196" s="848"/>
      <c r="Y196" s="848"/>
      <c r="Z196" s="848"/>
      <c r="AA196" s="848"/>
      <c r="AB196" s="848"/>
      <c r="AC196" s="848"/>
      <c r="AD196" s="848"/>
      <c r="AE196" s="848"/>
      <c r="AF196" s="848"/>
      <c r="AG196" s="848"/>
      <c r="AH196" s="855"/>
      <c r="AI196" s="855"/>
      <c r="AJ196" s="855"/>
      <c r="AK196" s="855"/>
      <c r="AL196" s="855"/>
      <c r="AM196" s="855"/>
      <c r="AN196" s="855"/>
      <c r="AO196" s="855"/>
      <c r="AP196" s="855"/>
      <c r="AQ196" s="855"/>
      <c r="AR196" s="855"/>
      <c r="AS196" s="855"/>
      <c r="AT196" s="855"/>
      <c r="AU196" s="855"/>
      <c r="AV196" s="855"/>
      <c r="AW196" s="855"/>
      <c r="AX196" s="855"/>
      <c r="AY196" s="855">
        <f t="shared" ref="AY196:AY217" si="164">SUM(AZ196:BN196)</f>
        <v>65</v>
      </c>
      <c r="AZ196" s="855"/>
      <c r="BA196" s="855"/>
      <c r="BB196" s="855"/>
      <c r="BC196" s="855"/>
      <c r="BD196" s="855"/>
      <c r="BE196" s="855"/>
      <c r="BF196" s="855"/>
      <c r="BG196" s="855"/>
      <c r="BH196" s="855"/>
      <c r="BI196" s="855"/>
      <c r="BJ196" s="855"/>
      <c r="BK196" s="855"/>
      <c r="BL196" s="855"/>
      <c r="BM196" s="855"/>
      <c r="BN196" s="855">
        <v>65</v>
      </c>
      <c r="BO196" s="848">
        <f t="shared" si="107"/>
        <v>65</v>
      </c>
      <c r="BP196" s="855"/>
      <c r="BQ196" s="855"/>
      <c r="BR196" s="855"/>
      <c r="BS196" s="855"/>
      <c r="BT196" s="855"/>
      <c r="BU196" s="855"/>
      <c r="BV196" s="855"/>
      <c r="BW196" s="855"/>
      <c r="BX196" s="855"/>
      <c r="BY196" s="855"/>
      <c r="BZ196" s="855"/>
      <c r="CA196" s="855"/>
      <c r="CB196" s="855"/>
      <c r="CC196" s="855"/>
      <c r="CD196" s="855"/>
      <c r="CE196" s="855">
        <f>'[10]bieu cu'!M41</f>
        <v>65</v>
      </c>
      <c r="CF196" s="848">
        <f>BO194/AY194%</f>
        <v>446.31957051654092</v>
      </c>
      <c r="CG196" s="848"/>
      <c r="CH196" s="848"/>
      <c r="CI196" s="848"/>
      <c r="CJ196" s="848"/>
      <c r="CK196" s="848"/>
      <c r="CL196" s="848"/>
      <c r="CM196" s="848"/>
      <c r="CN196" s="848"/>
      <c r="CO196" s="848"/>
      <c r="CP196" s="848"/>
      <c r="CQ196" s="848"/>
      <c r="CR196" s="848"/>
      <c r="CS196" s="848"/>
      <c r="CT196" s="848"/>
      <c r="CU196" s="848"/>
      <c r="CV196" s="848"/>
      <c r="CW196" s="848">
        <f t="shared" si="115"/>
        <v>100</v>
      </c>
    </row>
    <row r="197" spans="1:101" ht="37.15" customHeight="1">
      <c r="A197" s="845"/>
      <c r="B197" s="867" t="s">
        <v>693</v>
      </c>
      <c r="C197" s="852" t="s">
        <v>696</v>
      </c>
      <c r="D197" s="846"/>
      <c r="E197" s="845"/>
      <c r="F197" s="853">
        <v>2013</v>
      </c>
      <c r="G197" s="846" t="s">
        <v>697</v>
      </c>
      <c r="H197" s="850">
        <f t="shared" si="158"/>
        <v>1216</v>
      </c>
      <c r="I197" s="850"/>
      <c r="J197" s="848"/>
      <c r="K197" s="848"/>
      <c r="L197" s="848"/>
      <c r="M197" s="848"/>
      <c r="N197" s="848"/>
      <c r="O197" s="848"/>
      <c r="P197" s="848"/>
      <c r="Q197" s="848"/>
      <c r="R197" s="848"/>
      <c r="S197" s="850">
        <v>1216</v>
      </c>
      <c r="T197" s="855">
        <f t="shared" si="123"/>
        <v>0</v>
      </c>
      <c r="U197" s="848"/>
      <c r="V197" s="848"/>
      <c r="W197" s="848"/>
      <c r="X197" s="848"/>
      <c r="Y197" s="848"/>
      <c r="Z197" s="848"/>
      <c r="AA197" s="848"/>
      <c r="AB197" s="848"/>
      <c r="AC197" s="848"/>
      <c r="AD197" s="848"/>
      <c r="AE197" s="848"/>
      <c r="AF197" s="848"/>
      <c r="AG197" s="848"/>
      <c r="AH197" s="855"/>
      <c r="AI197" s="855"/>
      <c r="AJ197" s="855"/>
      <c r="AK197" s="855"/>
      <c r="AL197" s="855"/>
      <c r="AM197" s="855"/>
      <c r="AN197" s="855"/>
      <c r="AO197" s="855"/>
      <c r="AP197" s="855"/>
      <c r="AQ197" s="855"/>
      <c r="AR197" s="855"/>
      <c r="AS197" s="855"/>
      <c r="AT197" s="855"/>
      <c r="AU197" s="855"/>
      <c r="AV197" s="855"/>
      <c r="AW197" s="855"/>
      <c r="AX197" s="855"/>
      <c r="AY197" s="855">
        <f t="shared" si="164"/>
        <v>322</v>
      </c>
      <c r="AZ197" s="855"/>
      <c r="BA197" s="855"/>
      <c r="BB197" s="855"/>
      <c r="BC197" s="855"/>
      <c r="BD197" s="855"/>
      <c r="BE197" s="855"/>
      <c r="BF197" s="855"/>
      <c r="BG197" s="855"/>
      <c r="BH197" s="855"/>
      <c r="BI197" s="855"/>
      <c r="BJ197" s="855"/>
      <c r="BK197" s="855"/>
      <c r="BL197" s="855"/>
      <c r="BM197" s="855"/>
      <c r="BN197" s="855">
        <v>322</v>
      </c>
      <c r="BO197" s="848">
        <f t="shared" si="107"/>
        <v>315.923</v>
      </c>
      <c r="BP197" s="855"/>
      <c r="BQ197" s="855"/>
      <c r="BR197" s="855"/>
      <c r="BS197" s="855"/>
      <c r="BT197" s="855"/>
      <c r="BU197" s="855"/>
      <c r="BV197" s="855"/>
      <c r="BW197" s="855"/>
      <c r="BX197" s="855"/>
      <c r="BY197" s="855"/>
      <c r="BZ197" s="855"/>
      <c r="CA197" s="855"/>
      <c r="CB197" s="855"/>
      <c r="CC197" s="855"/>
      <c r="CD197" s="855"/>
      <c r="CE197" s="855">
        <v>315.923</v>
      </c>
      <c r="CF197" s="848">
        <f t="shared" si="153"/>
        <v>100</v>
      </c>
      <c r="CG197" s="848"/>
      <c r="CH197" s="848"/>
      <c r="CI197" s="848"/>
      <c r="CJ197" s="848"/>
      <c r="CK197" s="848"/>
      <c r="CL197" s="848"/>
      <c r="CM197" s="848"/>
      <c r="CN197" s="848"/>
      <c r="CO197" s="848"/>
      <c r="CP197" s="848"/>
      <c r="CQ197" s="848"/>
      <c r="CR197" s="848"/>
      <c r="CS197" s="848"/>
      <c r="CT197" s="848"/>
      <c r="CU197" s="848"/>
      <c r="CV197" s="848"/>
      <c r="CW197" s="848">
        <f t="shared" si="115"/>
        <v>98.112732919254668</v>
      </c>
    </row>
    <row r="198" spans="1:101" ht="38.450000000000003" customHeight="1">
      <c r="A198" s="845"/>
      <c r="B198" s="867" t="s">
        <v>693</v>
      </c>
      <c r="C198" s="852" t="s">
        <v>698</v>
      </c>
      <c r="D198" s="846"/>
      <c r="E198" s="845"/>
      <c r="F198" s="853" t="s">
        <v>699</v>
      </c>
      <c r="G198" s="854" t="s">
        <v>700</v>
      </c>
      <c r="H198" s="850">
        <f t="shared" si="158"/>
        <v>2298</v>
      </c>
      <c r="I198" s="850"/>
      <c r="J198" s="848"/>
      <c r="K198" s="848"/>
      <c r="L198" s="848"/>
      <c r="M198" s="848"/>
      <c r="N198" s="848"/>
      <c r="O198" s="848"/>
      <c r="P198" s="848"/>
      <c r="Q198" s="848"/>
      <c r="R198" s="848"/>
      <c r="S198" s="850">
        <v>2298</v>
      </c>
      <c r="T198" s="855">
        <f t="shared" si="123"/>
        <v>30684.010000000002</v>
      </c>
      <c r="U198" s="848"/>
      <c r="V198" s="848"/>
      <c r="W198" s="855">
        <v>20163.505000000001</v>
      </c>
      <c r="X198" s="848"/>
      <c r="Y198" s="848"/>
      <c r="Z198" s="848"/>
      <c r="AA198" s="848"/>
      <c r="AB198" s="848"/>
      <c r="AC198" s="848"/>
      <c r="AD198" s="848"/>
      <c r="AE198" s="855"/>
      <c r="AF198" s="848"/>
      <c r="AG198" s="848"/>
      <c r="AH198" s="855">
        <v>10520.504999999999</v>
      </c>
      <c r="AI198" s="855">
        <f>AL198+AS198</f>
        <v>12311</v>
      </c>
      <c r="AJ198" s="855"/>
      <c r="AK198" s="855"/>
      <c r="AL198" s="855">
        <v>10160</v>
      </c>
      <c r="AM198" s="855"/>
      <c r="AN198" s="855"/>
      <c r="AO198" s="855"/>
      <c r="AP198" s="855"/>
      <c r="AQ198" s="855"/>
      <c r="AR198" s="855"/>
      <c r="AS198" s="855">
        <v>2151</v>
      </c>
      <c r="AT198" s="855"/>
      <c r="AU198" s="855"/>
      <c r="AV198" s="855"/>
      <c r="AW198" s="855"/>
      <c r="AX198" s="855"/>
      <c r="AY198" s="855">
        <f t="shared" si="164"/>
        <v>100</v>
      </c>
      <c r="AZ198" s="855"/>
      <c r="BA198" s="855"/>
      <c r="BB198" s="855"/>
      <c r="BC198" s="855"/>
      <c r="BD198" s="855"/>
      <c r="BE198" s="855"/>
      <c r="BF198" s="855"/>
      <c r="BG198" s="855"/>
      <c r="BH198" s="855"/>
      <c r="BI198" s="855"/>
      <c r="BJ198" s="855"/>
      <c r="BK198" s="855"/>
      <c r="BL198" s="855"/>
      <c r="BM198" s="855"/>
      <c r="BN198" s="855">
        <f>'[10]bieu cu'!H66</f>
        <v>100</v>
      </c>
      <c r="BO198" s="848">
        <f t="shared" si="107"/>
        <v>100</v>
      </c>
      <c r="BP198" s="855"/>
      <c r="BQ198" s="855"/>
      <c r="BR198" s="855"/>
      <c r="BS198" s="855"/>
      <c r="BT198" s="855"/>
      <c r="BU198" s="855"/>
      <c r="BV198" s="855"/>
      <c r="BW198" s="855"/>
      <c r="BX198" s="855"/>
      <c r="BY198" s="855"/>
      <c r="BZ198" s="855"/>
      <c r="CA198" s="855"/>
      <c r="CB198" s="855"/>
      <c r="CC198" s="855"/>
      <c r="CD198" s="855"/>
      <c r="CE198" s="855">
        <f>'[10]bieu cu'!M66</f>
        <v>100</v>
      </c>
      <c r="CF198" s="848">
        <f t="shared" si="153"/>
        <v>98.112732919254654</v>
      </c>
      <c r="CG198" s="848"/>
      <c r="CH198" s="848"/>
      <c r="CI198" s="848"/>
      <c r="CJ198" s="848"/>
      <c r="CK198" s="848"/>
      <c r="CL198" s="848"/>
      <c r="CM198" s="848"/>
      <c r="CN198" s="848"/>
      <c r="CO198" s="848"/>
      <c r="CP198" s="848"/>
      <c r="CQ198" s="848"/>
      <c r="CR198" s="848"/>
      <c r="CS198" s="848"/>
      <c r="CT198" s="848"/>
      <c r="CU198" s="848"/>
      <c r="CV198" s="848"/>
      <c r="CW198" s="848">
        <f t="shared" si="115"/>
        <v>100</v>
      </c>
    </row>
    <row r="199" spans="1:101" ht="30.6" customHeight="1">
      <c r="A199" s="845"/>
      <c r="B199" s="867" t="s">
        <v>693</v>
      </c>
      <c r="C199" s="852" t="s">
        <v>701</v>
      </c>
      <c r="D199" s="846"/>
      <c r="E199" s="845"/>
      <c r="F199" s="853" t="s">
        <v>702</v>
      </c>
      <c r="G199" s="854" t="s">
        <v>703</v>
      </c>
      <c r="H199" s="850">
        <f t="shared" si="158"/>
        <v>42414</v>
      </c>
      <c r="I199" s="850"/>
      <c r="J199" s="848"/>
      <c r="K199" s="848"/>
      <c r="L199" s="848"/>
      <c r="M199" s="848"/>
      <c r="N199" s="848"/>
      <c r="O199" s="848"/>
      <c r="P199" s="848"/>
      <c r="Q199" s="848"/>
      <c r="R199" s="855">
        <v>41296</v>
      </c>
      <c r="S199" s="850">
        <v>1118</v>
      </c>
      <c r="T199" s="855">
        <f t="shared" si="123"/>
        <v>40908.61</v>
      </c>
      <c r="U199" s="855">
        <v>40908.61</v>
      </c>
      <c r="V199" s="848"/>
      <c r="W199" s="848"/>
      <c r="X199" s="848"/>
      <c r="Y199" s="848"/>
      <c r="Z199" s="848"/>
      <c r="AA199" s="848"/>
      <c r="AB199" s="848"/>
      <c r="AC199" s="848"/>
      <c r="AD199" s="848"/>
      <c r="AE199" s="848"/>
      <c r="AF199" s="848"/>
      <c r="AG199" s="848"/>
      <c r="AH199" s="855"/>
      <c r="AI199" s="855">
        <f t="shared" ref="AI199:AI215" si="165">AJ199</f>
        <v>16935</v>
      </c>
      <c r="AJ199" s="855">
        <v>16935</v>
      </c>
      <c r="AK199" s="855"/>
      <c r="AL199" s="855"/>
      <c r="AM199" s="855"/>
      <c r="AN199" s="855"/>
      <c r="AO199" s="855"/>
      <c r="AP199" s="855"/>
      <c r="AQ199" s="855"/>
      <c r="AR199" s="855"/>
      <c r="AS199" s="855"/>
      <c r="AT199" s="855"/>
      <c r="AU199" s="855"/>
      <c r="AV199" s="855"/>
      <c r="AW199" s="855"/>
      <c r="AX199" s="855"/>
      <c r="AY199" s="855">
        <f t="shared" si="164"/>
        <v>220</v>
      </c>
      <c r="AZ199" s="855"/>
      <c r="BA199" s="855"/>
      <c r="BB199" s="855"/>
      <c r="BC199" s="855"/>
      <c r="BD199" s="855"/>
      <c r="BE199" s="855"/>
      <c r="BF199" s="855"/>
      <c r="BG199" s="855"/>
      <c r="BH199" s="855"/>
      <c r="BI199" s="855"/>
      <c r="BJ199" s="855"/>
      <c r="BK199" s="855"/>
      <c r="BL199" s="855"/>
      <c r="BM199" s="855"/>
      <c r="BN199" s="855">
        <v>220</v>
      </c>
      <c r="BO199" s="848">
        <f t="shared" si="107"/>
        <v>220</v>
      </c>
      <c r="BP199" s="855"/>
      <c r="BQ199" s="855"/>
      <c r="BR199" s="855"/>
      <c r="BS199" s="855"/>
      <c r="BT199" s="855"/>
      <c r="BU199" s="855"/>
      <c r="BV199" s="855"/>
      <c r="BW199" s="855"/>
      <c r="BX199" s="855"/>
      <c r="BY199" s="855"/>
      <c r="BZ199" s="855"/>
      <c r="CA199" s="855"/>
      <c r="CB199" s="855"/>
      <c r="CC199" s="855"/>
      <c r="CD199" s="855"/>
      <c r="CE199" s="855">
        <v>220</v>
      </c>
      <c r="CF199" s="848">
        <f t="shared" si="153"/>
        <v>100</v>
      </c>
      <c r="CG199" s="848"/>
      <c r="CH199" s="848"/>
      <c r="CI199" s="848"/>
      <c r="CJ199" s="848"/>
      <c r="CK199" s="848"/>
      <c r="CL199" s="848"/>
      <c r="CM199" s="848"/>
      <c r="CN199" s="848"/>
      <c r="CO199" s="848"/>
      <c r="CP199" s="848"/>
      <c r="CQ199" s="848"/>
      <c r="CR199" s="848"/>
      <c r="CS199" s="848"/>
      <c r="CT199" s="848"/>
      <c r="CU199" s="848"/>
      <c r="CV199" s="848"/>
      <c r="CW199" s="848">
        <f t="shared" si="115"/>
        <v>100</v>
      </c>
    </row>
    <row r="200" spans="1:101" ht="25.9" customHeight="1">
      <c r="A200" s="845"/>
      <c r="B200" s="867" t="s">
        <v>693</v>
      </c>
      <c r="C200" s="852" t="s">
        <v>704</v>
      </c>
      <c r="D200" s="846"/>
      <c r="E200" s="845"/>
      <c r="F200" s="853" t="s">
        <v>705</v>
      </c>
      <c r="G200" s="853" t="s">
        <v>706</v>
      </c>
      <c r="H200" s="850">
        <f t="shared" si="158"/>
        <v>1042</v>
      </c>
      <c r="I200" s="855">
        <v>1042</v>
      </c>
      <c r="J200" s="848"/>
      <c r="K200" s="848"/>
      <c r="L200" s="848"/>
      <c r="M200" s="848"/>
      <c r="N200" s="848"/>
      <c r="O200" s="848"/>
      <c r="P200" s="848"/>
      <c r="Q200" s="848"/>
      <c r="R200" s="848"/>
      <c r="S200" s="848"/>
      <c r="T200" s="855">
        <f t="shared" si="123"/>
        <v>0</v>
      </c>
      <c r="U200" s="848"/>
      <c r="V200" s="848"/>
      <c r="W200" s="848"/>
      <c r="X200" s="848"/>
      <c r="Y200" s="848"/>
      <c r="Z200" s="848"/>
      <c r="AA200" s="848"/>
      <c r="AB200" s="848"/>
      <c r="AC200" s="848"/>
      <c r="AD200" s="848"/>
      <c r="AE200" s="848"/>
      <c r="AF200" s="848"/>
      <c r="AG200" s="848"/>
      <c r="AH200" s="855"/>
      <c r="AI200" s="855">
        <f t="shared" si="165"/>
        <v>600</v>
      </c>
      <c r="AJ200" s="855">
        <v>600</v>
      </c>
      <c r="AK200" s="855"/>
      <c r="AL200" s="855"/>
      <c r="AM200" s="855"/>
      <c r="AN200" s="855"/>
      <c r="AO200" s="855"/>
      <c r="AP200" s="855"/>
      <c r="AQ200" s="855"/>
      <c r="AR200" s="855"/>
      <c r="AS200" s="855"/>
      <c r="AT200" s="855"/>
      <c r="AU200" s="855"/>
      <c r="AV200" s="855"/>
      <c r="AW200" s="855"/>
      <c r="AX200" s="855"/>
      <c r="AY200" s="855">
        <f t="shared" si="164"/>
        <v>0</v>
      </c>
      <c r="AZ200" s="855"/>
      <c r="BA200" s="855"/>
      <c r="BB200" s="855"/>
      <c r="BC200" s="855"/>
      <c r="BD200" s="855"/>
      <c r="BE200" s="855"/>
      <c r="BF200" s="855"/>
      <c r="BG200" s="855"/>
      <c r="BH200" s="855"/>
      <c r="BI200" s="855"/>
      <c r="BJ200" s="855"/>
      <c r="BK200" s="855"/>
      <c r="BL200" s="855"/>
      <c r="BM200" s="855"/>
      <c r="BN200" s="855"/>
      <c r="BO200" s="848">
        <f t="shared" si="107"/>
        <v>600</v>
      </c>
      <c r="BP200" s="855">
        <v>600</v>
      </c>
      <c r="BQ200" s="855"/>
      <c r="BR200" s="855"/>
      <c r="BS200" s="855"/>
      <c r="BT200" s="855"/>
      <c r="BU200" s="855"/>
      <c r="BV200" s="855"/>
      <c r="BW200" s="855"/>
      <c r="BX200" s="855"/>
      <c r="BY200" s="855"/>
      <c r="BZ200" s="855"/>
      <c r="CA200" s="855"/>
      <c r="CB200" s="855"/>
      <c r="CC200" s="855"/>
      <c r="CD200" s="855"/>
      <c r="CE200" s="855"/>
      <c r="CF200" s="848">
        <f t="shared" si="153"/>
        <v>99.999999999999986</v>
      </c>
      <c r="CG200" s="848"/>
      <c r="CH200" s="848"/>
      <c r="CI200" s="848"/>
      <c r="CJ200" s="848"/>
      <c r="CK200" s="848"/>
      <c r="CL200" s="848"/>
      <c r="CM200" s="848"/>
      <c r="CN200" s="848"/>
      <c r="CO200" s="848"/>
      <c r="CP200" s="848"/>
      <c r="CQ200" s="848"/>
      <c r="CR200" s="848"/>
      <c r="CS200" s="848"/>
      <c r="CT200" s="848"/>
      <c r="CU200" s="848"/>
      <c r="CV200" s="848"/>
      <c r="CW200" s="848"/>
    </row>
    <row r="201" spans="1:101" ht="36" customHeight="1">
      <c r="A201" s="845"/>
      <c r="B201" s="867" t="s">
        <v>693</v>
      </c>
      <c r="C201" s="852" t="s">
        <v>707</v>
      </c>
      <c r="D201" s="846"/>
      <c r="E201" s="845"/>
      <c r="F201" s="853" t="s">
        <v>708</v>
      </c>
      <c r="G201" s="853" t="s">
        <v>709</v>
      </c>
      <c r="H201" s="850">
        <f t="shared" si="158"/>
        <v>1042</v>
      </c>
      <c r="I201" s="855">
        <v>1042</v>
      </c>
      <c r="J201" s="848"/>
      <c r="K201" s="848"/>
      <c r="L201" s="848"/>
      <c r="M201" s="848"/>
      <c r="N201" s="848"/>
      <c r="O201" s="848"/>
      <c r="P201" s="848"/>
      <c r="Q201" s="848"/>
      <c r="R201" s="848"/>
      <c r="S201" s="848"/>
      <c r="T201" s="855">
        <f t="shared" si="123"/>
        <v>0</v>
      </c>
      <c r="U201" s="848"/>
      <c r="V201" s="848"/>
      <c r="W201" s="848"/>
      <c r="X201" s="848"/>
      <c r="Y201" s="848"/>
      <c r="Z201" s="848"/>
      <c r="AA201" s="848"/>
      <c r="AB201" s="848"/>
      <c r="AC201" s="848"/>
      <c r="AD201" s="848"/>
      <c r="AE201" s="848"/>
      <c r="AF201" s="848"/>
      <c r="AG201" s="848"/>
      <c r="AH201" s="855"/>
      <c r="AI201" s="855">
        <f t="shared" si="165"/>
        <v>279</v>
      </c>
      <c r="AJ201" s="855">
        <v>279</v>
      </c>
      <c r="AK201" s="855"/>
      <c r="AL201" s="855"/>
      <c r="AM201" s="855"/>
      <c r="AN201" s="855"/>
      <c r="AO201" s="855"/>
      <c r="AP201" s="855"/>
      <c r="AQ201" s="855"/>
      <c r="AR201" s="855"/>
      <c r="AS201" s="855"/>
      <c r="AT201" s="855"/>
      <c r="AU201" s="855"/>
      <c r="AV201" s="855"/>
      <c r="AW201" s="855"/>
      <c r="AX201" s="855"/>
      <c r="AY201" s="855">
        <f t="shared" si="164"/>
        <v>0</v>
      </c>
      <c r="AZ201" s="855"/>
      <c r="BA201" s="855"/>
      <c r="BB201" s="855"/>
      <c r="BC201" s="855"/>
      <c r="BD201" s="855"/>
      <c r="BE201" s="855"/>
      <c r="BF201" s="855"/>
      <c r="BG201" s="855"/>
      <c r="BH201" s="855"/>
      <c r="BI201" s="855"/>
      <c r="BJ201" s="855"/>
      <c r="BK201" s="855"/>
      <c r="BL201" s="855"/>
      <c r="BM201" s="855"/>
      <c r="BN201" s="855"/>
      <c r="BO201" s="848">
        <f t="shared" si="107"/>
        <v>278.99900000000002</v>
      </c>
      <c r="BP201" s="855">
        <v>278.99900000000002</v>
      </c>
      <c r="BQ201" s="855"/>
      <c r="BR201" s="855"/>
      <c r="BS201" s="855"/>
      <c r="BT201" s="855"/>
      <c r="BU201" s="855"/>
      <c r="BV201" s="855"/>
      <c r="BW201" s="855"/>
      <c r="BX201" s="855"/>
      <c r="BY201" s="855"/>
      <c r="BZ201" s="855"/>
      <c r="CA201" s="855"/>
      <c r="CB201" s="855"/>
      <c r="CC201" s="855"/>
      <c r="CD201" s="855"/>
      <c r="CE201" s="855"/>
      <c r="CF201" s="848"/>
      <c r="CG201" s="848"/>
      <c r="CH201" s="848"/>
      <c r="CI201" s="848"/>
      <c r="CJ201" s="848"/>
      <c r="CK201" s="848"/>
      <c r="CL201" s="848"/>
      <c r="CM201" s="848"/>
      <c r="CN201" s="848"/>
      <c r="CO201" s="848"/>
      <c r="CP201" s="848"/>
      <c r="CQ201" s="848"/>
      <c r="CR201" s="848"/>
      <c r="CS201" s="848"/>
      <c r="CT201" s="848"/>
      <c r="CU201" s="848"/>
      <c r="CV201" s="848"/>
      <c r="CW201" s="848"/>
    </row>
    <row r="202" spans="1:101" ht="36.6" customHeight="1">
      <c r="A202" s="845"/>
      <c r="B202" s="867" t="s">
        <v>693</v>
      </c>
      <c r="C202" s="852" t="s">
        <v>710</v>
      </c>
      <c r="D202" s="846"/>
      <c r="E202" s="845"/>
      <c r="F202" s="853" t="s">
        <v>711</v>
      </c>
      <c r="G202" s="853" t="s">
        <v>712</v>
      </c>
      <c r="H202" s="850">
        <f t="shared" si="158"/>
        <v>315</v>
      </c>
      <c r="I202" s="855">
        <v>315</v>
      </c>
      <c r="J202" s="848"/>
      <c r="K202" s="848"/>
      <c r="L202" s="848"/>
      <c r="M202" s="848"/>
      <c r="N202" s="848"/>
      <c r="O202" s="848"/>
      <c r="P202" s="848"/>
      <c r="Q202" s="848"/>
      <c r="R202" s="848"/>
      <c r="S202" s="848"/>
      <c r="T202" s="855">
        <f t="shared" si="123"/>
        <v>0</v>
      </c>
      <c r="U202" s="848"/>
      <c r="V202" s="848"/>
      <c r="W202" s="848"/>
      <c r="X202" s="848"/>
      <c r="Y202" s="848"/>
      <c r="Z202" s="848"/>
      <c r="AA202" s="848"/>
      <c r="AB202" s="848"/>
      <c r="AC202" s="848"/>
      <c r="AD202" s="848"/>
      <c r="AE202" s="848"/>
      <c r="AF202" s="848"/>
      <c r="AG202" s="848"/>
      <c r="AH202" s="855"/>
      <c r="AI202" s="855">
        <f t="shared" si="165"/>
        <v>220</v>
      </c>
      <c r="AJ202" s="855">
        <v>220</v>
      </c>
      <c r="AK202" s="855"/>
      <c r="AL202" s="855"/>
      <c r="AM202" s="855"/>
      <c r="AN202" s="855"/>
      <c r="AO202" s="855"/>
      <c r="AP202" s="855"/>
      <c r="AQ202" s="855"/>
      <c r="AR202" s="855"/>
      <c r="AS202" s="855"/>
      <c r="AT202" s="855"/>
      <c r="AU202" s="855"/>
      <c r="AV202" s="855"/>
      <c r="AW202" s="855"/>
      <c r="AX202" s="855"/>
      <c r="AY202" s="855">
        <f t="shared" si="164"/>
        <v>0</v>
      </c>
      <c r="AZ202" s="855"/>
      <c r="BA202" s="855"/>
      <c r="BB202" s="855"/>
      <c r="BC202" s="855"/>
      <c r="BD202" s="855"/>
      <c r="BE202" s="855"/>
      <c r="BF202" s="855"/>
      <c r="BG202" s="855"/>
      <c r="BH202" s="855"/>
      <c r="BI202" s="855"/>
      <c r="BJ202" s="855"/>
      <c r="BK202" s="855"/>
      <c r="BL202" s="855"/>
      <c r="BM202" s="855"/>
      <c r="BN202" s="855"/>
      <c r="BO202" s="848">
        <f t="shared" si="107"/>
        <v>220</v>
      </c>
      <c r="BP202" s="855">
        <v>220</v>
      </c>
      <c r="BQ202" s="855"/>
      <c r="BR202" s="855"/>
      <c r="BS202" s="855"/>
      <c r="BT202" s="855"/>
      <c r="BU202" s="855"/>
      <c r="BV202" s="855"/>
      <c r="BW202" s="855"/>
      <c r="BX202" s="855"/>
      <c r="BY202" s="855"/>
      <c r="BZ202" s="855"/>
      <c r="CA202" s="855"/>
      <c r="CB202" s="855"/>
      <c r="CC202" s="855"/>
      <c r="CD202" s="855"/>
      <c r="CE202" s="855"/>
      <c r="CF202" s="848"/>
      <c r="CG202" s="848"/>
      <c r="CH202" s="848"/>
      <c r="CI202" s="848"/>
      <c r="CJ202" s="848"/>
      <c r="CK202" s="848"/>
      <c r="CL202" s="848"/>
      <c r="CM202" s="848"/>
      <c r="CN202" s="848"/>
      <c r="CO202" s="848"/>
      <c r="CP202" s="848"/>
      <c r="CQ202" s="848"/>
      <c r="CR202" s="848"/>
      <c r="CS202" s="848"/>
      <c r="CT202" s="848"/>
      <c r="CU202" s="848"/>
      <c r="CV202" s="848"/>
      <c r="CW202" s="848"/>
    </row>
    <row r="203" spans="1:101" ht="36" customHeight="1">
      <c r="A203" s="845"/>
      <c r="B203" s="867" t="s">
        <v>693</v>
      </c>
      <c r="C203" s="852" t="s">
        <v>713</v>
      </c>
      <c r="D203" s="846"/>
      <c r="E203" s="845"/>
      <c r="F203" s="853" t="s">
        <v>714</v>
      </c>
      <c r="G203" s="853" t="s">
        <v>715</v>
      </c>
      <c r="H203" s="850">
        <f t="shared" si="158"/>
        <v>1259</v>
      </c>
      <c r="I203" s="855">
        <v>1259</v>
      </c>
      <c r="J203" s="848"/>
      <c r="K203" s="848"/>
      <c r="L203" s="848"/>
      <c r="M203" s="848"/>
      <c r="N203" s="848"/>
      <c r="O203" s="848"/>
      <c r="P203" s="848"/>
      <c r="Q203" s="848"/>
      <c r="R203" s="848"/>
      <c r="S203" s="848"/>
      <c r="T203" s="855">
        <f t="shared" si="123"/>
        <v>0</v>
      </c>
      <c r="U203" s="848"/>
      <c r="V203" s="848"/>
      <c r="W203" s="848"/>
      <c r="X203" s="848"/>
      <c r="Y203" s="848"/>
      <c r="Z203" s="848"/>
      <c r="AA203" s="848"/>
      <c r="AB203" s="848"/>
      <c r="AC203" s="848"/>
      <c r="AD203" s="848"/>
      <c r="AE203" s="848"/>
      <c r="AF203" s="848"/>
      <c r="AG203" s="848"/>
      <c r="AH203" s="855"/>
      <c r="AI203" s="855">
        <f t="shared" si="165"/>
        <v>879</v>
      </c>
      <c r="AJ203" s="855">
        <v>879</v>
      </c>
      <c r="AK203" s="855"/>
      <c r="AL203" s="855"/>
      <c r="AM203" s="855"/>
      <c r="AN203" s="855"/>
      <c r="AO203" s="855"/>
      <c r="AP203" s="855"/>
      <c r="AQ203" s="855"/>
      <c r="AR203" s="855"/>
      <c r="AS203" s="855"/>
      <c r="AT203" s="855"/>
      <c r="AU203" s="855"/>
      <c r="AV203" s="855"/>
      <c r="AW203" s="855"/>
      <c r="AX203" s="855"/>
      <c r="AY203" s="855">
        <f t="shared" si="164"/>
        <v>0</v>
      </c>
      <c r="AZ203" s="855"/>
      <c r="BA203" s="855"/>
      <c r="BB203" s="855"/>
      <c r="BC203" s="855"/>
      <c r="BD203" s="855"/>
      <c r="BE203" s="855"/>
      <c r="BF203" s="855"/>
      <c r="BG203" s="855"/>
      <c r="BH203" s="855"/>
      <c r="BI203" s="855"/>
      <c r="BJ203" s="855"/>
      <c r="BK203" s="855"/>
      <c r="BL203" s="855"/>
      <c r="BM203" s="855"/>
      <c r="BN203" s="855"/>
      <c r="BO203" s="848">
        <f t="shared" ref="BO203:BO266" si="166">SUM(BP203:CE203)</f>
        <v>879</v>
      </c>
      <c r="BP203" s="855">
        <v>879</v>
      </c>
      <c r="BQ203" s="855"/>
      <c r="BR203" s="855"/>
      <c r="BS203" s="855"/>
      <c r="BT203" s="855"/>
      <c r="BU203" s="855"/>
      <c r="BV203" s="855"/>
      <c r="BW203" s="855"/>
      <c r="BX203" s="855"/>
      <c r="BY203" s="855"/>
      <c r="BZ203" s="855"/>
      <c r="CA203" s="855"/>
      <c r="CB203" s="855"/>
      <c r="CC203" s="855"/>
      <c r="CD203" s="855"/>
      <c r="CE203" s="855"/>
      <c r="CF203" s="848"/>
      <c r="CG203" s="848"/>
      <c r="CH203" s="848"/>
      <c r="CI203" s="848"/>
      <c r="CJ203" s="848"/>
      <c r="CK203" s="848"/>
      <c r="CL203" s="848"/>
      <c r="CM203" s="848"/>
      <c r="CN203" s="848"/>
      <c r="CO203" s="848"/>
      <c r="CP203" s="848"/>
      <c r="CQ203" s="848"/>
      <c r="CR203" s="848"/>
      <c r="CS203" s="848"/>
      <c r="CT203" s="848"/>
      <c r="CU203" s="848"/>
      <c r="CV203" s="848"/>
      <c r="CW203" s="848"/>
    </row>
    <row r="204" spans="1:101" ht="46.9" customHeight="1">
      <c r="A204" s="845"/>
      <c r="B204" s="867" t="s">
        <v>693</v>
      </c>
      <c r="C204" s="852" t="s">
        <v>716</v>
      </c>
      <c r="D204" s="846"/>
      <c r="E204" s="845"/>
      <c r="F204" s="853" t="s">
        <v>717</v>
      </c>
      <c r="G204" s="853" t="s">
        <v>718</v>
      </c>
      <c r="H204" s="850">
        <f t="shared" si="158"/>
        <v>1089</v>
      </c>
      <c r="I204" s="855">
        <v>1089</v>
      </c>
      <c r="J204" s="848"/>
      <c r="K204" s="848"/>
      <c r="L204" s="848"/>
      <c r="M204" s="848"/>
      <c r="N204" s="848"/>
      <c r="O204" s="848"/>
      <c r="P204" s="848"/>
      <c r="Q204" s="848"/>
      <c r="R204" s="848"/>
      <c r="S204" s="848"/>
      <c r="T204" s="855">
        <f t="shared" si="123"/>
        <v>0</v>
      </c>
      <c r="U204" s="848"/>
      <c r="V204" s="848"/>
      <c r="W204" s="848"/>
      <c r="X204" s="848"/>
      <c r="Y204" s="848"/>
      <c r="Z204" s="848"/>
      <c r="AA204" s="848"/>
      <c r="AB204" s="848"/>
      <c r="AC204" s="848"/>
      <c r="AD204" s="848"/>
      <c r="AE204" s="848"/>
      <c r="AF204" s="848"/>
      <c r="AG204" s="848"/>
      <c r="AH204" s="855"/>
      <c r="AI204" s="855">
        <f t="shared" si="165"/>
        <v>759</v>
      </c>
      <c r="AJ204" s="855">
        <v>759</v>
      </c>
      <c r="AK204" s="855"/>
      <c r="AL204" s="855"/>
      <c r="AM204" s="855"/>
      <c r="AN204" s="855"/>
      <c r="AO204" s="855"/>
      <c r="AP204" s="855"/>
      <c r="AQ204" s="855"/>
      <c r="AR204" s="855"/>
      <c r="AS204" s="855"/>
      <c r="AT204" s="855"/>
      <c r="AU204" s="855"/>
      <c r="AV204" s="855"/>
      <c r="AW204" s="855"/>
      <c r="AX204" s="855"/>
      <c r="AY204" s="855">
        <f t="shared" si="164"/>
        <v>0</v>
      </c>
      <c r="AZ204" s="855"/>
      <c r="BA204" s="855"/>
      <c r="BB204" s="855"/>
      <c r="BC204" s="855"/>
      <c r="BD204" s="855"/>
      <c r="BE204" s="855"/>
      <c r="BF204" s="855"/>
      <c r="BG204" s="855"/>
      <c r="BH204" s="855"/>
      <c r="BI204" s="855"/>
      <c r="BJ204" s="855"/>
      <c r="BK204" s="855"/>
      <c r="BL204" s="855"/>
      <c r="BM204" s="855"/>
      <c r="BN204" s="855"/>
      <c r="BO204" s="848">
        <f t="shared" si="166"/>
        <v>755.23699999999997</v>
      </c>
      <c r="BP204" s="855">
        <v>755.23699999999997</v>
      </c>
      <c r="BQ204" s="855"/>
      <c r="BR204" s="855"/>
      <c r="BS204" s="855"/>
      <c r="BT204" s="855"/>
      <c r="BU204" s="855"/>
      <c r="BV204" s="855"/>
      <c r="BW204" s="855"/>
      <c r="BX204" s="855"/>
      <c r="BY204" s="855"/>
      <c r="BZ204" s="855"/>
      <c r="CA204" s="855"/>
      <c r="CB204" s="855"/>
      <c r="CC204" s="855"/>
      <c r="CD204" s="855"/>
      <c r="CE204" s="855"/>
      <c r="CF204" s="848"/>
      <c r="CG204" s="848"/>
      <c r="CH204" s="848"/>
      <c r="CI204" s="848"/>
      <c r="CJ204" s="848"/>
      <c r="CK204" s="848"/>
      <c r="CL204" s="848"/>
      <c r="CM204" s="848"/>
      <c r="CN204" s="848"/>
      <c r="CO204" s="848"/>
      <c r="CP204" s="848"/>
      <c r="CQ204" s="848"/>
      <c r="CR204" s="848"/>
      <c r="CS204" s="848"/>
      <c r="CT204" s="848"/>
      <c r="CU204" s="848"/>
      <c r="CV204" s="848"/>
      <c r="CW204" s="848"/>
    </row>
    <row r="205" spans="1:101" ht="27" customHeight="1">
      <c r="A205" s="845"/>
      <c r="B205" s="867" t="s">
        <v>693</v>
      </c>
      <c r="C205" s="852" t="s">
        <v>719</v>
      </c>
      <c r="D205" s="846"/>
      <c r="E205" s="845"/>
      <c r="F205" s="880" t="s">
        <v>720</v>
      </c>
      <c r="G205" s="853" t="s">
        <v>712</v>
      </c>
      <c r="H205" s="850">
        <f t="shared" si="158"/>
        <v>1259</v>
      </c>
      <c r="I205" s="855">
        <v>1259</v>
      </c>
      <c r="J205" s="848"/>
      <c r="K205" s="848"/>
      <c r="L205" s="848"/>
      <c r="M205" s="848"/>
      <c r="N205" s="848"/>
      <c r="O205" s="848"/>
      <c r="P205" s="848"/>
      <c r="Q205" s="848"/>
      <c r="R205" s="848"/>
      <c r="S205" s="848"/>
      <c r="T205" s="855">
        <f t="shared" si="123"/>
        <v>0</v>
      </c>
      <c r="U205" s="848"/>
      <c r="V205" s="848"/>
      <c r="W205" s="848"/>
      <c r="X205" s="848"/>
      <c r="Y205" s="848"/>
      <c r="Z205" s="848"/>
      <c r="AA205" s="848"/>
      <c r="AB205" s="848"/>
      <c r="AC205" s="848"/>
      <c r="AD205" s="848"/>
      <c r="AE205" s="848"/>
      <c r="AF205" s="848"/>
      <c r="AG205" s="848"/>
      <c r="AH205" s="855"/>
      <c r="AI205" s="855">
        <f t="shared" si="165"/>
        <v>879</v>
      </c>
      <c r="AJ205" s="855">
        <v>879</v>
      </c>
      <c r="AK205" s="855"/>
      <c r="AL205" s="855"/>
      <c r="AM205" s="855"/>
      <c r="AN205" s="855"/>
      <c r="AO205" s="855"/>
      <c r="AP205" s="855"/>
      <c r="AQ205" s="855"/>
      <c r="AR205" s="855"/>
      <c r="AS205" s="855"/>
      <c r="AT205" s="855"/>
      <c r="AU205" s="855"/>
      <c r="AV205" s="855"/>
      <c r="AW205" s="855"/>
      <c r="AX205" s="855"/>
      <c r="AY205" s="855">
        <f t="shared" si="164"/>
        <v>0</v>
      </c>
      <c r="AZ205" s="855"/>
      <c r="BA205" s="855"/>
      <c r="BB205" s="855"/>
      <c r="BC205" s="855"/>
      <c r="BD205" s="855"/>
      <c r="BE205" s="855"/>
      <c r="BF205" s="855"/>
      <c r="BG205" s="855"/>
      <c r="BH205" s="855"/>
      <c r="BI205" s="855"/>
      <c r="BJ205" s="855"/>
      <c r="BK205" s="855"/>
      <c r="BL205" s="855"/>
      <c r="BM205" s="855"/>
      <c r="BN205" s="855"/>
      <c r="BO205" s="848">
        <f t="shared" si="166"/>
        <v>874.58799999999997</v>
      </c>
      <c r="BP205" s="855">
        <v>874.58799999999997</v>
      </c>
      <c r="BQ205" s="855"/>
      <c r="BR205" s="855"/>
      <c r="BS205" s="855"/>
      <c r="BT205" s="855"/>
      <c r="BU205" s="855"/>
      <c r="BV205" s="855"/>
      <c r="BW205" s="855"/>
      <c r="BX205" s="855"/>
      <c r="BY205" s="855"/>
      <c r="BZ205" s="855"/>
      <c r="CA205" s="855"/>
      <c r="CB205" s="855"/>
      <c r="CC205" s="855"/>
      <c r="CD205" s="855"/>
      <c r="CE205" s="855"/>
      <c r="CF205" s="848"/>
      <c r="CG205" s="848"/>
      <c r="CH205" s="848"/>
      <c r="CI205" s="848"/>
      <c r="CJ205" s="848"/>
      <c r="CK205" s="848"/>
      <c r="CL205" s="848"/>
      <c r="CM205" s="848"/>
      <c r="CN205" s="848"/>
      <c r="CO205" s="848"/>
      <c r="CP205" s="848"/>
      <c r="CQ205" s="848"/>
      <c r="CR205" s="848"/>
      <c r="CS205" s="848"/>
      <c r="CT205" s="848"/>
      <c r="CU205" s="848"/>
      <c r="CV205" s="848"/>
      <c r="CW205" s="848"/>
    </row>
    <row r="206" spans="1:101" ht="36" customHeight="1">
      <c r="A206" s="845"/>
      <c r="B206" s="867" t="s">
        <v>693</v>
      </c>
      <c r="C206" s="852" t="s">
        <v>721</v>
      </c>
      <c r="D206" s="846"/>
      <c r="E206" s="845"/>
      <c r="F206" s="880" t="s">
        <v>722</v>
      </c>
      <c r="G206" s="880" t="s">
        <v>723</v>
      </c>
      <c r="H206" s="850">
        <f t="shared" si="158"/>
        <v>406</v>
      </c>
      <c r="I206" s="855">
        <v>406</v>
      </c>
      <c r="J206" s="855"/>
      <c r="K206" s="855"/>
      <c r="L206" s="855"/>
      <c r="M206" s="855"/>
      <c r="N206" s="855"/>
      <c r="O206" s="855"/>
      <c r="P206" s="855"/>
      <c r="Q206" s="855"/>
      <c r="R206" s="855"/>
      <c r="S206" s="855"/>
      <c r="T206" s="855">
        <f t="shared" si="123"/>
        <v>0</v>
      </c>
      <c r="U206" s="855"/>
      <c r="V206" s="848"/>
      <c r="W206" s="848"/>
      <c r="X206" s="848"/>
      <c r="Y206" s="848"/>
      <c r="Z206" s="848"/>
      <c r="AA206" s="848"/>
      <c r="AB206" s="848"/>
      <c r="AC206" s="848"/>
      <c r="AD206" s="848"/>
      <c r="AE206" s="848"/>
      <c r="AF206" s="848"/>
      <c r="AG206" s="848"/>
      <c r="AH206" s="855"/>
      <c r="AI206" s="855">
        <f t="shared" si="165"/>
        <v>279</v>
      </c>
      <c r="AJ206" s="855">
        <v>279</v>
      </c>
      <c r="AK206" s="855"/>
      <c r="AL206" s="855"/>
      <c r="AM206" s="855"/>
      <c r="AN206" s="855"/>
      <c r="AO206" s="855"/>
      <c r="AP206" s="855"/>
      <c r="AQ206" s="855"/>
      <c r="AR206" s="855"/>
      <c r="AS206" s="855"/>
      <c r="AT206" s="855"/>
      <c r="AU206" s="855"/>
      <c r="AV206" s="855"/>
      <c r="AW206" s="855"/>
      <c r="AX206" s="855"/>
      <c r="AY206" s="855">
        <f t="shared" si="164"/>
        <v>0</v>
      </c>
      <c r="AZ206" s="855"/>
      <c r="BA206" s="855"/>
      <c r="BB206" s="855"/>
      <c r="BC206" s="855"/>
      <c r="BD206" s="855"/>
      <c r="BE206" s="855"/>
      <c r="BF206" s="855"/>
      <c r="BG206" s="855"/>
      <c r="BH206" s="855"/>
      <c r="BI206" s="855"/>
      <c r="BJ206" s="855"/>
      <c r="BK206" s="855"/>
      <c r="BL206" s="855"/>
      <c r="BM206" s="855"/>
      <c r="BN206" s="855"/>
      <c r="BO206" s="848">
        <f t="shared" si="166"/>
        <v>278.44200000000001</v>
      </c>
      <c r="BP206" s="855">
        <v>278.44200000000001</v>
      </c>
      <c r="BQ206" s="855"/>
      <c r="BR206" s="855"/>
      <c r="BS206" s="855"/>
      <c r="BT206" s="855"/>
      <c r="BU206" s="855"/>
      <c r="BV206" s="855"/>
      <c r="BW206" s="855"/>
      <c r="BX206" s="855"/>
      <c r="BY206" s="855"/>
      <c r="BZ206" s="855"/>
      <c r="CA206" s="855"/>
      <c r="CB206" s="855"/>
      <c r="CC206" s="855"/>
      <c r="CD206" s="855"/>
      <c r="CE206" s="855"/>
      <c r="CF206" s="848"/>
      <c r="CG206" s="848"/>
      <c r="CH206" s="848"/>
      <c r="CI206" s="848"/>
      <c r="CJ206" s="848"/>
      <c r="CK206" s="848"/>
      <c r="CL206" s="848"/>
      <c r="CM206" s="848"/>
      <c r="CN206" s="848"/>
      <c r="CO206" s="848"/>
      <c r="CP206" s="848"/>
      <c r="CQ206" s="848"/>
      <c r="CR206" s="848"/>
      <c r="CS206" s="848"/>
      <c r="CT206" s="848"/>
      <c r="CU206" s="848"/>
      <c r="CV206" s="848"/>
      <c r="CW206" s="848"/>
    </row>
    <row r="207" spans="1:101" ht="29.45" customHeight="1">
      <c r="A207" s="845"/>
      <c r="B207" s="867" t="s">
        <v>693</v>
      </c>
      <c r="C207" s="852" t="s">
        <v>724</v>
      </c>
      <c r="D207" s="846"/>
      <c r="E207" s="845"/>
      <c r="F207" s="880" t="s">
        <v>725</v>
      </c>
      <c r="G207" s="880" t="s">
        <v>726</v>
      </c>
      <c r="H207" s="850">
        <f t="shared" si="158"/>
        <v>549</v>
      </c>
      <c r="I207" s="855">
        <v>549</v>
      </c>
      <c r="J207" s="848"/>
      <c r="K207" s="848"/>
      <c r="L207" s="848"/>
      <c r="M207" s="848"/>
      <c r="N207" s="848"/>
      <c r="O207" s="848"/>
      <c r="P207" s="848"/>
      <c r="Q207" s="848"/>
      <c r="R207" s="848"/>
      <c r="S207" s="848"/>
      <c r="T207" s="855">
        <f t="shared" si="123"/>
        <v>0</v>
      </c>
      <c r="U207" s="855"/>
      <c r="V207" s="848"/>
      <c r="W207" s="848"/>
      <c r="X207" s="848"/>
      <c r="Y207" s="848"/>
      <c r="Z207" s="848"/>
      <c r="AA207" s="848"/>
      <c r="AB207" s="848"/>
      <c r="AC207" s="848"/>
      <c r="AD207" s="848"/>
      <c r="AE207" s="848"/>
      <c r="AF207" s="848"/>
      <c r="AG207" s="848"/>
      <c r="AH207" s="855"/>
      <c r="AI207" s="855">
        <f t="shared" si="165"/>
        <v>549</v>
      </c>
      <c r="AJ207" s="855">
        <v>549</v>
      </c>
      <c r="AK207" s="855"/>
      <c r="AL207" s="855"/>
      <c r="AM207" s="855"/>
      <c r="AN207" s="855"/>
      <c r="AO207" s="855"/>
      <c r="AP207" s="855"/>
      <c r="AQ207" s="855"/>
      <c r="AR207" s="855"/>
      <c r="AS207" s="855"/>
      <c r="AT207" s="855"/>
      <c r="AU207" s="855"/>
      <c r="AV207" s="855"/>
      <c r="AW207" s="855"/>
      <c r="AX207" s="855"/>
      <c r="AY207" s="855">
        <f t="shared" si="164"/>
        <v>0</v>
      </c>
      <c r="AZ207" s="855"/>
      <c r="BA207" s="855"/>
      <c r="BB207" s="855"/>
      <c r="BC207" s="855"/>
      <c r="BD207" s="855"/>
      <c r="BE207" s="855"/>
      <c r="BF207" s="855"/>
      <c r="BG207" s="855"/>
      <c r="BH207" s="855"/>
      <c r="BI207" s="855"/>
      <c r="BJ207" s="855"/>
      <c r="BK207" s="855"/>
      <c r="BL207" s="855"/>
      <c r="BM207" s="855"/>
      <c r="BN207" s="855"/>
      <c r="BO207" s="848">
        <f t="shared" si="166"/>
        <v>249.85900000000001</v>
      </c>
      <c r="BP207" s="855">
        <v>249.85900000000001</v>
      </c>
      <c r="BQ207" s="855"/>
      <c r="BR207" s="855"/>
      <c r="BS207" s="855"/>
      <c r="BT207" s="855"/>
      <c r="BU207" s="855"/>
      <c r="BV207" s="855"/>
      <c r="BW207" s="855"/>
      <c r="BX207" s="855"/>
      <c r="BY207" s="855"/>
      <c r="BZ207" s="855"/>
      <c r="CA207" s="855"/>
      <c r="CB207" s="855"/>
      <c r="CC207" s="855"/>
      <c r="CD207" s="855"/>
      <c r="CE207" s="855"/>
      <c r="CF207" s="848"/>
      <c r="CG207" s="848"/>
      <c r="CH207" s="848"/>
      <c r="CI207" s="848"/>
      <c r="CJ207" s="848"/>
      <c r="CK207" s="848"/>
      <c r="CL207" s="848"/>
      <c r="CM207" s="848"/>
      <c r="CN207" s="848"/>
      <c r="CO207" s="848"/>
      <c r="CP207" s="848"/>
      <c r="CQ207" s="848"/>
      <c r="CR207" s="848"/>
      <c r="CS207" s="848"/>
      <c r="CT207" s="848"/>
      <c r="CU207" s="848"/>
      <c r="CV207" s="848"/>
      <c r="CW207" s="848"/>
    </row>
    <row r="208" spans="1:101" ht="36" customHeight="1">
      <c r="A208" s="845"/>
      <c r="B208" s="867" t="s">
        <v>693</v>
      </c>
      <c r="C208" s="852" t="s">
        <v>727</v>
      </c>
      <c r="D208" s="846"/>
      <c r="E208" s="845"/>
      <c r="F208" s="880" t="s">
        <v>728</v>
      </c>
      <c r="G208" s="880" t="s">
        <v>729</v>
      </c>
      <c r="H208" s="850">
        <f t="shared" si="158"/>
        <v>0</v>
      </c>
      <c r="I208" s="848"/>
      <c r="J208" s="848"/>
      <c r="K208" s="848"/>
      <c r="L208" s="848"/>
      <c r="M208" s="848"/>
      <c r="N208" s="848"/>
      <c r="O208" s="848"/>
      <c r="P208" s="848"/>
      <c r="Q208" s="848"/>
      <c r="R208" s="848"/>
      <c r="S208" s="848"/>
      <c r="T208" s="855">
        <f t="shared" si="123"/>
        <v>0</v>
      </c>
      <c r="U208" s="848"/>
      <c r="V208" s="848"/>
      <c r="W208" s="848"/>
      <c r="X208" s="848"/>
      <c r="Y208" s="848"/>
      <c r="Z208" s="848"/>
      <c r="AA208" s="848"/>
      <c r="AB208" s="848"/>
      <c r="AC208" s="848"/>
      <c r="AD208" s="848"/>
      <c r="AE208" s="848"/>
      <c r="AF208" s="848"/>
      <c r="AG208" s="848"/>
      <c r="AH208" s="855"/>
      <c r="AI208" s="855">
        <f t="shared" si="165"/>
        <v>110</v>
      </c>
      <c r="AJ208" s="855">
        <v>110</v>
      </c>
      <c r="AK208" s="855"/>
      <c r="AL208" s="855"/>
      <c r="AM208" s="855"/>
      <c r="AN208" s="855"/>
      <c r="AO208" s="855"/>
      <c r="AP208" s="855"/>
      <c r="AQ208" s="855"/>
      <c r="AR208" s="855"/>
      <c r="AS208" s="855"/>
      <c r="AT208" s="855"/>
      <c r="AU208" s="855"/>
      <c r="AV208" s="855"/>
      <c r="AW208" s="855"/>
      <c r="AX208" s="855"/>
      <c r="AY208" s="855">
        <f t="shared" si="164"/>
        <v>0</v>
      </c>
      <c r="AZ208" s="855"/>
      <c r="BA208" s="855"/>
      <c r="BB208" s="855"/>
      <c r="BC208" s="855"/>
      <c r="BD208" s="855"/>
      <c r="BE208" s="855"/>
      <c r="BF208" s="855"/>
      <c r="BG208" s="855"/>
      <c r="BH208" s="855"/>
      <c r="BI208" s="855"/>
      <c r="BJ208" s="855"/>
      <c r="BK208" s="855"/>
      <c r="BL208" s="855"/>
      <c r="BM208" s="855"/>
      <c r="BN208" s="855"/>
      <c r="BO208" s="848">
        <f t="shared" si="166"/>
        <v>81.519000000000005</v>
      </c>
      <c r="BP208" s="855">
        <v>81.519000000000005</v>
      </c>
      <c r="BQ208" s="855"/>
      <c r="BR208" s="855"/>
      <c r="BS208" s="855"/>
      <c r="BT208" s="855"/>
      <c r="BU208" s="855"/>
      <c r="BV208" s="855"/>
      <c r="BW208" s="855"/>
      <c r="BX208" s="855"/>
      <c r="BY208" s="855"/>
      <c r="BZ208" s="855"/>
      <c r="CA208" s="855"/>
      <c r="CB208" s="855"/>
      <c r="CC208" s="855"/>
      <c r="CD208" s="855"/>
      <c r="CE208" s="855"/>
      <c r="CF208" s="848"/>
      <c r="CG208" s="848"/>
      <c r="CH208" s="848"/>
      <c r="CI208" s="848"/>
      <c r="CJ208" s="848"/>
      <c r="CK208" s="848"/>
      <c r="CL208" s="848"/>
      <c r="CM208" s="848"/>
      <c r="CN208" s="848"/>
      <c r="CO208" s="848"/>
      <c r="CP208" s="848"/>
      <c r="CQ208" s="848"/>
      <c r="CR208" s="848"/>
      <c r="CS208" s="848"/>
      <c r="CT208" s="848"/>
      <c r="CU208" s="848"/>
      <c r="CV208" s="848"/>
      <c r="CW208" s="848"/>
    </row>
    <row r="209" spans="1:101" ht="36" customHeight="1">
      <c r="A209" s="845"/>
      <c r="B209" s="867" t="s">
        <v>693</v>
      </c>
      <c r="C209" s="852" t="s">
        <v>730</v>
      </c>
      <c r="D209" s="846"/>
      <c r="E209" s="845"/>
      <c r="F209" s="880" t="s">
        <v>728</v>
      </c>
      <c r="G209" s="880" t="s">
        <v>729</v>
      </c>
      <c r="H209" s="850">
        <f t="shared" si="158"/>
        <v>0</v>
      </c>
      <c r="I209" s="848"/>
      <c r="J209" s="848"/>
      <c r="K209" s="848"/>
      <c r="L209" s="848"/>
      <c r="M209" s="848"/>
      <c r="N209" s="848"/>
      <c r="O209" s="848"/>
      <c r="P209" s="848"/>
      <c r="Q209" s="848"/>
      <c r="R209" s="848"/>
      <c r="S209" s="848"/>
      <c r="T209" s="855">
        <f t="shared" ref="T209:T269" si="167">SUM(U209:AH209)</f>
        <v>0</v>
      </c>
      <c r="U209" s="848"/>
      <c r="V209" s="848"/>
      <c r="W209" s="848"/>
      <c r="X209" s="848"/>
      <c r="Y209" s="848"/>
      <c r="Z209" s="848"/>
      <c r="AA209" s="848"/>
      <c r="AB209" s="848"/>
      <c r="AC209" s="848"/>
      <c r="AD209" s="848"/>
      <c r="AE209" s="848"/>
      <c r="AF209" s="848"/>
      <c r="AG209" s="848"/>
      <c r="AH209" s="855"/>
      <c r="AI209" s="855">
        <f t="shared" si="165"/>
        <v>110</v>
      </c>
      <c r="AJ209" s="855">
        <v>110</v>
      </c>
      <c r="AK209" s="855"/>
      <c r="AL209" s="855"/>
      <c r="AM209" s="855"/>
      <c r="AN209" s="855"/>
      <c r="AO209" s="855"/>
      <c r="AP209" s="855"/>
      <c r="AQ209" s="855"/>
      <c r="AR209" s="855"/>
      <c r="AS209" s="855"/>
      <c r="AT209" s="855"/>
      <c r="AU209" s="855"/>
      <c r="AV209" s="855"/>
      <c r="AW209" s="855"/>
      <c r="AX209" s="855"/>
      <c r="AY209" s="855">
        <f t="shared" si="164"/>
        <v>0</v>
      </c>
      <c r="AZ209" s="855"/>
      <c r="BA209" s="855"/>
      <c r="BB209" s="855"/>
      <c r="BC209" s="855"/>
      <c r="BD209" s="855"/>
      <c r="BE209" s="855"/>
      <c r="BF209" s="855"/>
      <c r="BG209" s="855"/>
      <c r="BH209" s="855"/>
      <c r="BI209" s="855"/>
      <c r="BJ209" s="855"/>
      <c r="BK209" s="855"/>
      <c r="BL209" s="855"/>
      <c r="BM209" s="855"/>
      <c r="BN209" s="855"/>
      <c r="BO209" s="848">
        <f t="shared" si="166"/>
        <v>98.242999999999995</v>
      </c>
      <c r="BP209" s="855">
        <v>98.242999999999995</v>
      </c>
      <c r="BQ209" s="855"/>
      <c r="BR209" s="855"/>
      <c r="BS209" s="855"/>
      <c r="BT209" s="855"/>
      <c r="BU209" s="855"/>
      <c r="BV209" s="855"/>
      <c r="BW209" s="855"/>
      <c r="BX209" s="855"/>
      <c r="BY209" s="855"/>
      <c r="BZ209" s="855"/>
      <c r="CA209" s="855"/>
      <c r="CB209" s="855"/>
      <c r="CC209" s="855"/>
      <c r="CD209" s="855"/>
      <c r="CE209" s="855"/>
      <c r="CF209" s="848"/>
      <c r="CG209" s="848"/>
      <c r="CH209" s="848"/>
      <c r="CI209" s="848"/>
      <c r="CJ209" s="848"/>
      <c r="CK209" s="848"/>
      <c r="CL209" s="848"/>
      <c r="CM209" s="848"/>
      <c r="CN209" s="848"/>
      <c r="CO209" s="848"/>
      <c r="CP209" s="848"/>
      <c r="CQ209" s="848"/>
      <c r="CR209" s="848"/>
      <c r="CS209" s="848"/>
      <c r="CT209" s="848"/>
      <c r="CU209" s="848"/>
      <c r="CV209" s="848"/>
      <c r="CW209" s="848"/>
    </row>
    <row r="210" spans="1:101" ht="36" customHeight="1">
      <c r="A210" s="845"/>
      <c r="B210" s="867" t="s">
        <v>693</v>
      </c>
      <c r="C210" s="852" t="s">
        <v>731</v>
      </c>
      <c r="D210" s="846"/>
      <c r="E210" s="845"/>
      <c r="F210" s="880" t="s">
        <v>732</v>
      </c>
      <c r="G210" s="853" t="s">
        <v>733</v>
      </c>
      <c r="H210" s="850">
        <f t="shared" si="158"/>
        <v>315</v>
      </c>
      <c r="I210" s="855">
        <v>315</v>
      </c>
      <c r="J210" s="848"/>
      <c r="K210" s="848"/>
      <c r="L210" s="848"/>
      <c r="M210" s="848"/>
      <c r="N210" s="848"/>
      <c r="O210" s="848"/>
      <c r="P210" s="848"/>
      <c r="Q210" s="848"/>
      <c r="R210" s="848"/>
      <c r="S210" s="848"/>
      <c r="T210" s="855">
        <f t="shared" si="167"/>
        <v>0</v>
      </c>
      <c r="U210" s="848"/>
      <c r="V210" s="848"/>
      <c r="W210" s="848"/>
      <c r="X210" s="848"/>
      <c r="Y210" s="848"/>
      <c r="Z210" s="848"/>
      <c r="AA210" s="848"/>
      <c r="AB210" s="848"/>
      <c r="AC210" s="848"/>
      <c r="AD210" s="848"/>
      <c r="AE210" s="848"/>
      <c r="AF210" s="848"/>
      <c r="AG210" s="848"/>
      <c r="AH210" s="855"/>
      <c r="AI210" s="855">
        <f t="shared" si="165"/>
        <v>220</v>
      </c>
      <c r="AJ210" s="855">
        <v>220</v>
      </c>
      <c r="AK210" s="855"/>
      <c r="AL210" s="855"/>
      <c r="AM210" s="855"/>
      <c r="AN210" s="855"/>
      <c r="AO210" s="855"/>
      <c r="AP210" s="855"/>
      <c r="AQ210" s="855"/>
      <c r="AR210" s="855"/>
      <c r="AS210" s="855"/>
      <c r="AT210" s="855"/>
      <c r="AU210" s="855"/>
      <c r="AV210" s="855"/>
      <c r="AW210" s="855"/>
      <c r="AX210" s="855"/>
      <c r="AY210" s="855">
        <f t="shared" si="164"/>
        <v>0</v>
      </c>
      <c r="AZ210" s="855"/>
      <c r="BA210" s="855"/>
      <c r="BB210" s="855"/>
      <c r="BC210" s="855"/>
      <c r="BD210" s="855"/>
      <c r="BE210" s="855"/>
      <c r="BF210" s="855"/>
      <c r="BG210" s="855"/>
      <c r="BH210" s="855"/>
      <c r="BI210" s="855"/>
      <c r="BJ210" s="855"/>
      <c r="BK210" s="855"/>
      <c r="BL210" s="855"/>
      <c r="BM210" s="855"/>
      <c r="BN210" s="855"/>
      <c r="BO210" s="848">
        <f t="shared" si="166"/>
        <v>220</v>
      </c>
      <c r="BP210" s="855">
        <v>220</v>
      </c>
      <c r="BQ210" s="855"/>
      <c r="BR210" s="855"/>
      <c r="BS210" s="855"/>
      <c r="BT210" s="855"/>
      <c r="BU210" s="855"/>
      <c r="BV210" s="855"/>
      <c r="BW210" s="855"/>
      <c r="BX210" s="855"/>
      <c r="BY210" s="855"/>
      <c r="BZ210" s="855"/>
      <c r="CA210" s="855"/>
      <c r="CB210" s="855"/>
      <c r="CC210" s="855"/>
      <c r="CD210" s="855"/>
      <c r="CE210" s="855"/>
      <c r="CF210" s="848"/>
      <c r="CG210" s="848"/>
      <c r="CH210" s="848"/>
      <c r="CI210" s="848"/>
      <c r="CJ210" s="848"/>
      <c r="CK210" s="848"/>
      <c r="CL210" s="848"/>
      <c r="CM210" s="848"/>
      <c r="CN210" s="848"/>
      <c r="CO210" s="848"/>
      <c r="CP210" s="848"/>
      <c r="CQ210" s="848"/>
      <c r="CR210" s="848"/>
      <c r="CS210" s="848"/>
      <c r="CT210" s="848"/>
      <c r="CU210" s="848"/>
      <c r="CV210" s="848"/>
      <c r="CW210" s="848"/>
    </row>
    <row r="211" spans="1:101" ht="36" customHeight="1">
      <c r="A211" s="845"/>
      <c r="B211" s="867" t="s">
        <v>693</v>
      </c>
      <c r="C211" s="852" t="s">
        <v>734</v>
      </c>
      <c r="D211" s="846"/>
      <c r="E211" s="845"/>
      <c r="F211" s="881" t="s">
        <v>735</v>
      </c>
      <c r="G211" s="861" t="s">
        <v>736</v>
      </c>
      <c r="H211" s="850">
        <f t="shared" si="158"/>
        <v>0</v>
      </c>
      <c r="I211" s="848"/>
      <c r="J211" s="848"/>
      <c r="K211" s="848"/>
      <c r="L211" s="848"/>
      <c r="M211" s="848"/>
      <c r="N211" s="848"/>
      <c r="O211" s="848"/>
      <c r="P211" s="848"/>
      <c r="Q211" s="848"/>
      <c r="R211" s="848"/>
      <c r="S211" s="848"/>
      <c r="T211" s="855">
        <f t="shared" si="167"/>
        <v>0</v>
      </c>
      <c r="U211" s="848"/>
      <c r="V211" s="848"/>
      <c r="W211" s="848"/>
      <c r="X211" s="848"/>
      <c r="Y211" s="848"/>
      <c r="Z211" s="848"/>
      <c r="AA211" s="848"/>
      <c r="AB211" s="848"/>
      <c r="AC211" s="848"/>
      <c r="AD211" s="848"/>
      <c r="AE211" s="848"/>
      <c r="AF211" s="848"/>
      <c r="AG211" s="848"/>
      <c r="AH211" s="855"/>
      <c r="AI211" s="855">
        <f t="shared" si="165"/>
        <v>700</v>
      </c>
      <c r="AJ211" s="855">
        <v>700</v>
      </c>
      <c r="AK211" s="855"/>
      <c r="AL211" s="855"/>
      <c r="AM211" s="855"/>
      <c r="AN211" s="855"/>
      <c r="AO211" s="855"/>
      <c r="AP211" s="855"/>
      <c r="AQ211" s="855"/>
      <c r="AR211" s="855"/>
      <c r="AS211" s="855"/>
      <c r="AT211" s="855"/>
      <c r="AU211" s="855"/>
      <c r="AV211" s="855"/>
      <c r="AW211" s="855"/>
      <c r="AX211" s="855"/>
      <c r="AY211" s="855">
        <f t="shared" si="164"/>
        <v>0</v>
      </c>
      <c r="AZ211" s="855"/>
      <c r="BA211" s="855"/>
      <c r="BB211" s="855"/>
      <c r="BC211" s="855"/>
      <c r="BD211" s="855"/>
      <c r="BE211" s="855"/>
      <c r="BF211" s="855"/>
      <c r="BG211" s="855"/>
      <c r="BH211" s="855"/>
      <c r="BI211" s="855"/>
      <c r="BJ211" s="855"/>
      <c r="BK211" s="855"/>
      <c r="BL211" s="855"/>
      <c r="BM211" s="855"/>
      <c r="BN211" s="855"/>
      <c r="BO211" s="848">
        <f t="shared" si="166"/>
        <v>699.03200000000004</v>
      </c>
      <c r="BP211" s="855">
        <v>699.03200000000004</v>
      </c>
      <c r="BQ211" s="855"/>
      <c r="BR211" s="855"/>
      <c r="BS211" s="855"/>
      <c r="BT211" s="855"/>
      <c r="BU211" s="855"/>
      <c r="BV211" s="855"/>
      <c r="BW211" s="855"/>
      <c r="BX211" s="855"/>
      <c r="BY211" s="855"/>
      <c r="BZ211" s="855"/>
      <c r="CA211" s="855"/>
      <c r="CB211" s="855"/>
      <c r="CC211" s="855"/>
      <c r="CD211" s="855"/>
      <c r="CE211" s="855"/>
      <c r="CF211" s="848"/>
      <c r="CG211" s="848"/>
      <c r="CH211" s="848"/>
      <c r="CI211" s="848"/>
      <c r="CJ211" s="848"/>
      <c r="CK211" s="848"/>
      <c r="CL211" s="848"/>
      <c r="CM211" s="848"/>
      <c r="CN211" s="848"/>
      <c r="CO211" s="848"/>
      <c r="CP211" s="848"/>
      <c r="CQ211" s="848"/>
      <c r="CR211" s="848"/>
      <c r="CS211" s="848"/>
      <c r="CT211" s="848"/>
      <c r="CU211" s="848"/>
      <c r="CV211" s="848"/>
      <c r="CW211" s="848"/>
    </row>
    <row r="212" spans="1:101" ht="36" customHeight="1">
      <c r="A212" s="845"/>
      <c r="B212" s="867" t="s">
        <v>693</v>
      </c>
      <c r="C212" s="852" t="s">
        <v>737</v>
      </c>
      <c r="D212" s="846"/>
      <c r="E212" s="845"/>
      <c r="F212" s="881" t="s">
        <v>738</v>
      </c>
      <c r="G212" s="861" t="s">
        <v>736</v>
      </c>
      <c r="H212" s="850">
        <f t="shared" si="158"/>
        <v>0</v>
      </c>
      <c r="I212" s="848"/>
      <c r="J212" s="848"/>
      <c r="K212" s="848"/>
      <c r="L212" s="848"/>
      <c r="M212" s="848"/>
      <c r="N212" s="848"/>
      <c r="O212" s="848"/>
      <c r="P212" s="848"/>
      <c r="Q212" s="848"/>
      <c r="R212" s="848"/>
      <c r="S212" s="848"/>
      <c r="T212" s="855">
        <f t="shared" si="167"/>
        <v>0</v>
      </c>
      <c r="U212" s="848"/>
      <c r="V212" s="848"/>
      <c r="W212" s="848"/>
      <c r="X212" s="848"/>
      <c r="Y212" s="848"/>
      <c r="Z212" s="848"/>
      <c r="AA212" s="848"/>
      <c r="AB212" s="848"/>
      <c r="AC212" s="848"/>
      <c r="AD212" s="848"/>
      <c r="AE212" s="848"/>
      <c r="AF212" s="848"/>
      <c r="AG212" s="848"/>
      <c r="AH212" s="855"/>
      <c r="AI212" s="855">
        <f t="shared" si="165"/>
        <v>400</v>
      </c>
      <c r="AJ212" s="855">
        <v>400</v>
      </c>
      <c r="AK212" s="855"/>
      <c r="AL212" s="855"/>
      <c r="AM212" s="855"/>
      <c r="AN212" s="855"/>
      <c r="AO212" s="855"/>
      <c r="AP212" s="855"/>
      <c r="AQ212" s="855"/>
      <c r="AR212" s="855"/>
      <c r="AS212" s="855"/>
      <c r="AT212" s="855"/>
      <c r="AU212" s="855"/>
      <c r="AV212" s="855"/>
      <c r="AW212" s="855"/>
      <c r="AX212" s="855"/>
      <c r="AY212" s="855">
        <f t="shared" si="164"/>
        <v>0</v>
      </c>
      <c r="AZ212" s="855"/>
      <c r="BA212" s="855"/>
      <c r="BB212" s="855"/>
      <c r="BC212" s="855"/>
      <c r="BD212" s="855"/>
      <c r="BE212" s="855"/>
      <c r="BF212" s="855"/>
      <c r="BG212" s="855"/>
      <c r="BH212" s="855"/>
      <c r="BI212" s="855"/>
      <c r="BJ212" s="855"/>
      <c r="BK212" s="855"/>
      <c r="BL212" s="855"/>
      <c r="BM212" s="855"/>
      <c r="BN212" s="855"/>
      <c r="BO212" s="848">
        <f t="shared" si="166"/>
        <v>399.80720000000002</v>
      </c>
      <c r="BP212" s="855">
        <v>399.80720000000002</v>
      </c>
      <c r="BQ212" s="855"/>
      <c r="BR212" s="855"/>
      <c r="BS212" s="855"/>
      <c r="BT212" s="855"/>
      <c r="BU212" s="855"/>
      <c r="BV212" s="855"/>
      <c r="BW212" s="855"/>
      <c r="BX212" s="855"/>
      <c r="BY212" s="855"/>
      <c r="BZ212" s="855"/>
      <c r="CA212" s="855"/>
      <c r="CB212" s="855"/>
      <c r="CC212" s="855"/>
      <c r="CD212" s="855"/>
      <c r="CE212" s="855"/>
      <c r="CF212" s="848"/>
      <c r="CG212" s="848"/>
      <c r="CH212" s="848"/>
      <c r="CI212" s="848"/>
      <c r="CJ212" s="848"/>
      <c r="CK212" s="848"/>
      <c r="CL212" s="848"/>
      <c r="CM212" s="848"/>
      <c r="CN212" s="848"/>
      <c r="CO212" s="848"/>
      <c r="CP212" s="848"/>
      <c r="CQ212" s="848"/>
      <c r="CR212" s="848"/>
      <c r="CS212" s="848"/>
      <c r="CT212" s="848"/>
      <c r="CU212" s="848"/>
      <c r="CV212" s="848"/>
      <c r="CW212" s="848"/>
    </row>
    <row r="213" spans="1:101" ht="30" customHeight="1">
      <c r="A213" s="845"/>
      <c r="B213" s="867" t="s">
        <v>693</v>
      </c>
      <c r="C213" s="852" t="s">
        <v>739</v>
      </c>
      <c r="D213" s="846"/>
      <c r="E213" s="845"/>
      <c r="F213" s="861">
        <v>2016</v>
      </c>
      <c r="G213" s="861" t="s">
        <v>740</v>
      </c>
      <c r="H213" s="850">
        <f t="shared" si="158"/>
        <v>172</v>
      </c>
      <c r="I213" s="855">
        <v>172</v>
      </c>
      <c r="J213" s="848"/>
      <c r="K213" s="848"/>
      <c r="L213" s="848"/>
      <c r="M213" s="848"/>
      <c r="N213" s="848"/>
      <c r="O213" s="848"/>
      <c r="P213" s="848"/>
      <c r="Q213" s="848"/>
      <c r="R213" s="848"/>
      <c r="S213" s="848"/>
      <c r="T213" s="855">
        <f t="shared" si="167"/>
        <v>0</v>
      </c>
      <c r="U213" s="855"/>
      <c r="V213" s="848"/>
      <c r="W213" s="848"/>
      <c r="X213" s="848"/>
      <c r="Y213" s="848"/>
      <c r="Z213" s="848"/>
      <c r="AA213" s="848"/>
      <c r="AB213" s="848"/>
      <c r="AC213" s="848"/>
      <c r="AD213" s="848"/>
      <c r="AE213" s="848"/>
      <c r="AF213" s="848"/>
      <c r="AG213" s="848"/>
      <c r="AH213" s="855"/>
      <c r="AI213" s="855">
        <f t="shared" si="165"/>
        <v>120</v>
      </c>
      <c r="AJ213" s="855">
        <v>120</v>
      </c>
      <c r="AK213" s="855"/>
      <c r="AL213" s="855"/>
      <c r="AM213" s="855"/>
      <c r="AN213" s="855"/>
      <c r="AO213" s="855"/>
      <c r="AP213" s="855"/>
      <c r="AQ213" s="855"/>
      <c r="AR213" s="855"/>
      <c r="AS213" s="855"/>
      <c r="AT213" s="855"/>
      <c r="AU213" s="855"/>
      <c r="AV213" s="855"/>
      <c r="AW213" s="855"/>
      <c r="AX213" s="855"/>
      <c r="AY213" s="855">
        <f t="shared" si="164"/>
        <v>0</v>
      </c>
      <c r="AZ213" s="855"/>
      <c r="BA213" s="855"/>
      <c r="BB213" s="855"/>
      <c r="BC213" s="855"/>
      <c r="BD213" s="855"/>
      <c r="BE213" s="855"/>
      <c r="BF213" s="855"/>
      <c r="BG213" s="855"/>
      <c r="BH213" s="855"/>
      <c r="BI213" s="855"/>
      <c r="BJ213" s="855"/>
      <c r="BK213" s="855"/>
      <c r="BL213" s="855"/>
      <c r="BM213" s="855"/>
      <c r="BN213" s="855"/>
      <c r="BO213" s="848">
        <f t="shared" si="166"/>
        <v>119.437</v>
      </c>
      <c r="BP213" s="855">
        <v>119.437</v>
      </c>
      <c r="BQ213" s="855"/>
      <c r="BR213" s="855"/>
      <c r="BS213" s="855"/>
      <c r="BT213" s="855"/>
      <c r="BU213" s="855"/>
      <c r="BV213" s="855"/>
      <c r="BW213" s="855"/>
      <c r="BX213" s="855"/>
      <c r="BY213" s="855"/>
      <c r="BZ213" s="855"/>
      <c r="CA213" s="855"/>
      <c r="CB213" s="855"/>
      <c r="CC213" s="855"/>
      <c r="CD213" s="855"/>
      <c r="CE213" s="855"/>
      <c r="CF213" s="848"/>
      <c r="CG213" s="848"/>
      <c r="CH213" s="848"/>
      <c r="CI213" s="848"/>
      <c r="CJ213" s="848"/>
      <c r="CK213" s="848"/>
      <c r="CL213" s="848"/>
      <c r="CM213" s="848"/>
      <c r="CN213" s="848"/>
      <c r="CO213" s="848"/>
      <c r="CP213" s="848"/>
      <c r="CQ213" s="848"/>
      <c r="CR213" s="848"/>
      <c r="CS213" s="848"/>
      <c r="CT213" s="848"/>
      <c r="CU213" s="848"/>
      <c r="CV213" s="848"/>
      <c r="CW213" s="848"/>
    </row>
    <row r="214" spans="1:101" ht="24.6" customHeight="1">
      <c r="A214" s="845"/>
      <c r="B214" s="867" t="s">
        <v>693</v>
      </c>
      <c r="C214" s="852" t="s">
        <v>741</v>
      </c>
      <c r="D214" s="846"/>
      <c r="E214" s="845"/>
      <c r="F214" s="853" t="s">
        <v>742</v>
      </c>
      <c r="G214" s="853" t="s">
        <v>743</v>
      </c>
      <c r="H214" s="850">
        <f t="shared" si="158"/>
        <v>143</v>
      </c>
      <c r="I214" s="855">
        <v>143</v>
      </c>
      <c r="J214" s="848"/>
      <c r="K214" s="848"/>
      <c r="L214" s="848"/>
      <c r="M214" s="848"/>
      <c r="N214" s="848"/>
      <c r="O214" s="848"/>
      <c r="P214" s="848"/>
      <c r="Q214" s="848"/>
      <c r="R214" s="848"/>
      <c r="S214" s="848"/>
      <c r="T214" s="855">
        <f t="shared" si="167"/>
        <v>0</v>
      </c>
      <c r="U214" s="848"/>
      <c r="V214" s="848"/>
      <c r="W214" s="848"/>
      <c r="X214" s="848"/>
      <c r="Y214" s="848"/>
      <c r="Z214" s="848"/>
      <c r="AA214" s="848"/>
      <c r="AB214" s="848"/>
      <c r="AC214" s="848"/>
      <c r="AD214" s="848"/>
      <c r="AE214" s="848"/>
      <c r="AF214" s="848"/>
      <c r="AG214" s="848"/>
      <c r="AH214" s="855"/>
      <c r="AI214" s="855">
        <f t="shared" si="165"/>
        <v>99</v>
      </c>
      <c r="AJ214" s="855">
        <v>99</v>
      </c>
      <c r="AK214" s="855"/>
      <c r="AL214" s="855"/>
      <c r="AM214" s="855"/>
      <c r="AN214" s="855"/>
      <c r="AO214" s="855"/>
      <c r="AP214" s="855"/>
      <c r="AQ214" s="855"/>
      <c r="AR214" s="855"/>
      <c r="AS214" s="855"/>
      <c r="AT214" s="855"/>
      <c r="AU214" s="855"/>
      <c r="AV214" s="855"/>
      <c r="AW214" s="855"/>
      <c r="AX214" s="855"/>
      <c r="AY214" s="855">
        <f t="shared" si="164"/>
        <v>0</v>
      </c>
      <c r="AZ214" s="855"/>
      <c r="BA214" s="855"/>
      <c r="BB214" s="855"/>
      <c r="BC214" s="855"/>
      <c r="BD214" s="855"/>
      <c r="BE214" s="855"/>
      <c r="BF214" s="855"/>
      <c r="BG214" s="855"/>
      <c r="BH214" s="855"/>
      <c r="BI214" s="855"/>
      <c r="BJ214" s="855"/>
      <c r="BK214" s="855"/>
      <c r="BL214" s="855"/>
      <c r="BM214" s="855"/>
      <c r="BN214" s="855"/>
      <c r="BO214" s="848">
        <f t="shared" si="166"/>
        <v>99</v>
      </c>
      <c r="BP214" s="855">
        <v>99</v>
      </c>
      <c r="BQ214" s="855"/>
      <c r="BR214" s="855"/>
      <c r="BS214" s="855"/>
      <c r="BT214" s="855"/>
      <c r="BU214" s="855"/>
      <c r="BV214" s="855"/>
      <c r="BW214" s="855"/>
      <c r="BX214" s="855"/>
      <c r="BY214" s="855"/>
      <c r="BZ214" s="855"/>
      <c r="CA214" s="855"/>
      <c r="CB214" s="855"/>
      <c r="CC214" s="855"/>
      <c r="CD214" s="855"/>
      <c r="CE214" s="855"/>
      <c r="CF214" s="848"/>
      <c r="CG214" s="848"/>
      <c r="CH214" s="848"/>
      <c r="CI214" s="848"/>
      <c r="CJ214" s="848"/>
      <c r="CK214" s="848"/>
      <c r="CL214" s="848"/>
      <c r="CM214" s="848"/>
      <c r="CN214" s="848"/>
      <c r="CO214" s="848"/>
      <c r="CP214" s="848"/>
      <c r="CQ214" s="848"/>
      <c r="CR214" s="848"/>
      <c r="CS214" s="848"/>
      <c r="CT214" s="848"/>
      <c r="CU214" s="848"/>
      <c r="CV214" s="848"/>
      <c r="CW214" s="848"/>
    </row>
    <row r="215" spans="1:101" ht="36" customHeight="1">
      <c r="A215" s="845"/>
      <c r="B215" s="867" t="s">
        <v>693</v>
      </c>
      <c r="C215" s="852" t="s">
        <v>744</v>
      </c>
      <c r="D215" s="846"/>
      <c r="E215" s="845"/>
      <c r="F215" s="853" t="s">
        <v>742</v>
      </c>
      <c r="G215" s="853" t="s">
        <v>745</v>
      </c>
      <c r="H215" s="850">
        <f t="shared" si="158"/>
        <v>172</v>
      </c>
      <c r="I215" s="855">
        <v>172</v>
      </c>
      <c r="J215" s="848"/>
      <c r="K215" s="848"/>
      <c r="L215" s="848"/>
      <c r="M215" s="848"/>
      <c r="N215" s="848"/>
      <c r="O215" s="848"/>
      <c r="P215" s="848"/>
      <c r="Q215" s="848"/>
      <c r="R215" s="848"/>
      <c r="S215" s="848"/>
      <c r="T215" s="855">
        <f t="shared" si="167"/>
        <v>0</v>
      </c>
      <c r="U215" s="848"/>
      <c r="V215" s="848"/>
      <c r="W215" s="848"/>
      <c r="X215" s="848"/>
      <c r="Y215" s="848"/>
      <c r="Z215" s="848"/>
      <c r="AA215" s="848"/>
      <c r="AB215" s="848"/>
      <c r="AC215" s="848"/>
      <c r="AD215" s="848"/>
      <c r="AE215" s="848"/>
      <c r="AF215" s="848"/>
      <c r="AG215" s="848"/>
      <c r="AH215" s="855"/>
      <c r="AI215" s="855">
        <f t="shared" si="165"/>
        <v>120</v>
      </c>
      <c r="AJ215" s="855">
        <v>120</v>
      </c>
      <c r="AK215" s="855"/>
      <c r="AL215" s="855"/>
      <c r="AM215" s="855"/>
      <c r="AN215" s="855"/>
      <c r="AO215" s="855"/>
      <c r="AP215" s="855"/>
      <c r="AQ215" s="855"/>
      <c r="AR215" s="855"/>
      <c r="AS215" s="855"/>
      <c r="AT215" s="855"/>
      <c r="AU215" s="855"/>
      <c r="AV215" s="855"/>
      <c r="AW215" s="855"/>
      <c r="AX215" s="855"/>
      <c r="AY215" s="855">
        <f t="shared" si="164"/>
        <v>0</v>
      </c>
      <c r="AZ215" s="855"/>
      <c r="BA215" s="855"/>
      <c r="BB215" s="855"/>
      <c r="BC215" s="855"/>
      <c r="BD215" s="855"/>
      <c r="BE215" s="855"/>
      <c r="BF215" s="855"/>
      <c r="BG215" s="855"/>
      <c r="BH215" s="855"/>
      <c r="BI215" s="855"/>
      <c r="BJ215" s="855"/>
      <c r="BK215" s="855"/>
      <c r="BL215" s="855"/>
      <c r="BM215" s="855"/>
      <c r="BN215" s="855"/>
      <c r="BO215" s="848">
        <f t="shared" si="166"/>
        <v>120</v>
      </c>
      <c r="BP215" s="855">
        <v>120</v>
      </c>
      <c r="BQ215" s="855"/>
      <c r="BR215" s="855"/>
      <c r="BS215" s="855"/>
      <c r="BT215" s="855"/>
      <c r="BU215" s="855"/>
      <c r="BV215" s="855"/>
      <c r="BW215" s="855"/>
      <c r="BX215" s="855"/>
      <c r="BY215" s="855"/>
      <c r="BZ215" s="855"/>
      <c r="CA215" s="855"/>
      <c r="CB215" s="855"/>
      <c r="CC215" s="855"/>
      <c r="CD215" s="855"/>
      <c r="CE215" s="855"/>
      <c r="CF215" s="848"/>
      <c r="CG215" s="848"/>
      <c r="CH215" s="848"/>
      <c r="CI215" s="848"/>
      <c r="CJ215" s="848"/>
      <c r="CK215" s="848"/>
      <c r="CL215" s="848"/>
      <c r="CM215" s="848"/>
      <c r="CN215" s="848"/>
      <c r="CO215" s="848"/>
      <c r="CP215" s="848"/>
      <c r="CQ215" s="848"/>
      <c r="CR215" s="848"/>
      <c r="CS215" s="848"/>
      <c r="CT215" s="848"/>
      <c r="CU215" s="848"/>
      <c r="CV215" s="848"/>
      <c r="CW215" s="848"/>
    </row>
    <row r="216" spans="1:101" ht="26.45" customHeight="1">
      <c r="A216" s="845" t="s">
        <v>31</v>
      </c>
      <c r="B216" s="845"/>
      <c r="C216" s="857" t="s">
        <v>508</v>
      </c>
      <c r="D216" s="846">
        <f>D217</f>
        <v>0</v>
      </c>
      <c r="E216" s="845">
        <f t="shared" ref="E216:BP216" si="168">E217</f>
        <v>0</v>
      </c>
      <c r="F216" s="847"/>
      <c r="G216" s="845"/>
      <c r="H216" s="850">
        <f t="shared" si="158"/>
        <v>3155</v>
      </c>
      <c r="I216" s="848">
        <f t="shared" si="168"/>
        <v>0</v>
      </c>
      <c r="J216" s="848">
        <f t="shared" si="168"/>
        <v>0</v>
      </c>
      <c r="K216" s="848">
        <f t="shared" si="168"/>
        <v>0</v>
      </c>
      <c r="L216" s="848">
        <f t="shared" si="168"/>
        <v>0</v>
      </c>
      <c r="M216" s="848">
        <f t="shared" si="168"/>
        <v>0</v>
      </c>
      <c r="N216" s="848">
        <f t="shared" si="168"/>
        <v>0</v>
      </c>
      <c r="O216" s="848">
        <f t="shared" si="168"/>
        <v>0</v>
      </c>
      <c r="P216" s="848">
        <f t="shared" si="168"/>
        <v>0</v>
      </c>
      <c r="Q216" s="848">
        <f t="shared" si="168"/>
        <v>0</v>
      </c>
      <c r="R216" s="848">
        <v>0</v>
      </c>
      <c r="S216" s="848">
        <f t="shared" si="168"/>
        <v>3155</v>
      </c>
      <c r="T216" s="848">
        <f t="shared" si="168"/>
        <v>0</v>
      </c>
      <c r="U216" s="848">
        <f t="shared" si="168"/>
        <v>0</v>
      </c>
      <c r="V216" s="848">
        <f t="shared" si="168"/>
        <v>0</v>
      </c>
      <c r="W216" s="848">
        <f t="shared" si="168"/>
        <v>0</v>
      </c>
      <c r="X216" s="848">
        <f t="shared" si="168"/>
        <v>0</v>
      </c>
      <c r="Y216" s="848">
        <f t="shared" si="168"/>
        <v>0</v>
      </c>
      <c r="Z216" s="848">
        <f t="shared" si="168"/>
        <v>0</v>
      </c>
      <c r="AA216" s="848">
        <f t="shared" si="168"/>
        <v>0</v>
      </c>
      <c r="AB216" s="848">
        <f t="shared" si="168"/>
        <v>0</v>
      </c>
      <c r="AC216" s="848">
        <f t="shared" si="168"/>
        <v>0</v>
      </c>
      <c r="AD216" s="848">
        <f t="shared" si="168"/>
        <v>0</v>
      </c>
      <c r="AE216" s="848">
        <f t="shared" si="168"/>
        <v>0</v>
      </c>
      <c r="AF216" s="848">
        <f t="shared" si="168"/>
        <v>0</v>
      </c>
      <c r="AG216" s="848">
        <f t="shared" si="168"/>
        <v>0</v>
      </c>
      <c r="AH216" s="848">
        <f t="shared" si="168"/>
        <v>0</v>
      </c>
      <c r="AI216" s="848">
        <f t="shared" si="168"/>
        <v>0</v>
      </c>
      <c r="AJ216" s="848">
        <f t="shared" si="168"/>
        <v>0</v>
      </c>
      <c r="AK216" s="848">
        <f t="shared" si="168"/>
        <v>0</v>
      </c>
      <c r="AL216" s="848">
        <f t="shared" si="168"/>
        <v>0</v>
      </c>
      <c r="AM216" s="848">
        <f t="shared" si="168"/>
        <v>0</v>
      </c>
      <c r="AN216" s="848">
        <f t="shared" si="168"/>
        <v>0</v>
      </c>
      <c r="AO216" s="848">
        <f t="shared" si="168"/>
        <v>0</v>
      </c>
      <c r="AP216" s="848">
        <f t="shared" si="168"/>
        <v>0</v>
      </c>
      <c r="AQ216" s="848">
        <f t="shared" si="168"/>
        <v>0</v>
      </c>
      <c r="AR216" s="848">
        <f t="shared" si="168"/>
        <v>0</v>
      </c>
      <c r="AS216" s="848">
        <f t="shared" si="168"/>
        <v>0</v>
      </c>
      <c r="AT216" s="848">
        <f t="shared" si="168"/>
        <v>0</v>
      </c>
      <c r="AU216" s="848">
        <f t="shared" si="168"/>
        <v>0</v>
      </c>
      <c r="AV216" s="848">
        <f t="shared" si="168"/>
        <v>0</v>
      </c>
      <c r="AW216" s="848">
        <f t="shared" si="168"/>
        <v>0</v>
      </c>
      <c r="AX216" s="848">
        <f t="shared" si="168"/>
        <v>0</v>
      </c>
      <c r="AY216" s="848">
        <f t="shared" si="168"/>
        <v>1200</v>
      </c>
      <c r="AZ216" s="848">
        <f t="shared" si="168"/>
        <v>0</v>
      </c>
      <c r="BA216" s="848">
        <f t="shared" si="168"/>
        <v>0</v>
      </c>
      <c r="BB216" s="848">
        <f t="shared" si="168"/>
        <v>0</v>
      </c>
      <c r="BC216" s="848">
        <f t="shared" si="168"/>
        <v>0</v>
      </c>
      <c r="BD216" s="848">
        <f t="shared" si="168"/>
        <v>0</v>
      </c>
      <c r="BE216" s="848">
        <f t="shared" si="168"/>
        <v>0</v>
      </c>
      <c r="BF216" s="848">
        <f t="shared" si="168"/>
        <v>0</v>
      </c>
      <c r="BG216" s="848">
        <f t="shared" si="168"/>
        <v>0</v>
      </c>
      <c r="BH216" s="848">
        <f t="shared" si="168"/>
        <v>0</v>
      </c>
      <c r="BI216" s="848">
        <f t="shared" si="168"/>
        <v>0</v>
      </c>
      <c r="BJ216" s="848">
        <f t="shared" si="168"/>
        <v>0</v>
      </c>
      <c r="BK216" s="848">
        <f t="shared" si="168"/>
        <v>0</v>
      </c>
      <c r="BL216" s="848">
        <f t="shared" si="168"/>
        <v>0</v>
      </c>
      <c r="BM216" s="848">
        <f t="shared" si="168"/>
        <v>0</v>
      </c>
      <c r="BN216" s="848">
        <f t="shared" si="168"/>
        <v>1200</v>
      </c>
      <c r="BO216" s="848">
        <f t="shared" si="166"/>
        <v>623</v>
      </c>
      <c r="BP216" s="848">
        <f t="shared" si="168"/>
        <v>0</v>
      </c>
      <c r="BQ216" s="848">
        <f t="shared" ref="BQ216:CS217" si="169">BQ217</f>
        <v>0</v>
      </c>
      <c r="BR216" s="848">
        <f t="shared" si="169"/>
        <v>0</v>
      </c>
      <c r="BS216" s="848">
        <f t="shared" si="169"/>
        <v>0</v>
      </c>
      <c r="BT216" s="848">
        <f t="shared" si="169"/>
        <v>0</v>
      </c>
      <c r="BU216" s="848">
        <f t="shared" si="169"/>
        <v>0</v>
      </c>
      <c r="BV216" s="848">
        <f t="shared" si="169"/>
        <v>0</v>
      </c>
      <c r="BW216" s="848">
        <f t="shared" si="169"/>
        <v>0</v>
      </c>
      <c r="BX216" s="848">
        <f t="shared" si="169"/>
        <v>0</v>
      </c>
      <c r="BY216" s="848">
        <f t="shared" si="169"/>
        <v>0</v>
      </c>
      <c r="BZ216" s="848">
        <f t="shared" si="169"/>
        <v>0</v>
      </c>
      <c r="CA216" s="848">
        <f t="shared" si="169"/>
        <v>0</v>
      </c>
      <c r="CB216" s="848">
        <f t="shared" si="169"/>
        <v>0</v>
      </c>
      <c r="CC216" s="848">
        <f t="shared" si="169"/>
        <v>0</v>
      </c>
      <c r="CD216" s="848">
        <f t="shared" si="169"/>
        <v>0</v>
      </c>
      <c r="CE216" s="848">
        <f t="shared" si="169"/>
        <v>623</v>
      </c>
      <c r="CF216" s="848"/>
      <c r="CG216" s="848"/>
      <c r="CH216" s="848"/>
      <c r="CI216" s="848"/>
      <c r="CJ216" s="848"/>
      <c r="CK216" s="848"/>
      <c r="CL216" s="848"/>
      <c r="CM216" s="848"/>
      <c r="CN216" s="848"/>
      <c r="CO216" s="848"/>
      <c r="CP216" s="848"/>
      <c r="CQ216" s="848"/>
      <c r="CR216" s="848"/>
      <c r="CS216" s="848"/>
      <c r="CT216" s="848"/>
      <c r="CU216" s="848"/>
      <c r="CV216" s="848"/>
      <c r="CW216" s="848">
        <f t="shared" ref="CW216:CW231" si="170">CE216/BN216*100</f>
        <v>51.916666666666664</v>
      </c>
    </row>
    <row r="217" spans="1:101" s="851" customFormat="1" ht="34.5" customHeight="1">
      <c r="A217" s="845"/>
      <c r="B217" s="867" t="s">
        <v>693</v>
      </c>
      <c r="C217" s="852" t="s">
        <v>746</v>
      </c>
      <c r="D217" s="846"/>
      <c r="E217" s="845"/>
      <c r="F217" s="853" t="s">
        <v>747</v>
      </c>
      <c r="G217" s="846" t="s">
        <v>748</v>
      </c>
      <c r="H217" s="850">
        <f t="shared" si="158"/>
        <v>3155</v>
      </c>
      <c r="I217" s="860"/>
      <c r="J217" s="848"/>
      <c r="K217" s="848"/>
      <c r="L217" s="848"/>
      <c r="M217" s="848"/>
      <c r="N217" s="848"/>
      <c r="O217" s="848"/>
      <c r="P217" s="848"/>
      <c r="Q217" s="848"/>
      <c r="R217" s="848"/>
      <c r="S217" s="855">
        <v>3155</v>
      </c>
      <c r="T217" s="855">
        <f t="shared" si="167"/>
        <v>0</v>
      </c>
      <c r="U217" s="848"/>
      <c r="V217" s="848"/>
      <c r="W217" s="848"/>
      <c r="X217" s="848"/>
      <c r="Y217" s="848"/>
      <c r="Z217" s="848"/>
      <c r="AA217" s="848"/>
      <c r="AB217" s="848"/>
      <c r="AC217" s="848"/>
      <c r="AD217" s="848"/>
      <c r="AE217" s="848"/>
      <c r="AF217" s="848"/>
      <c r="AG217" s="848"/>
      <c r="AH217" s="855"/>
      <c r="AI217" s="855"/>
      <c r="AJ217" s="855"/>
      <c r="AK217" s="855"/>
      <c r="AL217" s="855"/>
      <c r="AM217" s="855"/>
      <c r="AN217" s="855"/>
      <c r="AO217" s="855"/>
      <c r="AP217" s="855"/>
      <c r="AQ217" s="855"/>
      <c r="AR217" s="855"/>
      <c r="AS217" s="855"/>
      <c r="AT217" s="855"/>
      <c r="AU217" s="855"/>
      <c r="AV217" s="855"/>
      <c r="AW217" s="855"/>
      <c r="AX217" s="855"/>
      <c r="AY217" s="855">
        <f t="shared" si="164"/>
        <v>1200</v>
      </c>
      <c r="AZ217" s="855"/>
      <c r="BA217" s="855"/>
      <c r="BB217" s="855"/>
      <c r="BC217" s="855"/>
      <c r="BD217" s="855"/>
      <c r="BE217" s="855"/>
      <c r="BF217" s="855"/>
      <c r="BG217" s="855"/>
      <c r="BH217" s="855"/>
      <c r="BI217" s="855"/>
      <c r="BJ217" s="855"/>
      <c r="BK217" s="855"/>
      <c r="BL217" s="855"/>
      <c r="BM217" s="855"/>
      <c r="BN217" s="855">
        <f>'[10]bieu cu'!H118</f>
        <v>1200</v>
      </c>
      <c r="BO217" s="848">
        <f t="shared" si="166"/>
        <v>623</v>
      </c>
      <c r="BP217" s="855"/>
      <c r="BQ217" s="855"/>
      <c r="BR217" s="855"/>
      <c r="BS217" s="855"/>
      <c r="BT217" s="855"/>
      <c r="BU217" s="855"/>
      <c r="BV217" s="855"/>
      <c r="BW217" s="855"/>
      <c r="BX217" s="855"/>
      <c r="BY217" s="855"/>
      <c r="BZ217" s="855"/>
      <c r="CA217" s="855"/>
      <c r="CB217" s="855"/>
      <c r="CC217" s="855"/>
      <c r="CD217" s="855"/>
      <c r="CE217" s="855">
        <v>623</v>
      </c>
      <c r="CF217" s="848">
        <f t="shared" si="169"/>
        <v>51.916666666666664</v>
      </c>
      <c r="CG217" s="848"/>
      <c r="CH217" s="848"/>
      <c r="CI217" s="848"/>
      <c r="CJ217" s="848"/>
      <c r="CK217" s="848"/>
      <c r="CL217" s="848"/>
      <c r="CM217" s="848"/>
      <c r="CN217" s="848"/>
      <c r="CO217" s="848"/>
      <c r="CP217" s="848"/>
      <c r="CQ217" s="848"/>
      <c r="CR217" s="848"/>
      <c r="CS217" s="848">
        <f t="shared" si="169"/>
        <v>0</v>
      </c>
      <c r="CT217" s="848"/>
      <c r="CU217" s="848"/>
      <c r="CV217" s="848"/>
      <c r="CW217" s="848">
        <f t="shared" si="170"/>
        <v>51.916666666666664</v>
      </c>
    </row>
    <row r="218" spans="1:101" ht="24.6" customHeight="1">
      <c r="A218" s="845" t="s">
        <v>749</v>
      </c>
      <c r="B218" s="845"/>
      <c r="C218" s="857" t="s">
        <v>750</v>
      </c>
      <c r="D218" s="846">
        <f>D219+D232</f>
        <v>0</v>
      </c>
      <c r="E218" s="845">
        <f t="shared" ref="E218:CE218" si="171">E219+E232</f>
        <v>0</v>
      </c>
      <c r="F218" s="847"/>
      <c r="G218" s="845"/>
      <c r="H218" s="850">
        <f t="shared" si="158"/>
        <v>26344.686000000002</v>
      </c>
      <c r="I218" s="848">
        <f t="shared" ref="I218:AH218" si="172">I219+I232</f>
        <v>0</v>
      </c>
      <c r="J218" s="848">
        <f t="shared" si="172"/>
        <v>0</v>
      </c>
      <c r="K218" s="848">
        <f t="shared" si="172"/>
        <v>0</v>
      </c>
      <c r="L218" s="848">
        <f t="shared" si="172"/>
        <v>0</v>
      </c>
      <c r="M218" s="848">
        <f t="shared" si="172"/>
        <v>0</v>
      </c>
      <c r="N218" s="848">
        <f t="shared" si="172"/>
        <v>0</v>
      </c>
      <c r="O218" s="848">
        <f t="shared" si="172"/>
        <v>0</v>
      </c>
      <c r="P218" s="848">
        <f t="shared" si="172"/>
        <v>0</v>
      </c>
      <c r="Q218" s="848">
        <f t="shared" si="172"/>
        <v>0</v>
      </c>
      <c r="R218" s="848">
        <v>21142</v>
      </c>
      <c r="S218" s="848">
        <f t="shared" si="172"/>
        <v>5202.6860000000006</v>
      </c>
      <c r="T218" s="848">
        <f t="shared" si="172"/>
        <v>18841.2297</v>
      </c>
      <c r="U218" s="848">
        <f t="shared" si="172"/>
        <v>0</v>
      </c>
      <c r="V218" s="848">
        <f t="shared" si="172"/>
        <v>0</v>
      </c>
      <c r="W218" s="848">
        <f t="shared" si="172"/>
        <v>18841.2297</v>
      </c>
      <c r="X218" s="848">
        <f t="shared" si="172"/>
        <v>0</v>
      </c>
      <c r="Y218" s="848">
        <f t="shared" si="172"/>
        <v>0</v>
      </c>
      <c r="Z218" s="848">
        <f t="shared" si="172"/>
        <v>0</v>
      </c>
      <c r="AA218" s="848">
        <f t="shared" si="172"/>
        <v>0</v>
      </c>
      <c r="AB218" s="848">
        <f t="shared" si="172"/>
        <v>0</v>
      </c>
      <c r="AC218" s="848">
        <f t="shared" si="172"/>
        <v>0</v>
      </c>
      <c r="AD218" s="848">
        <f t="shared" si="172"/>
        <v>0</v>
      </c>
      <c r="AE218" s="848">
        <f t="shared" si="172"/>
        <v>0</v>
      </c>
      <c r="AF218" s="848">
        <f t="shared" si="172"/>
        <v>0</v>
      </c>
      <c r="AG218" s="848">
        <f t="shared" si="172"/>
        <v>0</v>
      </c>
      <c r="AH218" s="848">
        <f t="shared" si="172"/>
        <v>0</v>
      </c>
      <c r="AI218" s="848">
        <f t="shared" si="171"/>
        <v>10469</v>
      </c>
      <c r="AJ218" s="848">
        <f t="shared" si="171"/>
        <v>0</v>
      </c>
      <c r="AK218" s="848">
        <f t="shared" si="171"/>
        <v>0</v>
      </c>
      <c r="AL218" s="848">
        <f t="shared" si="171"/>
        <v>4190</v>
      </c>
      <c r="AM218" s="848">
        <f t="shared" si="171"/>
        <v>0</v>
      </c>
      <c r="AN218" s="848">
        <f t="shared" si="171"/>
        <v>0</v>
      </c>
      <c r="AO218" s="848">
        <f t="shared" si="171"/>
        <v>0</v>
      </c>
      <c r="AP218" s="848">
        <f t="shared" si="171"/>
        <v>0</v>
      </c>
      <c r="AQ218" s="848">
        <f t="shared" si="171"/>
        <v>0</v>
      </c>
      <c r="AR218" s="848">
        <f t="shared" si="171"/>
        <v>0</v>
      </c>
      <c r="AS218" s="848">
        <f t="shared" si="171"/>
        <v>0</v>
      </c>
      <c r="AT218" s="848">
        <f t="shared" si="171"/>
        <v>0</v>
      </c>
      <c r="AU218" s="848">
        <f t="shared" si="171"/>
        <v>0</v>
      </c>
      <c r="AV218" s="848">
        <f t="shared" si="171"/>
        <v>0</v>
      </c>
      <c r="AW218" s="848">
        <f t="shared" si="171"/>
        <v>0</v>
      </c>
      <c r="AX218" s="848">
        <f t="shared" si="171"/>
        <v>6279</v>
      </c>
      <c r="AY218" s="848">
        <f t="shared" si="171"/>
        <v>1819</v>
      </c>
      <c r="AZ218" s="848">
        <f t="shared" si="171"/>
        <v>0</v>
      </c>
      <c r="BA218" s="848">
        <f t="shared" si="171"/>
        <v>0</v>
      </c>
      <c r="BB218" s="848">
        <f t="shared" si="171"/>
        <v>0</v>
      </c>
      <c r="BC218" s="848">
        <f t="shared" si="171"/>
        <v>594</v>
      </c>
      <c r="BD218" s="848">
        <f t="shared" si="171"/>
        <v>0</v>
      </c>
      <c r="BE218" s="848">
        <f t="shared" si="171"/>
        <v>0</v>
      </c>
      <c r="BF218" s="848">
        <f t="shared" si="171"/>
        <v>0</v>
      </c>
      <c r="BG218" s="848">
        <f t="shared" si="171"/>
        <v>0</v>
      </c>
      <c r="BH218" s="848">
        <f t="shared" si="171"/>
        <v>0</v>
      </c>
      <c r="BI218" s="848">
        <f t="shared" si="171"/>
        <v>0</v>
      </c>
      <c r="BJ218" s="848">
        <f t="shared" si="171"/>
        <v>0</v>
      </c>
      <c r="BK218" s="848">
        <f t="shared" si="171"/>
        <v>0</v>
      </c>
      <c r="BL218" s="848">
        <f t="shared" si="171"/>
        <v>0</v>
      </c>
      <c r="BM218" s="848">
        <f t="shared" si="171"/>
        <v>0</v>
      </c>
      <c r="BN218" s="848">
        <f t="shared" si="171"/>
        <v>1225</v>
      </c>
      <c r="BO218" s="848">
        <f t="shared" si="166"/>
        <v>1811.0100000000002</v>
      </c>
      <c r="BP218" s="848">
        <f t="shared" si="171"/>
        <v>0</v>
      </c>
      <c r="BQ218" s="848">
        <f t="shared" si="171"/>
        <v>0</v>
      </c>
      <c r="BR218" s="848">
        <f t="shared" si="171"/>
        <v>0</v>
      </c>
      <c r="BS218" s="848">
        <f>BS219+BS232</f>
        <v>591</v>
      </c>
      <c r="BT218" s="848">
        <f t="shared" si="171"/>
        <v>0</v>
      </c>
      <c r="BU218" s="848">
        <f t="shared" si="171"/>
        <v>0</v>
      </c>
      <c r="BV218" s="848">
        <f t="shared" si="171"/>
        <v>0</v>
      </c>
      <c r="BW218" s="848">
        <f t="shared" si="171"/>
        <v>0</v>
      </c>
      <c r="BX218" s="848">
        <f t="shared" si="171"/>
        <v>0</v>
      </c>
      <c r="BY218" s="848">
        <f t="shared" si="171"/>
        <v>0</v>
      </c>
      <c r="BZ218" s="848">
        <f t="shared" si="171"/>
        <v>0</v>
      </c>
      <c r="CA218" s="848">
        <f t="shared" si="171"/>
        <v>0</v>
      </c>
      <c r="CB218" s="848">
        <f t="shared" si="171"/>
        <v>0</v>
      </c>
      <c r="CC218" s="848">
        <f t="shared" si="171"/>
        <v>0</v>
      </c>
      <c r="CD218" s="848">
        <f t="shared" si="171"/>
        <v>0</v>
      </c>
      <c r="CE218" s="848">
        <f t="shared" si="171"/>
        <v>1220.0100000000002</v>
      </c>
      <c r="CF218" s="848">
        <f>BO217/AY217%</f>
        <v>51.916666666666664</v>
      </c>
      <c r="CG218" s="848"/>
      <c r="CH218" s="848"/>
      <c r="CI218" s="848"/>
      <c r="CJ218" s="848"/>
      <c r="CK218" s="848"/>
      <c r="CL218" s="848"/>
      <c r="CM218" s="848"/>
      <c r="CN218" s="848"/>
      <c r="CO218" s="848"/>
      <c r="CP218" s="848"/>
      <c r="CQ218" s="848"/>
      <c r="CR218" s="848"/>
      <c r="CS218" s="848"/>
      <c r="CT218" s="848"/>
      <c r="CU218" s="848"/>
      <c r="CV218" s="848"/>
      <c r="CW218" s="848">
        <f t="shared" si="170"/>
        <v>99.59265306122451</v>
      </c>
    </row>
    <row r="219" spans="1:101" s="851" customFormat="1" ht="24.75" customHeight="1">
      <c r="A219" s="845" t="s">
        <v>30</v>
      </c>
      <c r="B219" s="845"/>
      <c r="C219" s="857" t="s">
        <v>358</v>
      </c>
      <c r="D219" s="846">
        <f>SUM(D220:D231)</f>
        <v>0</v>
      </c>
      <c r="E219" s="845">
        <f t="shared" ref="E219" si="173">SUM(E220:E231)</f>
        <v>0</v>
      </c>
      <c r="F219" s="847"/>
      <c r="G219" s="845"/>
      <c r="H219" s="850">
        <f t="shared" si="158"/>
        <v>5202.6860000000006</v>
      </c>
      <c r="I219" s="848">
        <f t="shared" ref="I219:BT219" si="174">SUM(I220:I231)</f>
        <v>0</v>
      </c>
      <c r="J219" s="848">
        <f t="shared" si="174"/>
        <v>0</v>
      </c>
      <c r="K219" s="848">
        <f t="shared" si="174"/>
        <v>0</v>
      </c>
      <c r="L219" s="848">
        <f t="shared" si="174"/>
        <v>0</v>
      </c>
      <c r="M219" s="848">
        <f t="shared" si="174"/>
        <v>0</v>
      </c>
      <c r="N219" s="848">
        <f t="shared" si="174"/>
        <v>0</v>
      </c>
      <c r="O219" s="848">
        <f t="shared" si="174"/>
        <v>0</v>
      </c>
      <c r="P219" s="848">
        <f t="shared" si="174"/>
        <v>0</v>
      </c>
      <c r="Q219" s="848">
        <f t="shared" si="174"/>
        <v>0</v>
      </c>
      <c r="R219" s="848">
        <v>0</v>
      </c>
      <c r="S219" s="848">
        <f t="shared" si="174"/>
        <v>5202.6860000000006</v>
      </c>
      <c r="T219" s="848">
        <f t="shared" si="174"/>
        <v>0</v>
      </c>
      <c r="U219" s="848">
        <f t="shared" si="174"/>
        <v>0</v>
      </c>
      <c r="V219" s="848">
        <f t="shared" si="174"/>
        <v>0</v>
      </c>
      <c r="W219" s="848">
        <f t="shared" si="174"/>
        <v>0</v>
      </c>
      <c r="X219" s="848">
        <f t="shared" si="174"/>
        <v>0</v>
      </c>
      <c r="Y219" s="848">
        <f t="shared" si="174"/>
        <v>0</v>
      </c>
      <c r="Z219" s="848">
        <f t="shared" si="174"/>
        <v>0</v>
      </c>
      <c r="AA219" s="848">
        <f t="shared" si="174"/>
        <v>0</v>
      </c>
      <c r="AB219" s="848">
        <f t="shared" si="174"/>
        <v>0</v>
      </c>
      <c r="AC219" s="848">
        <f t="shared" si="174"/>
        <v>0</v>
      </c>
      <c r="AD219" s="848">
        <f t="shared" si="174"/>
        <v>0</v>
      </c>
      <c r="AE219" s="848">
        <f t="shared" si="174"/>
        <v>0</v>
      </c>
      <c r="AF219" s="848">
        <f t="shared" si="174"/>
        <v>0</v>
      </c>
      <c r="AG219" s="848">
        <f t="shared" si="174"/>
        <v>0</v>
      </c>
      <c r="AH219" s="848">
        <f t="shared" si="174"/>
        <v>0</v>
      </c>
      <c r="AI219" s="848">
        <f t="shared" si="174"/>
        <v>6279</v>
      </c>
      <c r="AJ219" s="848">
        <f t="shared" si="174"/>
        <v>0</v>
      </c>
      <c r="AK219" s="848">
        <f t="shared" si="174"/>
        <v>0</v>
      </c>
      <c r="AL219" s="848">
        <f t="shared" si="174"/>
        <v>0</v>
      </c>
      <c r="AM219" s="848">
        <f t="shared" si="174"/>
        <v>0</v>
      </c>
      <c r="AN219" s="848">
        <f t="shared" si="174"/>
        <v>0</v>
      </c>
      <c r="AO219" s="848">
        <f t="shared" si="174"/>
        <v>0</v>
      </c>
      <c r="AP219" s="848">
        <f t="shared" si="174"/>
        <v>0</v>
      </c>
      <c r="AQ219" s="848">
        <f t="shared" si="174"/>
        <v>0</v>
      </c>
      <c r="AR219" s="848">
        <f t="shared" si="174"/>
        <v>0</v>
      </c>
      <c r="AS219" s="848">
        <f t="shared" si="174"/>
        <v>0</v>
      </c>
      <c r="AT219" s="848">
        <f t="shared" si="174"/>
        <v>0</v>
      </c>
      <c r="AU219" s="848">
        <f t="shared" si="174"/>
        <v>0</v>
      </c>
      <c r="AV219" s="848">
        <f t="shared" si="174"/>
        <v>0</v>
      </c>
      <c r="AW219" s="848">
        <f t="shared" si="174"/>
        <v>0</v>
      </c>
      <c r="AX219" s="848">
        <f t="shared" si="174"/>
        <v>6279</v>
      </c>
      <c r="AY219" s="848">
        <f t="shared" si="174"/>
        <v>1225</v>
      </c>
      <c r="AZ219" s="848">
        <f t="shared" si="174"/>
        <v>0</v>
      </c>
      <c r="BA219" s="848">
        <f t="shared" si="174"/>
        <v>0</v>
      </c>
      <c r="BB219" s="848">
        <f t="shared" si="174"/>
        <v>0</v>
      </c>
      <c r="BC219" s="848">
        <f t="shared" si="174"/>
        <v>0</v>
      </c>
      <c r="BD219" s="848">
        <f t="shared" si="174"/>
        <v>0</v>
      </c>
      <c r="BE219" s="848">
        <f t="shared" si="174"/>
        <v>0</v>
      </c>
      <c r="BF219" s="848">
        <f t="shared" si="174"/>
        <v>0</v>
      </c>
      <c r="BG219" s="848">
        <f t="shared" si="174"/>
        <v>0</v>
      </c>
      <c r="BH219" s="848">
        <f t="shared" si="174"/>
        <v>0</v>
      </c>
      <c r="BI219" s="848">
        <f t="shared" si="174"/>
        <v>0</v>
      </c>
      <c r="BJ219" s="848">
        <f t="shared" si="174"/>
        <v>0</v>
      </c>
      <c r="BK219" s="848">
        <f t="shared" si="174"/>
        <v>0</v>
      </c>
      <c r="BL219" s="848">
        <f t="shared" si="174"/>
        <v>0</v>
      </c>
      <c r="BM219" s="848">
        <f t="shared" si="174"/>
        <v>0</v>
      </c>
      <c r="BN219" s="848">
        <f t="shared" si="174"/>
        <v>1225</v>
      </c>
      <c r="BO219" s="848">
        <f t="shared" si="166"/>
        <v>1220.0100000000002</v>
      </c>
      <c r="BP219" s="848">
        <f t="shared" si="174"/>
        <v>0</v>
      </c>
      <c r="BQ219" s="848">
        <f t="shared" si="174"/>
        <v>0</v>
      </c>
      <c r="BR219" s="848">
        <f t="shared" si="174"/>
        <v>0</v>
      </c>
      <c r="BS219" s="848">
        <f>SUM(BS220:BS231)</f>
        <v>0</v>
      </c>
      <c r="BT219" s="848">
        <f t="shared" si="174"/>
        <v>0</v>
      </c>
      <c r="BU219" s="848">
        <f t="shared" ref="BU219:CS220" si="175">SUM(BU220:BU231)</f>
        <v>0</v>
      </c>
      <c r="BV219" s="848">
        <f t="shared" si="175"/>
        <v>0</v>
      </c>
      <c r="BW219" s="848">
        <f t="shared" si="175"/>
        <v>0</v>
      </c>
      <c r="BX219" s="848">
        <f t="shared" si="175"/>
        <v>0</v>
      </c>
      <c r="BY219" s="848">
        <f t="shared" si="175"/>
        <v>0</v>
      </c>
      <c r="BZ219" s="848">
        <f t="shared" si="175"/>
        <v>0</v>
      </c>
      <c r="CA219" s="848">
        <f t="shared" si="175"/>
        <v>0</v>
      </c>
      <c r="CB219" s="848">
        <f t="shared" si="175"/>
        <v>0</v>
      </c>
      <c r="CC219" s="848">
        <f t="shared" si="175"/>
        <v>0</v>
      </c>
      <c r="CD219" s="848">
        <f t="shared" si="175"/>
        <v>0</v>
      </c>
      <c r="CE219" s="848">
        <f t="shared" si="175"/>
        <v>1220.0100000000002</v>
      </c>
      <c r="CF219" s="848">
        <f t="shared" ref="CF219:CS219" si="176">CF220+CF233</f>
        <v>1265.7513453249139</v>
      </c>
      <c r="CG219" s="848"/>
      <c r="CH219" s="848"/>
      <c r="CI219" s="848"/>
      <c r="CJ219" s="848"/>
      <c r="CK219" s="848"/>
      <c r="CL219" s="848"/>
      <c r="CM219" s="848"/>
      <c r="CN219" s="848"/>
      <c r="CO219" s="848"/>
      <c r="CP219" s="848"/>
      <c r="CQ219" s="848"/>
      <c r="CR219" s="848"/>
      <c r="CS219" s="848">
        <f t="shared" si="176"/>
        <v>0</v>
      </c>
      <c r="CT219" s="848"/>
      <c r="CU219" s="848"/>
      <c r="CV219" s="848"/>
      <c r="CW219" s="848">
        <f t="shared" si="170"/>
        <v>99.59265306122451</v>
      </c>
    </row>
    <row r="220" spans="1:101" s="851" customFormat="1" ht="37.9" customHeight="1">
      <c r="A220" s="845"/>
      <c r="B220" s="852" t="s">
        <v>750</v>
      </c>
      <c r="C220" s="852" t="s">
        <v>751</v>
      </c>
      <c r="D220" s="846"/>
      <c r="E220" s="845"/>
      <c r="F220" s="882">
        <v>2014</v>
      </c>
      <c r="G220" s="883" t="s">
        <v>752</v>
      </c>
      <c r="H220" s="850">
        <f t="shared" si="158"/>
        <v>16.48</v>
      </c>
      <c r="I220" s="859"/>
      <c r="J220" s="848"/>
      <c r="K220" s="848"/>
      <c r="L220" s="848"/>
      <c r="M220" s="848"/>
      <c r="N220" s="848"/>
      <c r="O220" s="848"/>
      <c r="P220" s="848"/>
      <c r="Q220" s="848"/>
      <c r="R220" s="848"/>
      <c r="S220" s="884">
        <v>16.48</v>
      </c>
      <c r="T220" s="855">
        <f t="shared" si="167"/>
        <v>0</v>
      </c>
      <c r="U220" s="848"/>
      <c r="V220" s="848"/>
      <c r="W220" s="848"/>
      <c r="X220" s="848"/>
      <c r="Y220" s="848"/>
      <c r="Z220" s="848"/>
      <c r="AA220" s="848"/>
      <c r="AB220" s="848"/>
      <c r="AC220" s="848"/>
      <c r="AD220" s="848"/>
      <c r="AE220" s="848"/>
      <c r="AF220" s="848"/>
      <c r="AG220" s="848"/>
      <c r="AH220" s="855"/>
      <c r="AI220" s="855">
        <f t="shared" ref="AI220:AI231" si="177">AX220</f>
        <v>129</v>
      </c>
      <c r="AJ220" s="855"/>
      <c r="AK220" s="855"/>
      <c r="AL220" s="855"/>
      <c r="AM220" s="855"/>
      <c r="AN220" s="855"/>
      <c r="AO220" s="855"/>
      <c r="AP220" s="855"/>
      <c r="AQ220" s="855"/>
      <c r="AR220" s="855"/>
      <c r="AS220" s="855"/>
      <c r="AT220" s="855"/>
      <c r="AU220" s="855"/>
      <c r="AV220" s="855"/>
      <c r="AW220" s="855"/>
      <c r="AX220" s="855">
        <v>129</v>
      </c>
      <c r="AY220" s="855">
        <f t="shared" ref="AY220:AY233" si="178">SUM(AZ220:BN220)</f>
        <v>129</v>
      </c>
      <c r="AZ220" s="855"/>
      <c r="BA220" s="855"/>
      <c r="BB220" s="855"/>
      <c r="BC220" s="855"/>
      <c r="BD220" s="855"/>
      <c r="BE220" s="855"/>
      <c r="BF220" s="855"/>
      <c r="BG220" s="855"/>
      <c r="BH220" s="855"/>
      <c r="BI220" s="855"/>
      <c r="BJ220" s="855"/>
      <c r="BK220" s="855"/>
      <c r="BL220" s="855"/>
      <c r="BM220" s="855"/>
      <c r="BN220" s="855">
        <v>129</v>
      </c>
      <c r="BO220" s="848">
        <f t="shared" si="166"/>
        <v>128.14699999999999</v>
      </c>
      <c r="BP220" s="855"/>
      <c r="BQ220" s="855"/>
      <c r="BR220" s="855"/>
      <c r="BS220" s="855"/>
      <c r="BT220" s="855"/>
      <c r="BU220" s="855"/>
      <c r="BV220" s="855"/>
      <c r="BW220" s="855"/>
      <c r="BX220" s="855"/>
      <c r="BY220" s="855"/>
      <c r="BZ220" s="855"/>
      <c r="CA220" s="855"/>
      <c r="CB220" s="855"/>
      <c r="CC220" s="855"/>
      <c r="CD220" s="855"/>
      <c r="CE220" s="855">
        <f>'[10]bieu cu'!M52</f>
        <v>128.14699999999999</v>
      </c>
      <c r="CF220" s="848">
        <f t="shared" si="175"/>
        <v>1166.2563958299645</v>
      </c>
      <c r="CG220" s="848"/>
      <c r="CH220" s="848"/>
      <c r="CI220" s="848"/>
      <c r="CJ220" s="848"/>
      <c r="CK220" s="848"/>
      <c r="CL220" s="848"/>
      <c r="CM220" s="848"/>
      <c r="CN220" s="848"/>
      <c r="CO220" s="848"/>
      <c r="CP220" s="848"/>
      <c r="CQ220" s="848"/>
      <c r="CR220" s="848"/>
      <c r="CS220" s="848">
        <f t="shared" si="175"/>
        <v>0</v>
      </c>
      <c r="CT220" s="848"/>
      <c r="CU220" s="848"/>
      <c r="CV220" s="848"/>
      <c r="CW220" s="848">
        <f t="shared" si="170"/>
        <v>99.338759689922469</v>
      </c>
    </row>
    <row r="221" spans="1:101" ht="37.15" customHeight="1">
      <c r="A221" s="845"/>
      <c r="B221" s="852" t="s">
        <v>750</v>
      </c>
      <c r="C221" s="852" t="s">
        <v>753</v>
      </c>
      <c r="D221" s="846"/>
      <c r="E221" s="845"/>
      <c r="F221" s="853">
        <v>2014</v>
      </c>
      <c r="G221" s="846" t="s">
        <v>754</v>
      </c>
      <c r="H221" s="850">
        <f t="shared" si="158"/>
        <v>16</v>
      </c>
      <c r="I221" s="859"/>
      <c r="J221" s="848"/>
      <c r="K221" s="848"/>
      <c r="L221" s="848"/>
      <c r="M221" s="848"/>
      <c r="N221" s="848"/>
      <c r="O221" s="848"/>
      <c r="P221" s="848"/>
      <c r="Q221" s="848"/>
      <c r="R221" s="848"/>
      <c r="S221" s="860">
        <v>16</v>
      </c>
      <c r="T221" s="855">
        <f t="shared" si="167"/>
        <v>0</v>
      </c>
      <c r="U221" s="848"/>
      <c r="V221" s="848"/>
      <c r="W221" s="848"/>
      <c r="X221" s="848"/>
      <c r="Y221" s="848"/>
      <c r="Z221" s="848"/>
      <c r="AA221" s="848"/>
      <c r="AB221" s="848"/>
      <c r="AC221" s="848"/>
      <c r="AD221" s="848"/>
      <c r="AE221" s="848"/>
      <c r="AF221" s="848"/>
      <c r="AG221" s="848"/>
      <c r="AH221" s="855"/>
      <c r="AI221" s="855">
        <f t="shared" si="177"/>
        <v>639</v>
      </c>
      <c r="AJ221" s="855"/>
      <c r="AK221" s="855"/>
      <c r="AL221" s="855"/>
      <c r="AM221" s="855"/>
      <c r="AN221" s="855"/>
      <c r="AO221" s="855"/>
      <c r="AP221" s="855"/>
      <c r="AQ221" s="855"/>
      <c r="AR221" s="855"/>
      <c r="AS221" s="855"/>
      <c r="AT221" s="855"/>
      <c r="AU221" s="855"/>
      <c r="AV221" s="855"/>
      <c r="AW221" s="855"/>
      <c r="AX221" s="855">
        <v>639</v>
      </c>
      <c r="AY221" s="855">
        <f t="shared" si="178"/>
        <v>639</v>
      </c>
      <c r="AZ221" s="855"/>
      <c r="BA221" s="855"/>
      <c r="BB221" s="855"/>
      <c r="BC221" s="855"/>
      <c r="BD221" s="855"/>
      <c r="BE221" s="855"/>
      <c r="BF221" s="855"/>
      <c r="BG221" s="855"/>
      <c r="BH221" s="855"/>
      <c r="BI221" s="855"/>
      <c r="BJ221" s="855"/>
      <c r="BK221" s="855"/>
      <c r="BL221" s="855"/>
      <c r="BM221" s="855"/>
      <c r="BN221" s="855">
        <v>639</v>
      </c>
      <c r="BO221" s="848">
        <f t="shared" si="166"/>
        <v>639</v>
      </c>
      <c r="BP221" s="855"/>
      <c r="BQ221" s="855"/>
      <c r="BR221" s="855"/>
      <c r="BS221" s="855"/>
      <c r="BT221" s="855"/>
      <c r="BU221" s="855"/>
      <c r="BV221" s="855"/>
      <c r="BW221" s="855"/>
      <c r="BX221" s="855"/>
      <c r="BY221" s="855"/>
      <c r="BZ221" s="855"/>
      <c r="CA221" s="855"/>
      <c r="CB221" s="855"/>
      <c r="CC221" s="855"/>
      <c r="CD221" s="855"/>
      <c r="CE221" s="855">
        <f>'[10]bieu cu'!M53</f>
        <v>639</v>
      </c>
      <c r="CF221" s="848">
        <f t="shared" ref="CF221:CF237" si="179">BO220/AY220%</f>
        <v>99.338759689922469</v>
      </c>
      <c r="CG221" s="848"/>
      <c r="CH221" s="848"/>
      <c r="CI221" s="848"/>
      <c r="CJ221" s="848"/>
      <c r="CK221" s="848"/>
      <c r="CL221" s="848"/>
      <c r="CM221" s="848"/>
      <c r="CN221" s="848"/>
      <c r="CO221" s="848"/>
      <c r="CP221" s="848"/>
      <c r="CQ221" s="848"/>
      <c r="CR221" s="848"/>
      <c r="CS221" s="848"/>
      <c r="CT221" s="848"/>
      <c r="CU221" s="848"/>
      <c r="CV221" s="848"/>
      <c r="CW221" s="848">
        <f t="shared" si="170"/>
        <v>100</v>
      </c>
    </row>
    <row r="222" spans="1:101" ht="46.15" customHeight="1">
      <c r="A222" s="845"/>
      <c r="B222" s="852" t="s">
        <v>750</v>
      </c>
      <c r="C222" s="852" t="s">
        <v>755</v>
      </c>
      <c r="D222" s="846"/>
      <c r="E222" s="845"/>
      <c r="F222" s="882">
        <v>2014</v>
      </c>
      <c r="G222" s="883" t="s">
        <v>756</v>
      </c>
      <c r="H222" s="850">
        <f t="shared" si="158"/>
        <v>308.09800000000001</v>
      </c>
      <c r="I222" s="859"/>
      <c r="J222" s="848"/>
      <c r="K222" s="848"/>
      <c r="L222" s="848"/>
      <c r="M222" s="848"/>
      <c r="N222" s="848"/>
      <c r="O222" s="848"/>
      <c r="P222" s="848"/>
      <c r="Q222" s="848"/>
      <c r="R222" s="848"/>
      <c r="S222" s="884">
        <v>308.09800000000001</v>
      </c>
      <c r="T222" s="855">
        <f t="shared" si="167"/>
        <v>0</v>
      </c>
      <c r="U222" s="848"/>
      <c r="V222" s="848"/>
      <c r="W222" s="848"/>
      <c r="X222" s="848"/>
      <c r="Y222" s="848"/>
      <c r="Z222" s="848"/>
      <c r="AA222" s="848"/>
      <c r="AB222" s="848"/>
      <c r="AC222" s="848"/>
      <c r="AD222" s="848"/>
      <c r="AE222" s="848"/>
      <c r="AF222" s="848"/>
      <c r="AG222" s="848"/>
      <c r="AH222" s="855"/>
      <c r="AI222" s="855">
        <f t="shared" si="177"/>
        <v>6</v>
      </c>
      <c r="AJ222" s="855"/>
      <c r="AK222" s="855"/>
      <c r="AL222" s="855"/>
      <c r="AM222" s="855"/>
      <c r="AN222" s="855"/>
      <c r="AO222" s="855"/>
      <c r="AP222" s="855"/>
      <c r="AQ222" s="855"/>
      <c r="AR222" s="855"/>
      <c r="AS222" s="855"/>
      <c r="AT222" s="855"/>
      <c r="AU222" s="855"/>
      <c r="AV222" s="855"/>
      <c r="AW222" s="855"/>
      <c r="AX222" s="855">
        <v>6</v>
      </c>
      <c r="AY222" s="855">
        <f t="shared" si="178"/>
        <v>6</v>
      </c>
      <c r="AZ222" s="855"/>
      <c r="BA222" s="855"/>
      <c r="BB222" s="855"/>
      <c r="BC222" s="855"/>
      <c r="BD222" s="855"/>
      <c r="BE222" s="855"/>
      <c r="BF222" s="855"/>
      <c r="BG222" s="855"/>
      <c r="BH222" s="855"/>
      <c r="BI222" s="855"/>
      <c r="BJ222" s="855"/>
      <c r="BK222" s="855"/>
      <c r="BL222" s="855"/>
      <c r="BM222" s="855"/>
      <c r="BN222" s="855">
        <v>6</v>
      </c>
      <c r="BO222" s="848">
        <f t="shared" si="166"/>
        <v>5.2190000000000003</v>
      </c>
      <c r="BP222" s="855"/>
      <c r="BQ222" s="855"/>
      <c r="BR222" s="855"/>
      <c r="BS222" s="855"/>
      <c r="BT222" s="855"/>
      <c r="BU222" s="855"/>
      <c r="BV222" s="855"/>
      <c r="BW222" s="855"/>
      <c r="BX222" s="855"/>
      <c r="BY222" s="855"/>
      <c r="BZ222" s="855"/>
      <c r="CA222" s="855"/>
      <c r="CB222" s="855"/>
      <c r="CC222" s="855"/>
      <c r="CD222" s="855"/>
      <c r="CE222" s="855">
        <v>5.2190000000000003</v>
      </c>
      <c r="CF222" s="848">
        <f t="shared" si="179"/>
        <v>100</v>
      </c>
      <c r="CG222" s="848"/>
      <c r="CH222" s="848"/>
      <c r="CI222" s="848"/>
      <c r="CJ222" s="848"/>
      <c r="CK222" s="848"/>
      <c r="CL222" s="848"/>
      <c r="CM222" s="848"/>
      <c r="CN222" s="848"/>
      <c r="CO222" s="848"/>
      <c r="CP222" s="848"/>
      <c r="CQ222" s="848"/>
      <c r="CR222" s="848"/>
      <c r="CS222" s="848"/>
      <c r="CT222" s="848"/>
      <c r="CU222" s="848"/>
      <c r="CV222" s="848"/>
      <c r="CW222" s="848">
        <f t="shared" si="170"/>
        <v>86.983333333333334</v>
      </c>
    </row>
    <row r="223" spans="1:101" ht="49.9" customHeight="1">
      <c r="A223" s="845"/>
      <c r="B223" s="852" t="s">
        <v>750</v>
      </c>
      <c r="C223" s="852" t="s">
        <v>757</v>
      </c>
      <c r="D223" s="846"/>
      <c r="E223" s="845"/>
      <c r="F223" s="882">
        <v>2014</v>
      </c>
      <c r="G223" s="883" t="s">
        <v>758</v>
      </c>
      <c r="H223" s="850">
        <f t="shared" si="158"/>
        <v>249.90299999999999</v>
      </c>
      <c r="I223" s="859"/>
      <c r="J223" s="848"/>
      <c r="K223" s="848"/>
      <c r="L223" s="848"/>
      <c r="M223" s="848"/>
      <c r="N223" s="848"/>
      <c r="O223" s="848"/>
      <c r="P223" s="848"/>
      <c r="Q223" s="848"/>
      <c r="R223" s="848"/>
      <c r="S223" s="884">
        <v>249.90299999999999</v>
      </c>
      <c r="T223" s="855">
        <f t="shared" si="167"/>
        <v>0</v>
      </c>
      <c r="U223" s="848"/>
      <c r="V223" s="848"/>
      <c r="W223" s="848"/>
      <c r="X223" s="848"/>
      <c r="Y223" s="848"/>
      <c r="Z223" s="848"/>
      <c r="AA223" s="848"/>
      <c r="AB223" s="848"/>
      <c r="AC223" s="848"/>
      <c r="AD223" s="848"/>
      <c r="AE223" s="848"/>
      <c r="AF223" s="848"/>
      <c r="AG223" s="848"/>
      <c r="AH223" s="855"/>
      <c r="AI223" s="855">
        <f t="shared" si="177"/>
        <v>1</v>
      </c>
      <c r="AJ223" s="855"/>
      <c r="AK223" s="855"/>
      <c r="AL223" s="855"/>
      <c r="AM223" s="855"/>
      <c r="AN223" s="855"/>
      <c r="AO223" s="855"/>
      <c r="AP223" s="855"/>
      <c r="AQ223" s="855"/>
      <c r="AR223" s="855"/>
      <c r="AS223" s="855"/>
      <c r="AT223" s="855"/>
      <c r="AU223" s="855"/>
      <c r="AV223" s="855"/>
      <c r="AW223" s="855"/>
      <c r="AX223" s="855">
        <v>1</v>
      </c>
      <c r="AY223" s="855">
        <f t="shared" si="178"/>
        <v>1</v>
      </c>
      <c r="AZ223" s="855"/>
      <c r="BA223" s="855"/>
      <c r="BB223" s="855"/>
      <c r="BC223" s="855"/>
      <c r="BD223" s="855"/>
      <c r="BE223" s="855"/>
      <c r="BF223" s="855"/>
      <c r="BG223" s="855"/>
      <c r="BH223" s="855"/>
      <c r="BI223" s="855"/>
      <c r="BJ223" s="855"/>
      <c r="BK223" s="855"/>
      <c r="BL223" s="855"/>
      <c r="BM223" s="855"/>
      <c r="BN223" s="855">
        <v>1</v>
      </c>
      <c r="BO223" s="848">
        <f t="shared" si="166"/>
        <v>0.95</v>
      </c>
      <c r="BP223" s="855"/>
      <c r="BQ223" s="855"/>
      <c r="BR223" s="855"/>
      <c r="BS223" s="855"/>
      <c r="BT223" s="855"/>
      <c r="BU223" s="855"/>
      <c r="BV223" s="855"/>
      <c r="BW223" s="855"/>
      <c r="BX223" s="855"/>
      <c r="BY223" s="855"/>
      <c r="BZ223" s="855"/>
      <c r="CA223" s="855"/>
      <c r="CB223" s="855"/>
      <c r="CC223" s="855"/>
      <c r="CD223" s="855"/>
      <c r="CE223" s="855">
        <v>0.95</v>
      </c>
      <c r="CF223" s="848">
        <f t="shared" si="179"/>
        <v>86.983333333333348</v>
      </c>
      <c r="CG223" s="848"/>
      <c r="CH223" s="848"/>
      <c r="CI223" s="848"/>
      <c r="CJ223" s="848"/>
      <c r="CK223" s="848"/>
      <c r="CL223" s="848"/>
      <c r="CM223" s="848"/>
      <c r="CN223" s="848"/>
      <c r="CO223" s="848"/>
      <c r="CP223" s="848"/>
      <c r="CQ223" s="848"/>
      <c r="CR223" s="848"/>
      <c r="CS223" s="848"/>
      <c r="CT223" s="848"/>
      <c r="CU223" s="848"/>
      <c r="CV223" s="848"/>
      <c r="CW223" s="848">
        <f t="shared" si="170"/>
        <v>95</v>
      </c>
    </row>
    <row r="224" spans="1:101" ht="40.15" customHeight="1">
      <c r="A224" s="845"/>
      <c r="B224" s="852" t="s">
        <v>750</v>
      </c>
      <c r="C224" s="852" t="s">
        <v>759</v>
      </c>
      <c r="D224" s="846"/>
      <c r="E224" s="845"/>
      <c r="F224" s="882">
        <v>2014</v>
      </c>
      <c r="G224" s="883" t="s">
        <v>752</v>
      </c>
      <c r="H224" s="850">
        <f t="shared" si="158"/>
        <v>16.48</v>
      </c>
      <c r="I224" s="859"/>
      <c r="J224" s="848"/>
      <c r="K224" s="848"/>
      <c r="L224" s="848"/>
      <c r="M224" s="848"/>
      <c r="N224" s="848"/>
      <c r="O224" s="848"/>
      <c r="P224" s="848"/>
      <c r="Q224" s="848"/>
      <c r="R224" s="848"/>
      <c r="S224" s="884">
        <v>16.48</v>
      </c>
      <c r="T224" s="855">
        <f t="shared" si="167"/>
        <v>0</v>
      </c>
      <c r="U224" s="848"/>
      <c r="V224" s="848"/>
      <c r="W224" s="848"/>
      <c r="X224" s="848"/>
      <c r="Y224" s="848"/>
      <c r="Z224" s="848"/>
      <c r="AA224" s="848"/>
      <c r="AB224" s="848"/>
      <c r="AC224" s="848"/>
      <c r="AD224" s="848"/>
      <c r="AE224" s="848"/>
      <c r="AF224" s="848"/>
      <c r="AG224" s="848"/>
      <c r="AH224" s="855"/>
      <c r="AI224" s="855">
        <f t="shared" si="177"/>
        <v>16</v>
      </c>
      <c r="AJ224" s="855"/>
      <c r="AK224" s="855"/>
      <c r="AL224" s="855"/>
      <c r="AM224" s="855"/>
      <c r="AN224" s="855"/>
      <c r="AO224" s="855"/>
      <c r="AP224" s="855"/>
      <c r="AQ224" s="855"/>
      <c r="AR224" s="855"/>
      <c r="AS224" s="855"/>
      <c r="AT224" s="855"/>
      <c r="AU224" s="855"/>
      <c r="AV224" s="855"/>
      <c r="AW224" s="855"/>
      <c r="AX224" s="855">
        <v>16</v>
      </c>
      <c r="AY224" s="855">
        <f t="shared" si="178"/>
        <v>16</v>
      </c>
      <c r="AZ224" s="855"/>
      <c r="BA224" s="855"/>
      <c r="BB224" s="855"/>
      <c r="BC224" s="855"/>
      <c r="BD224" s="855"/>
      <c r="BE224" s="855"/>
      <c r="BF224" s="855"/>
      <c r="BG224" s="855"/>
      <c r="BH224" s="855"/>
      <c r="BI224" s="855"/>
      <c r="BJ224" s="855"/>
      <c r="BK224" s="855"/>
      <c r="BL224" s="855"/>
      <c r="BM224" s="855"/>
      <c r="BN224" s="855">
        <v>16</v>
      </c>
      <c r="BO224" s="848">
        <f t="shared" si="166"/>
        <v>15.505000000000001</v>
      </c>
      <c r="BP224" s="855"/>
      <c r="BQ224" s="855"/>
      <c r="BR224" s="855"/>
      <c r="BS224" s="855"/>
      <c r="BT224" s="855"/>
      <c r="BU224" s="855"/>
      <c r="BV224" s="855"/>
      <c r="BW224" s="855"/>
      <c r="BX224" s="855"/>
      <c r="BY224" s="855"/>
      <c r="BZ224" s="855"/>
      <c r="CA224" s="855"/>
      <c r="CB224" s="855"/>
      <c r="CC224" s="855"/>
      <c r="CD224" s="855"/>
      <c r="CE224" s="855">
        <v>15.505000000000001</v>
      </c>
      <c r="CF224" s="848">
        <f t="shared" si="179"/>
        <v>95</v>
      </c>
      <c r="CG224" s="848"/>
      <c r="CH224" s="848"/>
      <c r="CI224" s="848"/>
      <c r="CJ224" s="848"/>
      <c r="CK224" s="848"/>
      <c r="CL224" s="848"/>
      <c r="CM224" s="848"/>
      <c r="CN224" s="848"/>
      <c r="CO224" s="848"/>
      <c r="CP224" s="848"/>
      <c r="CQ224" s="848"/>
      <c r="CR224" s="848"/>
      <c r="CS224" s="848"/>
      <c r="CT224" s="848"/>
      <c r="CU224" s="848"/>
      <c r="CV224" s="848"/>
      <c r="CW224" s="848">
        <f t="shared" si="170"/>
        <v>96.90625</v>
      </c>
    </row>
    <row r="225" spans="1:101" ht="39" customHeight="1">
      <c r="A225" s="845"/>
      <c r="B225" s="852" t="s">
        <v>750</v>
      </c>
      <c r="C225" s="852" t="s">
        <v>760</v>
      </c>
      <c r="D225" s="846"/>
      <c r="E225" s="845"/>
      <c r="F225" s="882">
        <v>2015</v>
      </c>
      <c r="G225" s="883" t="s">
        <v>761</v>
      </c>
      <c r="H225" s="850">
        <f t="shared" si="158"/>
        <v>785.69799999999998</v>
      </c>
      <c r="I225" s="859"/>
      <c r="J225" s="848"/>
      <c r="K225" s="848"/>
      <c r="L225" s="848"/>
      <c r="M225" s="848"/>
      <c r="N225" s="848"/>
      <c r="O225" s="848"/>
      <c r="P225" s="848"/>
      <c r="Q225" s="848"/>
      <c r="R225" s="848"/>
      <c r="S225" s="884">
        <v>785.69799999999998</v>
      </c>
      <c r="T225" s="855">
        <f t="shared" si="167"/>
        <v>0</v>
      </c>
      <c r="U225" s="848"/>
      <c r="V225" s="848"/>
      <c r="W225" s="848"/>
      <c r="X225" s="848"/>
      <c r="Y225" s="848"/>
      <c r="Z225" s="848"/>
      <c r="AA225" s="848"/>
      <c r="AB225" s="848"/>
      <c r="AC225" s="848"/>
      <c r="AD225" s="848"/>
      <c r="AE225" s="848"/>
      <c r="AF225" s="848"/>
      <c r="AG225" s="848"/>
      <c r="AH225" s="855"/>
      <c r="AI225" s="855">
        <f t="shared" si="177"/>
        <v>33</v>
      </c>
      <c r="AJ225" s="855"/>
      <c r="AK225" s="855"/>
      <c r="AL225" s="855"/>
      <c r="AM225" s="855"/>
      <c r="AN225" s="855"/>
      <c r="AO225" s="855"/>
      <c r="AP225" s="855"/>
      <c r="AQ225" s="855"/>
      <c r="AR225" s="855"/>
      <c r="AS225" s="855"/>
      <c r="AT225" s="855"/>
      <c r="AU225" s="855"/>
      <c r="AV225" s="855"/>
      <c r="AW225" s="855"/>
      <c r="AX225" s="855">
        <v>33</v>
      </c>
      <c r="AY225" s="855">
        <f t="shared" si="178"/>
        <v>33</v>
      </c>
      <c r="AZ225" s="855"/>
      <c r="BA225" s="855"/>
      <c r="BB225" s="855"/>
      <c r="BC225" s="855"/>
      <c r="BD225" s="855"/>
      <c r="BE225" s="855"/>
      <c r="BF225" s="855"/>
      <c r="BG225" s="855"/>
      <c r="BH225" s="855"/>
      <c r="BI225" s="855"/>
      <c r="BJ225" s="855"/>
      <c r="BK225" s="855"/>
      <c r="BL225" s="855"/>
      <c r="BM225" s="855"/>
      <c r="BN225" s="855">
        <v>33</v>
      </c>
      <c r="BO225" s="848">
        <f t="shared" si="166"/>
        <v>32.152000000000001</v>
      </c>
      <c r="BP225" s="855"/>
      <c r="BQ225" s="855"/>
      <c r="BR225" s="855"/>
      <c r="BS225" s="855"/>
      <c r="BT225" s="855"/>
      <c r="BU225" s="855"/>
      <c r="BV225" s="855"/>
      <c r="BW225" s="855"/>
      <c r="BX225" s="855"/>
      <c r="BY225" s="855"/>
      <c r="BZ225" s="855"/>
      <c r="CA225" s="855"/>
      <c r="CB225" s="855"/>
      <c r="CC225" s="855"/>
      <c r="CD225" s="855"/>
      <c r="CE225" s="855">
        <v>32.152000000000001</v>
      </c>
      <c r="CF225" s="848">
        <f t="shared" si="179"/>
        <v>96.90625</v>
      </c>
      <c r="CG225" s="848"/>
      <c r="CH225" s="848"/>
      <c r="CI225" s="848"/>
      <c r="CJ225" s="848"/>
      <c r="CK225" s="848"/>
      <c r="CL225" s="848"/>
      <c r="CM225" s="848"/>
      <c r="CN225" s="848"/>
      <c r="CO225" s="848"/>
      <c r="CP225" s="848"/>
      <c r="CQ225" s="848"/>
      <c r="CR225" s="848"/>
      <c r="CS225" s="848"/>
      <c r="CT225" s="848"/>
      <c r="CU225" s="848"/>
      <c r="CV225" s="848"/>
      <c r="CW225" s="848">
        <f t="shared" si="170"/>
        <v>97.430303030303037</v>
      </c>
    </row>
    <row r="226" spans="1:101" ht="34.9" customHeight="1">
      <c r="A226" s="845"/>
      <c r="B226" s="852" t="s">
        <v>750</v>
      </c>
      <c r="C226" s="852" t="s">
        <v>762</v>
      </c>
      <c r="D226" s="846"/>
      <c r="E226" s="845"/>
      <c r="F226" s="882">
        <v>2014</v>
      </c>
      <c r="G226" s="883" t="s">
        <v>763</v>
      </c>
      <c r="H226" s="850">
        <f t="shared" si="158"/>
        <v>492.02499999999998</v>
      </c>
      <c r="I226" s="859"/>
      <c r="J226" s="848"/>
      <c r="K226" s="848"/>
      <c r="L226" s="848"/>
      <c r="M226" s="848"/>
      <c r="N226" s="848"/>
      <c r="O226" s="848"/>
      <c r="P226" s="848"/>
      <c r="Q226" s="848"/>
      <c r="R226" s="848"/>
      <c r="S226" s="884">
        <v>492.02499999999998</v>
      </c>
      <c r="T226" s="855">
        <f t="shared" si="167"/>
        <v>0</v>
      </c>
      <c r="U226" s="848"/>
      <c r="V226" s="848"/>
      <c r="W226" s="848"/>
      <c r="X226" s="848"/>
      <c r="Y226" s="848"/>
      <c r="Z226" s="848"/>
      <c r="AA226" s="848"/>
      <c r="AB226" s="848"/>
      <c r="AC226" s="848"/>
      <c r="AD226" s="848"/>
      <c r="AE226" s="848"/>
      <c r="AF226" s="848"/>
      <c r="AG226" s="848"/>
      <c r="AH226" s="855"/>
      <c r="AI226" s="855">
        <f t="shared" si="177"/>
        <v>2</v>
      </c>
      <c r="AJ226" s="855"/>
      <c r="AK226" s="855"/>
      <c r="AL226" s="855"/>
      <c r="AM226" s="855"/>
      <c r="AN226" s="855"/>
      <c r="AO226" s="855"/>
      <c r="AP226" s="855"/>
      <c r="AQ226" s="855"/>
      <c r="AR226" s="855"/>
      <c r="AS226" s="855"/>
      <c r="AT226" s="855"/>
      <c r="AU226" s="855"/>
      <c r="AV226" s="855"/>
      <c r="AW226" s="855"/>
      <c r="AX226" s="855">
        <v>2</v>
      </c>
      <c r="AY226" s="855">
        <f t="shared" si="178"/>
        <v>2</v>
      </c>
      <c r="AZ226" s="855"/>
      <c r="BA226" s="855"/>
      <c r="BB226" s="855"/>
      <c r="BC226" s="855"/>
      <c r="BD226" s="855"/>
      <c r="BE226" s="855"/>
      <c r="BF226" s="855"/>
      <c r="BG226" s="855"/>
      <c r="BH226" s="855"/>
      <c r="BI226" s="855"/>
      <c r="BJ226" s="855"/>
      <c r="BK226" s="855"/>
      <c r="BL226" s="855"/>
      <c r="BM226" s="855"/>
      <c r="BN226" s="855">
        <v>2</v>
      </c>
      <c r="BO226" s="848">
        <f t="shared" si="166"/>
        <v>1.87</v>
      </c>
      <c r="BP226" s="855"/>
      <c r="BQ226" s="855"/>
      <c r="BR226" s="855"/>
      <c r="BS226" s="855"/>
      <c r="BT226" s="855"/>
      <c r="BU226" s="855"/>
      <c r="BV226" s="855"/>
      <c r="BW226" s="855"/>
      <c r="BX226" s="855"/>
      <c r="BY226" s="855"/>
      <c r="BZ226" s="855"/>
      <c r="CA226" s="855"/>
      <c r="CB226" s="855"/>
      <c r="CC226" s="855"/>
      <c r="CD226" s="855"/>
      <c r="CE226" s="855">
        <v>1.87</v>
      </c>
      <c r="CF226" s="848">
        <f t="shared" si="179"/>
        <v>97.430303030303023</v>
      </c>
      <c r="CG226" s="848"/>
      <c r="CH226" s="848"/>
      <c r="CI226" s="848"/>
      <c r="CJ226" s="848"/>
      <c r="CK226" s="848"/>
      <c r="CL226" s="848"/>
      <c r="CM226" s="848"/>
      <c r="CN226" s="848"/>
      <c r="CO226" s="848"/>
      <c r="CP226" s="848"/>
      <c r="CQ226" s="848"/>
      <c r="CR226" s="848"/>
      <c r="CS226" s="848"/>
      <c r="CT226" s="848"/>
      <c r="CU226" s="848"/>
      <c r="CV226" s="848"/>
      <c r="CW226" s="848">
        <f t="shared" si="170"/>
        <v>93.5</v>
      </c>
    </row>
    <row r="227" spans="1:101" ht="43.9" customHeight="1">
      <c r="A227" s="845"/>
      <c r="B227" s="852" t="s">
        <v>750</v>
      </c>
      <c r="C227" s="852" t="s">
        <v>764</v>
      </c>
      <c r="D227" s="846"/>
      <c r="E227" s="845"/>
      <c r="F227" s="882">
        <v>2014</v>
      </c>
      <c r="G227" s="883" t="s">
        <v>765</v>
      </c>
      <c r="H227" s="850">
        <f t="shared" si="158"/>
        <v>261.08600000000001</v>
      </c>
      <c r="I227" s="859"/>
      <c r="J227" s="848"/>
      <c r="K227" s="848"/>
      <c r="L227" s="848"/>
      <c r="M227" s="848"/>
      <c r="N227" s="848"/>
      <c r="O227" s="848"/>
      <c r="P227" s="848"/>
      <c r="Q227" s="848"/>
      <c r="R227" s="848"/>
      <c r="S227" s="884">
        <v>261.08600000000001</v>
      </c>
      <c r="T227" s="855">
        <f t="shared" si="167"/>
        <v>0</v>
      </c>
      <c r="U227" s="848"/>
      <c r="V227" s="848"/>
      <c r="W227" s="848"/>
      <c r="X227" s="848"/>
      <c r="Y227" s="848"/>
      <c r="Z227" s="848"/>
      <c r="AA227" s="848"/>
      <c r="AB227" s="848"/>
      <c r="AC227" s="848"/>
      <c r="AD227" s="848"/>
      <c r="AE227" s="848"/>
      <c r="AF227" s="848"/>
      <c r="AG227" s="848"/>
      <c r="AH227" s="855"/>
      <c r="AI227" s="855">
        <f t="shared" si="177"/>
        <v>60</v>
      </c>
      <c r="AJ227" s="855"/>
      <c r="AK227" s="855"/>
      <c r="AL227" s="855"/>
      <c r="AM227" s="855"/>
      <c r="AN227" s="855"/>
      <c r="AO227" s="855"/>
      <c r="AP227" s="855"/>
      <c r="AQ227" s="855"/>
      <c r="AR227" s="855"/>
      <c r="AS227" s="855"/>
      <c r="AT227" s="855"/>
      <c r="AU227" s="855"/>
      <c r="AV227" s="855"/>
      <c r="AW227" s="855"/>
      <c r="AX227" s="855">
        <v>60</v>
      </c>
      <c r="AY227" s="855">
        <f t="shared" si="178"/>
        <v>60</v>
      </c>
      <c r="AZ227" s="855"/>
      <c r="BA227" s="855"/>
      <c r="BB227" s="855"/>
      <c r="BC227" s="855"/>
      <c r="BD227" s="855"/>
      <c r="BE227" s="855"/>
      <c r="BF227" s="855"/>
      <c r="BG227" s="855"/>
      <c r="BH227" s="855"/>
      <c r="BI227" s="855"/>
      <c r="BJ227" s="855"/>
      <c r="BK227" s="855"/>
      <c r="BL227" s="855"/>
      <c r="BM227" s="855"/>
      <c r="BN227" s="855">
        <v>60</v>
      </c>
      <c r="BO227" s="848">
        <f t="shared" si="166"/>
        <v>59.927999999999997</v>
      </c>
      <c r="BP227" s="855"/>
      <c r="BQ227" s="855"/>
      <c r="BR227" s="855"/>
      <c r="BS227" s="855"/>
      <c r="BT227" s="855"/>
      <c r="BU227" s="855"/>
      <c r="BV227" s="855"/>
      <c r="BW227" s="855"/>
      <c r="BX227" s="855"/>
      <c r="BY227" s="855"/>
      <c r="BZ227" s="855"/>
      <c r="CA227" s="855"/>
      <c r="CB227" s="855"/>
      <c r="CC227" s="855"/>
      <c r="CD227" s="855"/>
      <c r="CE227" s="855">
        <v>59.927999999999997</v>
      </c>
      <c r="CF227" s="848">
        <f t="shared" si="179"/>
        <v>93.5</v>
      </c>
      <c r="CG227" s="848"/>
      <c r="CH227" s="848"/>
      <c r="CI227" s="848"/>
      <c r="CJ227" s="848"/>
      <c r="CK227" s="848"/>
      <c r="CL227" s="848"/>
      <c r="CM227" s="848"/>
      <c r="CN227" s="848"/>
      <c r="CO227" s="848"/>
      <c r="CP227" s="848"/>
      <c r="CQ227" s="848"/>
      <c r="CR227" s="848"/>
      <c r="CS227" s="848"/>
      <c r="CT227" s="848"/>
      <c r="CU227" s="848"/>
      <c r="CV227" s="848"/>
      <c r="CW227" s="848">
        <f t="shared" si="170"/>
        <v>99.88</v>
      </c>
    </row>
    <row r="228" spans="1:101" ht="40.15" customHeight="1">
      <c r="A228" s="845"/>
      <c r="B228" s="852" t="s">
        <v>750</v>
      </c>
      <c r="C228" s="852" t="s">
        <v>766</v>
      </c>
      <c r="D228" s="846"/>
      <c r="E228" s="845"/>
      <c r="F228" s="882">
        <v>2014</v>
      </c>
      <c r="G228" s="883" t="s">
        <v>767</v>
      </c>
      <c r="H228" s="850">
        <f t="shared" si="158"/>
        <v>1051.93</v>
      </c>
      <c r="I228" s="859"/>
      <c r="J228" s="848"/>
      <c r="K228" s="848"/>
      <c r="L228" s="848"/>
      <c r="M228" s="848"/>
      <c r="N228" s="848"/>
      <c r="O228" s="848"/>
      <c r="P228" s="848"/>
      <c r="Q228" s="848"/>
      <c r="R228" s="848"/>
      <c r="S228" s="884">
        <v>1051.93</v>
      </c>
      <c r="T228" s="855">
        <f t="shared" si="167"/>
        <v>0</v>
      </c>
      <c r="U228" s="848"/>
      <c r="V228" s="848"/>
      <c r="W228" s="848"/>
      <c r="X228" s="848"/>
      <c r="Y228" s="848"/>
      <c r="Z228" s="848"/>
      <c r="AA228" s="848"/>
      <c r="AB228" s="848"/>
      <c r="AC228" s="848"/>
      <c r="AD228" s="848"/>
      <c r="AE228" s="848"/>
      <c r="AF228" s="848"/>
      <c r="AG228" s="848"/>
      <c r="AH228" s="855"/>
      <c r="AI228" s="855">
        <f t="shared" si="177"/>
        <v>92</v>
      </c>
      <c r="AJ228" s="855"/>
      <c r="AK228" s="855"/>
      <c r="AL228" s="855"/>
      <c r="AM228" s="855"/>
      <c r="AN228" s="855"/>
      <c r="AO228" s="855"/>
      <c r="AP228" s="855"/>
      <c r="AQ228" s="855"/>
      <c r="AR228" s="855"/>
      <c r="AS228" s="855"/>
      <c r="AT228" s="855"/>
      <c r="AU228" s="855"/>
      <c r="AV228" s="855"/>
      <c r="AW228" s="855"/>
      <c r="AX228" s="855">
        <v>92</v>
      </c>
      <c r="AY228" s="855">
        <f t="shared" si="178"/>
        <v>92</v>
      </c>
      <c r="AZ228" s="855"/>
      <c r="BA228" s="855"/>
      <c r="BB228" s="855"/>
      <c r="BC228" s="855"/>
      <c r="BD228" s="855"/>
      <c r="BE228" s="855"/>
      <c r="BF228" s="855"/>
      <c r="BG228" s="855"/>
      <c r="BH228" s="855"/>
      <c r="BI228" s="855"/>
      <c r="BJ228" s="855"/>
      <c r="BK228" s="855"/>
      <c r="BL228" s="855"/>
      <c r="BM228" s="855"/>
      <c r="BN228" s="855">
        <v>92</v>
      </c>
      <c r="BO228" s="848">
        <f t="shared" si="166"/>
        <v>91.515000000000001</v>
      </c>
      <c r="BP228" s="855"/>
      <c r="BQ228" s="855"/>
      <c r="BR228" s="855"/>
      <c r="BS228" s="855"/>
      <c r="BT228" s="855"/>
      <c r="BU228" s="855"/>
      <c r="BV228" s="855"/>
      <c r="BW228" s="855"/>
      <c r="BX228" s="855"/>
      <c r="BY228" s="855"/>
      <c r="BZ228" s="855"/>
      <c r="CA228" s="855"/>
      <c r="CB228" s="855"/>
      <c r="CC228" s="855"/>
      <c r="CD228" s="855"/>
      <c r="CE228" s="855">
        <v>91.515000000000001</v>
      </c>
      <c r="CF228" s="848">
        <f t="shared" si="179"/>
        <v>99.88</v>
      </c>
      <c r="CG228" s="848"/>
      <c r="CH228" s="848"/>
      <c r="CI228" s="848"/>
      <c r="CJ228" s="848"/>
      <c r="CK228" s="848"/>
      <c r="CL228" s="848"/>
      <c r="CM228" s="848"/>
      <c r="CN228" s="848"/>
      <c r="CO228" s="848"/>
      <c r="CP228" s="848"/>
      <c r="CQ228" s="848"/>
      <c r="CR228" s="848"/>
      <c r="CS228" s="848"/>
      <c r="CT228" s="848"/>
      <c r="CU228" s="848"/>
      <c r="CV228" s="848"/>
      <c r="CW228" s="848">
        <f t="shared" si="170"/>
        <v>99.472826086956516</v>
      </c>
    </row>
    <row r="229" spans="1:101" ht="43.15" customHeight="1">
      <c r="A229" s="845"/>
      <c r="B229" s="852" t="s">
        <v>750</v>
      </c>
      <c r="C229" s="852" t="s">
        <v>768</v>
      </c>
      <c r="D229" s="846"/>
      <c r="E229" s="845"/>
      <c r="F229" s="882">
        <v>2014</v>
      </c>
      <c r="G229" s="883" t="s">
        <v>769</v>
      </c>
      <c r="H229" s="850">
        <f t="shared" si="158"/>
        <v>991.12</v>
      </c>
      <c r="I229" s="859"/>
      <c r="J229" s="848"/>
      <c r="K229" s="848"/>
      <c r="L229" s="848"/>
      <c r="M229" s="848"/>
      <c r="N229" s="848"/>
      <c r="O229" s="848"/>
      <c r="P229" s="848"/>
      <c r="Q229" s="848"/>
      <c r="R229" s="848"/>
      <c r="S229" s="884">
        <v>991.12</v>
      </c>
      <c r="T229" s="855">
        <f t="shared" si="167"/>
        <v>0</v>
      </c>
      <c r="U229" s="848"/>
      <c r="V229" s="848"/>
      <c r="W229" s="848"/>
      <c r="X229" s="848"/>
      <c r="Y229" s="848"/>
      <c r="Z229" s="848"/>
      <c r="AA229" s="848"/>
      <c r="AB229" s="848"/>
      <c r="AC229" s="848"/>
      <c r="AD229" s="848"/>
      <c r="AE229" s="848"/>
      <c r="AF229" s="848"/>
      <c r="AG229" s="848"/>
      <c r="AH229" s="855"/>
      <c r="AI229" s="855">
        <f t="shared" si="177"/>
        <v>5191</v>
      </c>
      <c r="AJ229" s="855"/>
      <c r="AK229" s="855"/>
      <c r="AL229" s="855"/>
      <c r="AM229" s="855"/>
      <c r="AN229" s="855"/>
      <c r="AO229" s="855"/>
      <c r="AP229" s="855"/>
      <c r="AQ229" s="855"/>
      <c r="AR229" s="855"/>
      <c r="AS229" s="855"/>
      <c r="AT229" s="855"/>
      <c r="AU229" s="855"/>
      <c r="AV229" s="855"/>
      <c r="AW229" s="855"/>
      <c r="AX229" s="855">
        <v>5191</v>
      </c>
      <c r="AY229" s="855">
        <f t="shared" si="178"/>
        <v>137</v>
      </c>
      <c r="AZ229" s="855"/>
      <c r="BA229" s="855"/>
      <c r="BB229" s="855"/>
      <c r="BC229" s="855"/>
      <c r="BD229" s="855"/>
      <c r="BE229" s="855"/>
      <c r="BF229" s="855"/>
      <c r="BG229" s="855"/>
      <c r="BH229" s="855"/>
      <c r="BI229" s="855"/>
      <c r="BJ229" s="855"/>
      <c r="BK229" s="855"/>
      <c r="BL229" s="855"/>
      <c r="BM229" s="855"/>
      <c r="BN229" s="855">
        <v>137</v>
      </c>
      <c r="BO229" s="848">
        <f t="shared" si="166"/>
        <v>136.66300000000001</v>
      </c>
      <c r="BP229" s="855"/>
      <c r="BQ229" s="855"/>
      <c r="BR229" s="855"/>
      <c r="BS229" s="855"/>
      <c r="BT229" s="855"/>
      <c r="BU229" s="855"/>
      <c r="BV229" s="855"/>
      <c r="BW229" s="855"/>
      <c r="BX229" s="855"/>
      <c r="BY229" s="855"/>
      <c r="BZ229" s="855"/>
      <c r="CA229" s="855"/>
      <c r="CB229" s="855"/>
      <c r="CC229" s="855"/>
      <c r="CD229" s="855"/>
      <c r="CE229" s="855">
        <v>136.66300000000001</v>
      </c>
      <c r="CF229" s="848">
        <f t="shared" si="179"/>
        <v>99.472826086956516</v>
      </c>
      <c r="CG229" s="848"/>
      <c r="CH229" s="848"/>
      <c r="CI229" s="848"/>
      <c r="CJ229" s="848"/>
      <c r="CK229" s="848"/>
      <c r="CL229" s="848"/>
      <c r="CM229" s="848"/>
      <c r="CN229" s="848"/>
      <c r="CO229" s="848"/>
      <c r="CP229" s="848"/>
      <c r="CQ229" s="848"/>
      <c r="CR229" s="848"/>
      <c r="CS229" s="848"/>
      <c r="CT229" s="848"/>
      <c r="CU229" s="848"/>
      <c r="CV229" s="848"/>
      <c r="CW229" s="848">
        <f t="shared" si="170"/>
        <v>99.754014598540152</v>
      </c>
    </row>
    <row r="230" spans="1:101" ht="46.15" customHeight="1">
      <c r="A230" s="845"/>
      <c r="B230" s="852" t="s">
        <v>750</v>
      </c>
      <c r="C230" s="852" t="s">
        <v>770</v>
      </c>
      <c r="D230" s="846"/>
      <c r="E230" s="845"/>
      <c r="F230" s="882">
        <v>2014</v>
      </c>
      <c r="G230" s="883" t="s">
        <v>771</v>
      </c>
      <c r="H230" s="850">
        <f t="shared" si="158"/>
        <v>646.39700000000005</v>
      </c>
      <c r="I230" s="859"/>
      <c r="J230" s="848"/>
      <c r="K230" s="848"/>
      <c r="L230" s="848"/>
      <c r="M230" s="848"/>
      <c r="N230" s="848"/>
      <c r="O230" s="848"/>
      <c r="P230" s="848"/>
      <c r="Q230" s="848"/>
      <c r="R230" s="848"/>
      <c r="S230" s="884">
        <v>646.39700000000005</v>
      </c>
      <c r="T230" s="855">
        <f t="shared" si="167"/>
        <v>0</v>
      </c>
      <c r="U230" s="848"/>
      <c r="V230" s="848"/>
      <c r="W230" s="848"/>
      <c r="X230" s="848"/>
      <c r="Y230" s="848"/>
      <c r="Z230" s="848"/>
      <c r="AA230" s="848"/>
      <c r="AB230" s="848"/>
      <c r="AC230" s="848"/>
      <c r="AD230" s="848"/>
      <c r="AE230" s="848"/>
      <c r="AF230" s="848"/>
      <c r="AG230" s="848"/>
      <c r="AH230" s="855"/>
      <c r="AI230" s="855">
        <f t="shared" si="177"/>
        <v>44</v>
      </c>
      <c r="AJ230" s="855"/>
      <c r="AK230" s="855"/>
      <c r="AL230" s="855"/>
      <c r="AM230" s="855"/>
      <c r="AN230" s="855"/>
      <c r="AO230" s="855"/>
      <c r="AP230" s="855"/>
      <c r="AQ230" s="855"/>
      <c r="AR230" s="855"/>
      <c r="AS230" s="855"/>
      <c r="AT230" s="855"/>
      <c r="AU230" s="855"/>
      <c r="AV230" s="855"/>
      <c r="AW230" s="855"/>
      <c r="AX230" s="855">
        <v>44</v>
      </c>
      <c r="AY230" s="855">
        <f t="shared" si="178"/>
        <v>44</v>
      </c>
      <c r="AZ230" s="855"/>
      <c r="BA230" s="855"/>
      <c r="BB230" s="855"/>
      <c r="BC230" s="855"/>
      <c r="BD230" s="855"/>
      <c r="BE230" s="855"/>
      <c r="BF230" s="855"/>
      <c r="BG230" s="855"/>
      <c r="BH230" s="855"/>
      <c r="BI230" s="855"/>
      <c r="BJ230" s="855"/>
      <c r="BK230" s="855"/>
      <c r="BL230" s="855"/>
      <c r="BM230" s="855"/>
      <c r="BN230" s="855">
        <v>44</v>
      </c>
      <c r="BO230" s="848">
        <f t="shared" si="166"/>
        <v>43.225999999999999</v>
      </c>
      <c r="BP230" s="855"/>
      <c r="BQ230" s="855"/>
      <c r="BR230" s="855"/>
      <c r="BS230" s="855"/>
      <c r="BT230" s="855"/>
      <c r="BU230" s="855"/>
      <c r="BV230" s="855"/>
      <c r="BW230" s="855"/>
      <c r="BX230" s="855"/>
      <c r="BY230" s="855"/>
      <c r="BZ230" s="855"/>
      <c r="CA230" s="855"/>
      <c r="CB230" s="855"/>
      <c r="CC230" s="855"/>
      <c r="CD230" s="855"/>
      <c r="CE230" s="855">
        <v>43.225999999999999</v>
      </c>
      <c r="CF230" s="848">
        <f t="shared" si="179"/>
        <v>99.754014598540152</v>
      </c>
      <c r="CG230" s="848"/>
      <c r="CH230" s="848"/>
      <c r="CI230" s="848"/>
      <c r="CJ230" s="848"/>
      <c r="CK230" s="848"/>
      <c r="CL230" s="848"/>
      <c r="CM230" s="848"/>
      <c r="CN230" s="848"/>
      <c r="CO230" s="848"/>
      <c r="CP230" s="848"/>
      <c r="CQ230" s="848"/>
      <c r="CR230" s="848"/>
      <c r="CS230" s="848"/>
      <c r="CT230" s="848"/>
      <c r="CU230" s="848"/>
      <c r="CV230" s="848"/>
      <c r="CW230" s="848">
        <f t="shared" si="170"/>
        <v>98.240909090909085</v>
      </c>
    </row>
    <row r="231" spans="1:101" ht="44.45" customHeight="1">
      <c r="A231" s="845"/>
      <c r="B231" s="852" t="s">
        <v>750</v>
      </c>
      <c r="C231" s="852" t="s">
        <v>772</v>
      </c>
      <c r="D231" s="846"/>
      <c r="E231" s="845"/>
      <c r="F231" s="882">
        <v>2014</v>
      </c>
      <c r="G231" s="883" t="s">
        <v>773</v>
      </c>
      <c r="H231" s="850">
        <f t="shared" si="158"/>
        <v>367.46899999999999</v>
      </c>
      <c r="I231" s="859"/>
      <c r="J231" s="848"/>
      <c r="K231" s="848"/>
      <c r="L231" s="848"/>
      <c r="M231" s="848"/>
      <c r="N231" s="848"/>
      <c r="O231" s="848"/>
      <c r="P231" s="848"/>
      <c r="Q231" s="848"/>
      <c r="R231" s="848"/>
      <c r="S231" s="884">
        <v>367.46899999999999</v>
      </c>
      <c r="T231" s="855">
        <f t="shared" si="167"/>
        <v>0</v>
      </c>
      <c r="U231" s="848"/>
      <c r="V231" s="848"/>
      <c r="W231" s="848"/>
      <c r="X231" s="848"/>
      <c r="Y231" s="848"/>
      <c r="Z231" s="848"/>
      <c r="AA231" s="848"/>
      <c r="AB231" s="848"/>
      <c r="AC231" s="848"/>
      <c r="AD231" s="848"/>
      <c r="AE231" s="848"/>
      <c r="AF231" s="848"/>
      <c r="AG231" s="848"/>
      <c r="AH231" s="855"/>
      <c r="AI231" s="855">
        <f t="shared" si="177"/>
        <v>66</v>
      </c>
      <c r="AJ231" s="855"/>
      <c r="AK231" s="855"/>
      <c r="AL231" s="855"/>
      <c r="AM231" s="855"/>
      <c r="AN231" s="855"/>
      <c r="AO231" s="855"/>
      <c r="AP231" s="855"/>
      <c r="AQ231" s="855"/>
      <c r="AR231" s="855"/>
      <c r="AS231" s="855"/>
      <c r="AT231" s="855"/>
      <c r="AU231" s="855"/>
      <c r="AV231" s="855"/>
      <c r="AW231" s="855"/>
      <c r="AX231" s="855">
        <v>66</v>
      </c>
      <c r="AY231" s="855">
        <f t="shared" si="178"/>
        <v>66</v>
      </c>
      <c r="AZ231" s="855"/>
      <c r="BA231" s="855"/>
      <c r="BB231" s="855"/>
      <c r="BC231" s="855"/>
      <c r="BD231" s="855"/>
      <c r="BE231" s="855"/>
      <c r="BF231" s="855"/>
      <c r="BG231" s="855"/>
      <c r="BH231" s="855"/>
      <c r="BI231" s="855"/>
      <c r="BJ231" s="855"/>
      <c r="BK231" s="855"/>
      <c r="BL231" s="855"/>
      <c r="BM231" s="855"/>
      <c r="BN231" s="855">
        <v>66</v>
      </c>
      <c r="BO231" s="848">
        <f t="shared" si="166"/>
        <v>65.834999999999994</v>
      </c>
      <c r="BP231" s="855"/>
      <c r="BQ231" s="855"/>
      <c r="BR231" s="855"/>
      <c r="BS231" s="855"/>
      <c r="BT231" s="855"/>
      <c r="BU231" s="855"/>
      <c r="BV231" s="855"/>
      <c r="BW231" s="855"/>
      <c r="BX231" s="855"/>
      <c r="BY231" s="855"/>
      <c r="BZ231" s="855"/>
      <c r="CA231" s="855"/>
      <c r="CB231" s="855"/>
      <c r="CC231" s="855"/>
      <c r="CD231" s="855"/>
      <c r="CE231" s="855">
        <v>65.834999999999994</v>
      </c>
      <c r="CF231" s="848">
        <f t="shared" si="179"/>
        <v>98.240909090909085</v>
      </c>
      <c r="CG231" s="848"/>
      <c r="CH231" s="848"/>
      <c r="CI231" s="848"/>
      <c r="CJ231" s="848"/>
      <c r="CK231" s="848"/>
      <c r="CL231" s="848"/>
      <c r="CM231" s="848"/>
      <c r="CN231" s="848"/>
      <c r="CO231" s="848"/>
      <c r="CP231" s="848"/>
      <c r="CQ231" s="848"/>
      <c r="CR231" s="848"/>
      <c r="CS231" s="848"/>
      <c r="CT231" s="848"/>
      <c r="CU231" s="848"/>
      <c r="CV231" s="848"/>
      <c r="CW231" s="848">
        <f t="shared" si="170"/>
        <v>99.75</v>
      </c>
    </row>
    <row r="232" spans="1:101" ht="29.45" customHeight="1">
      <c r="A232" s="845" t="s">
        <v>31</v>
      </c>
      <c r="B232" s="845"/>
      <c r="C232" s="857" t="s">
        <v>774</v>
      </c>
      <c r="D232" s="846">
        <f>D233</f>
        <v>0</v>
      </c>
      <c r="E232" s="845">
        <f t="shared" ref="E232:AX232" si="180">E233</f>
        <v>0</v>
      </c>
      <c r="F232" s="847">
        <f t="shared" si="180"/>
        <v>0</v>
      </c>
      <c r="G232" s="845"/>
      <c r="H232" s="850">
        <f t="shared" si="158"/>
        <v>21142</v>
      </c>
      <c r="I232" s="848">
        <f t="shared" si="180"/>
        <v>0</v>
      </c>
      <c r="J232" s="848">
        <f t="shared" si="180"/>
        <v>0</v>
      </c>
      <c r="K232" s="848">
        <f t="shared" si="180"/>
        <v>0</v>
      </c>
      <c r="L232" s="848">
        <f t="shared" si="180"/>
        <v>0</v>
      </c>
      <c r="M232" s="848">
        <f t="shared" si="180"/>
        <v>0</v>
      </c>
      <c r="N232" s="848">
        <f t="shared" si="180"/>
        <v>0</v>
      </c>
      <c r="O232" s="848">
        <f t="shared" si="180"/>
        <v>0</v>
      </c>
      <c r="P232" s="848">
        <f t="shared" si="180"/>
        <v>0</v>
      </c>
      <c r="Q232" s="848">
        <f t="shared" si="180"/>
        <v>0</v>
      </c>
      <c r="R232" s="848">
        <v>21142</v>
      </c>
      <c r="S232" s="848">
        <f t="shared" si="180"/>
        <v>0</v>
      </c>
      <c r="T232" s="848">
        <f t="shared" si="180"/>
        <v>18841.2297</v>
      </c>
      <c r="U232" s="848">
        <f t="shared" si="180"/>
        <v>0</v>
      </c>
      <c r="V232" s="848">
        <f t="shared" si="180"/>
        <v>0</v>
      </c>
      <c r="W232" s="848">
        <f t="shared" si="180"/>
        <v>18841.2297</v>
      </c>
      <c r="X232" s="848">
        <f t="shared" si="180"/>
        <v>0</v>
      </c>
      <c r="Y232" s="848">
        <f t="shared" si="180"/>
        <v>0</v>
      </c>
      <c r="Z232" s="848">
        <f t="shared" si="180"/>
        <v>0</v>
      </c>
      <c r="AA232" s="848">
        <f t="shared" si="180"/>
        <v>0</v>
      </c>
      <c r="AB232" s="848">
        <f t="shared" si="180"/>
        <v>0</v>
      </c>
      <c r="AC232" s="848">
        <f t="shared" si="180"/>
        <v>0</v>
      </c>
      <c r="AD232" s="848">
        <f t="shared" si="180"/>
        <v>0</v>
      </c>
      <c r="AE232" s="848">
        <f t="shared" si="180"/>
        <v>0</v>
      </c>
      <c r="AF232" s="848">
        <f t="shared" si="180"/>
        <v>0</v>
      </c>
      <c r="AG232" s="848">
        <f t="shared" si="180"/>
        <v>0</v>
      </c>
      <c r="AH232" s="848">
        <f t="shared" si="180"/>
        <v>0</v>
      </c>
      <c r="AI232" s="848">
        <f t="shared" si="180"/>
        <v>4190</v>
      </c>
      <c r="AJ232" s="848">
        <f t="shared" si="180"/>
        <v>0</v>
      </c>
      <c r="AK232" s="848">
        <f t="shared" si="180"/>
        <v>0</v>
      </c>
      <c r="AL232" s="848">
        <f t="shared" si="180"/>
        <v>4190</v>
      </c>
      <c r="AM232" s="848">
        <f t="shared" si="180"/>
        <v>0</v>
      </c>
      <c r="AN232" s="848">
        <f t="shared" si="180"/>
        <v>0</v>
      </c>
      <c r="AO232" s="848">
        <f t="shared" si="180"/>
        <v>0</v>
      </c>
      <c r="AP232" s="848">
        <f t="shared" si="180"/>
        <v>0</v>
      </c>
      <c r="AQ232" s="848">
        <f t="shared" si="180"/>
        <v>0</v>
      </c>
      <c r="AR232" s="848">
        <f t="shared" si="180"/>
        <v>0</v>
      </c>
      <c r="AS232" s="848">
        <f t="shared" si="180"/>
        <v>0</v>
      </c>
      <c r="AT232" s="848">
        <f t="shared" si="180"/>
        <v>0</v>
      </c>
      <c r="AU232" s="848">
        <f t="shared" si="180"/>
        <v>0</v>
      </c>
      <c r="AV232" s="848">
        <f t="shared" si="180"/>
        <v>0</v>
      </c>
      <c r="AW232" s="848">
        <f t="shared" si="180"/>
        <v>0</v>
      </c>
      <c r="AX232" s="848">
        <f t="shared" si="180"/>
        <v>0</v>
      </c>
      <c r="AY232" s="848">
        <f>AY233</f>
        <v>594</v>
      </c>
      <c r="AZ232" s="848">
        <f t="shared" ref="AZ232:CE232" si="181">AZ233</f>
        <v>0</v>
      </c>
      <c r="BA232" s="848">
        <f t="shared" si="181"/>
        <v>0</v>
      </c>
      <c r="BB232" s="848">
        <f t="shared" si="181"/>
        <v>0</v>
      </c>
      <c r="BC232" s="848">
        <f t="shared" si="181"/>
        <v>594</v>
      </c>
      <c r="BD232" s="848">
        <f t="shared" si="181"/>
        <v>0</v>
      </c>
      <c r="BE232" s="848">
        <f t="shared" si="181"/>
        <v>0</v>
      </c>
      <c r="BF232" s="848">
        <f t="shared" si="181"/>
        <v>0</v>
      </c>
      <c r="BG232" s="848">
        <f t="shared" si="181"/>
        <v>0</v>
      </c>
      <c r="BH232" s="848">
        <f t="shared" si="181"/>
        <v>0</v>
      </c>
      <c r="BI232" s="848">
        <f t="shared" si="181"/>
        <v>0</v>
      </c>
      <c r="BJ232" s="848">
        <f t="shared" si="181"/>
        <v>0</v>
      </c>
      <c r="BK232" s="848">
        <f t="shared" si="181"/>
        <v>0</v>
      </c>
      <c r="BL232" s="848">
        <f t="shared" si="181"/>
        <v>0</v>
      </c>
      <c r="BM232" s="848">
        <f t="shared" si="181"/>
        <v>0</v>
      </c>
      <c r="BN232" s="848">
        <f t="shared" si="181"/>
        <v>0</v>
      </c>
      <c r="BO232" s="848">
        <f t="shared" si="166"/>
        <v>591</v>
      </c>
      <c r="BP232" s="848">
        <f t="shared" si="181"/>
        <v>0</v>
      </c>
      <c r="BQ232" s="848">
        <f t="shared" si="181"/>
        <v>0</v>
      </c>
      <c r="BR232" s="848">
        <f t="shared" si="181"/>
        <v>0</v>
      </c>
      <c r="BS232" s="848">
        <f>BS233</f>
        <v>591</v>
      </c>
      <c r="BT232" s="848">
        <f t="shared" si="181"/>
        <v>0</v>
      </c>
      <c r="BU232" s="848">
        <f t="shared" si="181"/>
        <v>0</v>
      </c>
      <c r="BV232" s="848">
        <f t="shared" si="181"/>
        <v>0</v>
      </c>
      <c r="BW232" s="848">
        <f t="shared" si="181"/>
        <v>0</v>
      </c>
      <c r="BX232" s="848">
        <f t="shared" si="181"/>
        <v>0</v>
      </c>
      <c r="BY232" s="848">
        <f t="shared" si="181"/>
        <v>0</v>
      </c>
      <c r="BZ232" s="848">
        <f t="shared" si="181"/>
        <v>0</v>
      </c>
      <c r="CA232" s="848">
        <f t="shared" si="181"/>
        <v>0</v>
      </c>
      <c r="CB232" s="848">
        <f t="shared" si="181"/>
        <v>0</v>
      </c>
      <c r="CC232" s="848">
        <f t="shared" si="181"/>
        <v>0</v>
      </c>
      <c r="CD232" s="848">
        <f t="shared" si="181"/>
        <v>0</v>
      </c>
      <c r="CE232" s="848">
        <f t="shared" si="181"/>
        <v>0</v>
      </c>
      <c r="CF232" s="848">
        <f t="shared" si="179"/>
        <v>99.749999999999986</v>
      </c>
      <c r="CG232" s="848"/>
      <c r="CH232" s="848"/>
      <c r="CI232" s="848"/>
      <c r="CJ232" s="848">
        <f t="shared" ref="CJ232:CJ272" si="182">BS232/BC232*100</f>
        <v>99.494949494949495</v>
      </c>
      <c r="CK232" s="848"/>
      <c r="CL232" s="848"/>
      <c r="CM232" s="848"/>
      <c r="CN232" s="848"/>
      <c r="CO232" s="848"/>
      <c r="CP232" s="848"/>
      <c r="CQ232" s="848"/>
      <c r="CR232" s="848"/>
      <c r="CS232" s="848"/>
      <c r="CT232" s="848"/>
      <c r="CU232" s="848"/>
      <c r="CV232" s="848"/>
      <c r="CW232" s="848"/>
    </row>
    <row r="233" spans="1:101" s="851" customFormat="1" ht="18" customHeight="1">
      <c r="A233" s="845"/>
      <c r="B233" s="852" t="s">
        <v>775</v>
      </c>
      <c r="C233" s="852" t="s">
        <v>776</v>
      </c>
      <c r="D233" s="846"/>
      <c r="E233" s="845"/>
      <c r="F233" s="847"/>
      <c r="G233" s="861" t="s">
        <v>777</v>
      </c>
      <c r="H233" s="850">
        <f t="shared" si="158"/>
        <v>21142</v>
      </c>
      <c r="I233" s="848"/>
      <c r="J233" s="848"/>
      <c r="K233" s="848"/>
      <c r="L233" s="848"/>
      <c r="M233" s="848"/>
      <c r="N233" s="848"/>
      <c r="O233" s="848"/>
      <c r="P233" s="848"/>
      <c r="Q233" s="848"/>
      <c r="R233" s="855">
        <v>21142</v>
      </c>
      <c r="S233" s="848"/>
      <c r="T233" s="855">
        <f t="shared" si="167"/>
        <v>18841.2297</v>
      </c>
      <c r="U233" s="848"/>
      <c r="V233" s="848"/>
      <c r="W233" s="855">
        <v>18841.2297</v>
      </c>
      <c r="X233" s="848"/>
      <c r="Y233" s="848"/>
      <c r="Z233" s="848"/>
      <c r="AA233" s="848"/>
      <c r="AB233" s="848"/>
      <c r="AC233" s="848"/>
      <c r="AD233" s="848"/>
      <c r="AE233" s="848"/>
      <c r="AF233" s="848"/>
      <c r="AG233" s="848"/>
      <c r="AH233" s="855"/>
      <c r="AI233" s="855">
        <f>AL233</f>
        <v>4190</v>
      </c>
      <c r="AJ233" s="855"/>
      <c r="AK233" s="855"/>
      <c r="AL233" s="855">
        <v>4190</v>
      </c>
      <c r="AM233" s="855"/>
      <c r="AN233" s="855"/>
      <c r="AO233" s="855"/>
      <c r="AP233" s="855"/>
      <c r="AQ233" s="855"/>
      <c r="AR233" s="855"/>
      <c r="AS233" s="855"/>
      <c r="AT233" s="855"/>
      <c r="AU233" s="855"/>
      <c r="AV233" s="855"/>
      <c r="AW233" s="855"/>
      <c r="AX233" s="855"/>
      <c r="AY233" s="855">
        <f t="shared" si="178"/>
        <v>594</v>
      </c>
      <c r="AZ233" s="855"/>
      <c r="BA233" s="855"/>
      <c r="BB233" s="855"/>
      <c r="BC233" s="855">
        <v>594</v>
      </c>
      <c r="BD233" s="855"/>
      <c r="BE233" s="855"/>
      <c r="BF233" s="855"/>
      <c r="BG233" s="855"/>
      <c r="BH233" s="855"/>
      <c r="BI233" s="855"/>
      <c r="BJ233" s="855"/>
      <c r="BK233" s="855"/>
      <c r="BL233" s="855"/>
      <c r="BM233" s="855"/>
      <c r="BN233" s="855"/>
      <c r="BO233" s="848">
        <f t="shared" si="166"/>
        <v>591</v>
      </c>
      <c r="BP233" s="855"/>
      <c r="BQ233" s="855"/>
      <c r="BR233" s="855"/>
      <c r="BS233" s="855">
        <v>591</v>
      </c>
      <c r="BT233" s="855"/>
      <c r="BU233" s="855"/>
      <c r="BV233" s="855"/>
      <c r="BW233" s="855"/>
      <c r="BX233" s="855"/>
      <c r="BY233" s="855"/>
      <c r="BZ233" s="855"/>
      <c r="CA233" s="855"/>
      <c r="CB233" s="855"/>
      <c r="CC233" s="855"/>
      <c r="CD233" s="855"/>
      <c r="CE233" s="855"/>
      <c r="CF233" s="848">
        <f t="shared" si="179"/>
        <v>99.494949494949495</v>
      </c>
      <c r="CG233" s="848"/>
      <c r="CH233" s="848"/>
      <c r="CI233" s="848"/>
      <c r="CJ233" s="848">
        <f t="shared" si="182"/>
        <v>99.494949494949495</v>
      </c>
      <c r="CK233" s="848"/>
      <c r="CL233" s="848"/>
      <c r="CM233" s="848"/>
      <c r="CN233" s="848"/>
      <c r="CO233" s="848"/>
      <c r="CP233" s="848"/>
      <c r="CQ233" s="848"/>
      <c r="CR233" s="848"/>
      <c r="CS233" s="848"/>
      <c r="CT233" s="848"/>
      <c r="CU233" s="848"/>
      <c r="CV233" s="848"/>
      <c r="CW233" s="848"/>
    </row>
    <row r="234" spans="1:101" s="1010" customFormat="1" ht="24.75" customHeight="1">
      <c r="A234" s="1005" t="s">
        <v>778</v>
      </c>
      <c r="B234" s="1005"/>
      <c r="C234" s="1006" t="s">
        <v>779</v>
      </c>
      <c r="D234" s="1005">
        <f>D235</f>
        <v>0</v>
      </c>
      <c r="E234" s="1005">
        <f t="shared" ref="E234:CE235" si="183">E235</f>
        <v>0</v>
      </c>
      <c r="F234" s="1007">
        <f t="shared" si="183"/>
        <v>0</v>
      </c>
      <c r="G234" s="1005">
        <f t="shared" si="183"/>
        <v>0</v>
      </c>
      <c r="H234" s="1008">
        <f t="shared" si="158"/>
        <v>15680</v>
      </c>
      <c r="I234" s="1009">
        <f t="shared" si="183"/>
        <v>15680</v>
      </c>
      <c r="J234" s="1009">
        <f t="shared" si="183"/>
        <v>0</v>
      </c>
      <c r="K234" s="1009">
        <f t="shared" si="183"/>
        <v>0</v>
      </c>
      <c r="L234" s="1009">
        <f t="shared" si="183"/>
        <v>0</v>
      </c>
      <c r="M234" s="1009">
        <f t="shared" si="183"/>
        <v>0</v>
      </c>
      <c r="N234" s="1009">
        <f t="shared" si="183"/>
        <v>0</v>
      </c>
      <c r="O234" s="1009">
        <f t="shared" si="183"/>
        <v>0</v>
      </c>
      <c r="P234" s="1009">
        <f t="shared" si="183"/>
        <v>0</v>
      </c>
      <c r="Q234" s="1009">
        <f t="shared" si="183"/>
        <v>0</v>
      </c>
      <c r="R234" s="1009">
        <v>0</v>
      </c>
      <c r="S234" s="1009">
        <f t="shared" si="183"/>
        <v>0</v>
      </c>
      <c r="T234" s="1009">
        <f t="shared" si="183"/>
        <v>5741.1249440000001</v>
      </c>
      <c r="U234" s="1009">
        <f t="shared" si="183"/>
        <v>5236.6245559999998</v>
      </c>
      <c r="V234" s="1009">
        <f t="shared" si="183"/>
        <v>0</v>
      </c>
      <c r="W234" s="1009">
        <f t="shared" si="183"/>
        <v>0</v>
      </c>
      <c r="X234" s="1009">
        <f t="shared" si="183"/>
        <v>0</v>
      </c>
      <c r="Y234" s="1009">
        <f t="shared" si="183"/>
        <v>0</v>
      </c>
      <c r="Z234" s="1009">
        <f t="shared" si="183"/>
        <v>0</v>
      </c>
      <c r="AA234" s="1009">
        <f t="shared" si="183"/>
        <v>0</v>
      </c>
      <c r="AB234" s="1009">
        <f t="shared" si="183"/>
        <v>0</v>
      </c>
      <c r="AC234" s="1009">
        <f t="shared" si="183"/>
        <v>23.462</v>
      </c>
      <c r="AD234" s="1009">
        <f t="shared" si="183"/>
        <v>0</v>
      </c>
      <c r="AE234" s="1009">
        <f t="shared" si="183"/>
        <v>0</v>
      </c>
      <c r="AF234" s="1009">
        <f t="shared" si="183"/>
        <v>0</v>
      </c>
      <c r="AG234" s="1009">
        <f t="shared" si="183"/>
        <v>0</v>
      </c>
      <c r="AH234" s="1009">
        <f t="shared" si="183"/>
        <v>481.038388</v>
      </c>
      <c r="AI234" s="1009">
        <f t="shared" si="183"/>
        <v>500</v>
      </c>
      <c r="AJ234" s="1009">
        <f t="shared" si="183"/>
        <v>0</v>
      </c>
      <c r="AK234" s="1009">
        <f t="shared" si="183"/>
        <v>0</v>
      </c>
      <c r="AL234" s="1009">
        <f t="shared" si="183"/>
        <v>0</v>
      </c>
      <c r="AM234" s="1009">
        <f t="shared" si="183"/>
        <v>0</v>
      </c>
      <c r="AN234" s="1009">
        <f t="shared" si="183"/>
        <v>0</v>
      </c>
      <c r="AO234" s="1009">
        <f t="shared" si="183"/>
        <v>0</v>
      </c>
      <c r="AP234" s="1009">
        <f t="shared" si="183"/>
        <v>0</v>
      </c>
      <c r="AQ234" s="1009">
        <f t="shared" si="183"/>
        <v>0</v>
      </c>
      <c r="AR234" s="1009">
        <f t="shared" si="183"/>
        <v>0</v>
      </c>
      <c r="AS234" s="1009">
        <f t="shared" si="183"/>
        <v>0</v>
      </c>
      <c r="AT234" s="1009">
        <f t="shared" si="183"/>
        <v>0</v>
      </c>
      <c r="AU234" s="1009">
        <f t="shared" si="183"/>
        <v>0</v>
      </c>
      <c r="AV234" s="1009">
        <f t="shared" si="183"/>
        <v>0</v>
      </c>
      <c r="AW234" s="1009">
        <f t="shared" si="183"/>
        <v>500</v>
      </c>
      <c r="AX234" s="1009">
        <f t="shared" si="183"/>
        <v>0</v>
      </c>
      <c r="AY234" s="1009">
        <f t="shared" si="183"/>
        <v>1000</v>
      </c>
      <c r="AZ234" s="1009">
        <f t="shared" si="183"/>
        <v>0</v>
      </c>
      <c r="BA234" s="1009">
        <f t="shared" si="183"/>
        <v>0</v>
      </c>
      <c r="BB234" s="1009">
        <f t="shared" si="183"/>
        <v>0</v>
      </c>
      <c r="BC234" s="1009">
        <f t="shared" si="183"/>
        <v>0</v>
      </c>
      <c r="BD234" s="1009">
        <f t="shared" si="183"/>
        <v>0</v>
      </c>
      <c r="BE234" s="1009">
        <f t="shared" si="183"/>
        <v>0</v>
      </c>
      <c r="BF234" s="1009">
        <f t="shared" si="183"/>
        <v>0</v>
      </c>
      <c r="BG234" s="1009">
        <f t="shared" si="183"/>
        <v>0</v>
      </c>
      <c r="BH234" s="1009">
        <f t="shared" si="183"/>
        <v>0</v>
      </c>
      <c r="BI234" s="1009">
        <f t="shared" si="183"/>
        <v>0</v>
      </c>
      <c r="BJ234" s="1009">
        <f t="shared" si="183"/>
        <v>0</v>
      </c>
      <c r="BK234" s="1009">
        <f t="shared" si="183"/>
        <v>1000</v>
      </c>
      <c r="BL234" s="1009">
        <f t="shared" si="183"/>
        <v>0</v>
      </c>
      <c r="BM234" s="1009">
        <f t="shared" si="183"/>
        <v>0</v>
      </c>
      <c r="BN234" s="1009">
        <f t="shared" si="183"/>
        <v>0</v>
      </c>
      <c r="BO234" s="1009">
        <f t="shared" si="166"/>
        <v>744.32781999999997</v>
      </c>
      <c r="BP234" s="1009">
        <f t="shared" si="183"/>
        <v>0</v>
      </c>
      <c r="BQ234" s="1009">
        <f t="shared" si="183"/>
        <v>0</v>
      </c>
      <c r="BR234" s="1009">
        <f t="shared" si="183"/>
        <v>0</v>
      </c>
      <c r="BS234" s="1009">
        <f>BS235</f>
        <v>0</v>
      </c>
      <c r="BT234" s="1009">
        <f t="shared" si="183"/>
        <v>0</v>
      </c>
      <c r="BU234" s="1009">
        <f t="shared" si="183"/>
        <v>0</v>
      </c>
      <c r="BV234" s="1009">
        <f t="shared" si="183"/>
        <v>0</v>
      </c>
      <c r="BW234" s="1009">
        <f t="shared" si="183"/>
        <v>0</v>
      </c>
      <c r="BX234" s="1009">
        <f t="shared" si="183"/>
        <v>0</v>
      </c>
      <c r="BY234" s="1009">
        <f t="shared" si="183"/>
        <v>0</v>
      </c>
      <c r="BZ234" s="1009">
        <f t="shared" si="183"/>
        <v>0</v>
      </c>
      <c r="CA234" s="1009">
        <f>CA235</f>
        <v>744.32781999999997</v>
      </c>
      <c r="CB234" s="1009">
        <f t="shared" si="183"/>
        <v>0</v>
      </c>
      <c r="CC234" s="1009">
        <f t="shared" si="183"/>
        <v>0</v>
      </c>
      <c r="CD234" s="1009">
        <f t="shared" si="183"/>
        <v>0</v>
      </c>
      <c r="CE234" s="1009">
        <f t="shared" si="183"/>
        <v>0</v>
      </c>
      <c r="CF234" s="1009">
        <f t="shared" si="179"/>
        <v>99.494949494949495</v>
      </c>
      <c r="CG234" s="1009"/>
      <c r="CH234" s="1009"/>
      <c r="CI234" s="1009"/>
      <c r="CJ234" s="1009"/>
      <c r="CK234" s="1009"/>
      <c r="CL234" s="1009"/>
      <c r="CM234" s="1009"/>
      <c r="CN234" s="1009"/>
      <c r="CO234" s="1009"/>
      <c r="CP234" s="1009"/>
      <c r="CQ234" s="1009"/>
      <c r="CR234" s="1009">
        <f t="shared" ref="CR234:CR245" si="184">CA234/BK234*100</f>
        <v>74.432782000000003</v>
      </c>
      <c r="CS234" s="1009"/>
      <c r="CT234" s="1009"/>
      <c r="CU234" s="1009"/>
      <c r="CV234" s="1009"/>
      <c r="CW234" s="1009"/>
    </row>
    <row r="235" spans="1:101" s="1010" customFormat="1" ht="24.75" customHeight="1">
      <c r="A235" s="1005"/>
      <c r="B235" s="1005"/>
      <c r="C235" s="1006" t="s">
        <v>371</v>
      </c>
      <c r="D235" s="1005">
        <f>D236</f>
        <v>0</v>
      </c>
      <c r="E235" s="1005">
        <f t="shared" si="183"/>
        <v>0</v>
      </c>
      <c r="F235" s="1007">
        <f t="shared" si="183"/>
        <v>0</v>
      </c>
      <c r="G235" s="1005">
        <f t="shared" si="183"/>
        <v>0</v>
      </c>
      <c r="H235" s="1008">
        <f t="shared" si="158"/>
        <v>15680</v>
      </c>
      <c r="I235" s="1009">
        <f t="shared" si="183"/>
        <v>15680</v>
      </c>
      <c r="J235" s="1009">
        <f t="shared" si="183"/>
        <v>0</v>
      </c>
      <c r="K235" s="1009">
        <f t="shared" si="183"/>
        <v>0</v>
      </c>
      <c r="L235" s="1009">
        <f t="shared" si="183"/>
        <v>0</v>
      </c>
      <c r="M235" s="1009">
        <f t="shared" si="183"/>
        <v>0</v>
      </c>
      <c r="N235" s="1009">
        <f t="shared" si="183"/>
        <v>0</v>
      </c>
      <c r="O235" s="1009">
        <f t="shared" si="183"/>
        <v>0</v>
      </c>
      <c r="P235" s="1009">
        <f t="shared" si="183"/>
        <v>0</v>
      </c>
      <c r="Q235" s="1009">
        <f t="shared" si="183"/>
        <v>0</v>
      </c>
      <c r="R235" s="1009">
        <v>0</v>
      </c>
      <c r="S235" s="1009">
        <f t="shared" si="183"/>
        <v>0</v>
      </c>
      <c r="T235" s="1009">
        <f t="shared" si="183"/>
        <v>5741.1249440000001</v>
      </c>
      <c r="U235" s="1009">
        <f t="shared" si="183"/>
        <v>5236.6245559999998</v>
      </c>
      <c r="V235" s="1009">
        <f t="shared" si="183"/>
        <v>0</v>
      </c>
      <c r="W235" s="1009">
        <f t="shared" si="183"/>
        <v>0</v>
      </c>
      <c r="X235" s="1009">
        <f t="shared" si="183"/>
        <v>0</v>
      </c>
      <c r="Y235" s="1009">
        <f t="shared" si="183"/>
        <v>0</v>
      </c>
      <c r="Z235" s="1009">
        <f t="shared" si="183"/>
        <v>0</v>
      </c>
      <c r="AA235" s="1009">
        <f t="shared" si="183"/>
        <v>0</v>
      </c>
      <c r="AB235" s="1009">
        <f t="shared" si="183"/>
        <v>0</v>
      </c>
      <c r="AC235" s="1009">
        <f t="shared" si="183"/>
        <v>23.462</v>
      </c>
      <c r="AD235" s="1009">
        <f t="shared" si="183"/>
        <v>0</v>
      </c>
      <c r="AE235" s="1009">
        <f t="shared" si="183"/>
        <v>0</v>
      </c>
      <c r="AF235" s="1009">
        <f t="shared" si="183"/>
        <v>0</v>
      </c>
      <c r="AG235" s="1009">
        <f>AG236</f>
        <v>0</v>
      </c>
      <c r="AH235" s="1009">
        <f>AH236</f>
        <v>481.038388</v>
      </c>
      <c r="AI235" s="1009">
        <f t="shared" si="183"/>
        <v>500</v>
      </c>
      <c r="AJ235" s="1009">
        <f t="shared" si="183"/>
        <v>0</v>
      </c>
      <c r="AK235" s="1009">
        <f t="shared" si="183"/>
        <v>0</v>
      </c>
      <c r="AL235" s="1009">
        <f t="shared" si="183"/>
        <v>0</v>
      </c>
      <c r="AM235" s="1009">
        <f t="shared" si="183"/>
        <v>0</v>
      </c>
      <c r="AN235" s="1009">
        <f t="shared" si="183"/>
        <v>0</v>
      </c>
      <c r="AO235" s="1009">
        <f t="shared" si="183"/>
        <v>0</v>
      </c>
      <c r="AP235" s="1009">
        <f t="shared" si="183"/>
        <v>0</v>
      </c>
      <c r="AQ235" s="1009">
        <f t="shared" si="183"/>
        <v>0</v>
      </c>
      <c r="AR235" s="1009">
        <f t="shared" si="183"/>
        <v>0</v>
      </c>
      <c r="AS235" s="1009">
        <f t="shared" si="183"/>
        <v>0</v>
      </c>
      <c r="AT235" s="1009">
        <f t="shared" si="183"/>
        <v>0</v>
      </c>
      <c r="AU235" s="1009">
        <f t="shared" si="183"/>
        <v>0</v>
      </c>
      <c r="AV235" s="1009">
        <f t="shared" si="183"/>
        <v>0</v>
      </c>
      <c r="AW235" s="1009">
        <f t="shared" si="183"/>
        <v>500</v>
      </c>
      <c r="AX235" s="1009">
        <f t="shared" si="183"/>
        <v>0</v>
      </c>
      <c r="AY235" s="1009">
        <f>AY236</f>
        <v>1000</v>
      </c>
      <c r="AZ235" s="1009">
        <f t="shared" si="183"/>
        <v>0</v>
      </c>
      <c r="BA235" s="1009">
        <f t="shared" si="183"/>
        <v>0</v>
      </c>
      <c r="BB235" s="1009">
        <f t="shared" si="183"/>
        <v>0</v>
      </c>
      <c r="BC235" s="1009">
        <f>BC236</f>
        <v>0</v>
      </c>
      <c r="BD235" s="1009">
        <f t="shared" si="183"/>
        <v>0</v>
      </c>
      <c r="BE235" s="1009">
        <f t="shared" si="183"/>
        <v>0</v>
      </c>
      <c r="BF235" s="1009">
        <f t="shared" si="183"/>
        <v>0</v>
      </c>
      <c r="BG235" s="1009">
        <f t="shared" si="183"/>
        <v>0</v>
      </c>
      <c r="BH235" s="1009">
        <f t="shared" si="183"/>
        <v>0</v>
      </c>
      <c r="BI235" s="1009">
        <f t="shared" si="183"/>
        <v>0</v>
      </c>
      <c r="BJ235" s="1009">
        <f t="shared" si="183"/>
        <v>0</v>
      </c>
      <c r="BK235" s="1009">
        <f t="shared" si="183"/>
        <v>1000</v>
      </c>
      <c r="BL235" s="1009">
        <f t="shared" si="183"/>
        <v>0</v>
      </c>
      <c r="BM235" s="1009">
        <f t="shared" si="183"/>
        <v>0</v>
      </c>
      <c r="BN235" s="1009">
        <f t="shared" si="183"/>
        <v>0</v>
      </c>
      <c r="BO235" s="1009">
        <f t="shared" si="166"/>
        <v>744.32781999999997</v>
      </c>
      <c r="BP235" s="1009">
        <f t="shared" si="183"/>
        <v>0</v>
      </c>
      <c r="BQ235" s="1009">
        <f t="shared" si="183"/>
        <v>0</v>
      </c>
      <c r="BR235" s="1009">
        <f t="shared" si="183"/>
        <v>0</v>
      </c>
      <c r="BS235" s="1009">
        <f>BS236</f>
        <v>0</v>
      </c>
      <c r="BT235" s="1009">
        <f t="shared" si="183"/>
        <v>0</v>
      </c>
      <c r="BU235" s="1009">
        <f t="shared" si="183"/>
        <v>0</v>
      </c>
      <c r="BV235" s="1009">
        <f t="shared" si="183"/>
        <v>0</v>
      </c>
      <c r="BW235" s="1009">
        <f t="shared" si="183"/>
        <v>0</v>
      </c>
      <c r="BX235" s="1009">
        <f t="shared" si="183"/>
        <v>0</v>
      </c>
      <c r="BY235" s="1009">
        <f t="shared" si="183"/>
        <v>0</v>
      </c>
      <c r="BZ235" s="1009">
        <f t="shared" si="183"/>
        <v>0</v>
      </c>
      <c r="CA235" s="1009">
        <f t="shared" si="183"/>
        <v>744.32781999999997</v>
      </c>
      <c r="CB235" s="1009">
        <f t="shared" si="183"/>
        <v>0</v>
      </c>
      <c r="CC235" s="1009">
        <f t="shared" si="183"/>
        <v>0</v>
      </c>
      <c r="CD235" s="1009">
        <f t="shared" si="183"/>
        <v>0</v>
      </c>
      <c r="CE235" s="1009">
        <f t="shared" si="183"/>
        <v>0</v>
      </c>
      <c r="CF235" s="1009">
        <f t="shared" si="179"/>
        <v>74.432782000000003</v>
      </c>
      <c r="CG235" s="1009"/>
      <c r="CH235" s="1009"/>
      <c r="CI235" s="1009"/>
      <c r="CJ235" s="1009"/>
      <c r="CK235" s="1009"/>
      <c r="CL235" s="1009"/>
      <c r="CM235" s="1009"/>
      <c r="CN235" s="1009"/>
      <c r="CO235" s="1009"/>
      <c r="CP235" s="1009"/>
      <c r="CQ235" s="1009"/>
      <c r="CR235" s="1009">
        <f t="shared" si="184"/>
        <v>74.432782000000003</v>
      </c>
      <c r="CS235" s="1009"/>
      <c r="CT235" s="1009"/>
      <c r="CU235" s="1009"/>
      <c r="CV235" s="1009"/>
      <c r="CW235" s="1009"/>
    </row>
    <row r="236" spans="1:101" ht="36.6" customHeight="1">
      <c r="A236" s="845"/>
      <c r="B236" s="852" t="s">
        <v>779</v>
      </c>
      <c r="C236" s="852" t="s">
        <v>780</v>
      </c>
      <c r="D236" s="846"/>
      <c r="E236" s="845"/>
      <c r="F236" s="847"/>
      <c r="G236" s="845"/>
      <c r="H236" s="850">
        <f t="shared" si="158"/>
        <v>15680</v>
      </c>
      <c r="I236" s="855">
        <v>15680</v>
      </c>
      <c r="J236" s="848"/>
      <c r="K236" s="848"/>
      <c r="L236" s="848"/>
      <c r="M236" s="848"/>
      <c r="N236" s="848"/>
      <c r="O236" s="848"/>
      <c r="P236" s="848"/>
      <c r="Q236" s="848"/>
      <c r="R236" s="848"/>
      <c r="S236" s="848"/>
      <c r="T236" s="855">
        <f>SUM(U236:AH236)</f>
        <v>5741.1249440000001</v>
      </c>
      <c r="U236" s="848">
        <f>U237</f>
        <v>5236.6245559999998</v>
      </c>
      <c r="V236" s="848"/>
      <c r="W236" s="848"/>
      <c r="X236" s="848"/>
      <c r="Y236" s="848"/>
      <c r="Z236" s="848"/>
      <c r="AA236" s="848"/>
      <c r="AB236" s="848"/>
      <c r="AC236" s="855">
        <v>23.462</v>
      </c>
      <c r="AD236" s="855"/>
      <c r="AE236" s="855"/>
      <c r="AF236" s="855"/>
      <c r="AG236" s="855"/>
      <c r="AH236" s="855">
        <v>481.038388</v>
      </c>
      <c r="AI236" s="855">
        <f>AW236</f>
        <v>500</v>
      </c>
      <c r="AJ236" s="855"/>
      <c r="AK236" s="855"/>
      <c r="AL236" s="855"/>
      <c r="AM236" s="855"/>
      <c r="AN236" s="855"/>
      <c r="AO236" s="855"/>
      <c r="AP236" s="855"/>
      <c r="AQ236" s="855"/>
      <c r="AR236" s="855"/>
      <c r="AS236" s="855"/>
      <c r="AT236" s="855"/>
      <c r="AU236" s="855"/>
      <c r="AV236" s="855"/>
      <c r="AW236" s="855">
        <v>500</v>
      </c>
      <c r="AX236" s="855"/>
      <c r="AY236" s="855">
        <f t="shared" ref="AY236" si="185">SUM(AZ236:BN236)</f>
        <v>1000</v>
      </c>
      <c r="AZ236" s="855"/>
      <c r="BA236" s="855"/>
      <c r="BB236" s="855"/>
      <c r="BC236" s="855"/>
      <c r="BD236" s="855"/>
      <c r="BE236" s="855"/>
      <c r="BF236" s="855"/>
      <c r="BG236" s="855"/>
      <c r="BH236" s="855"/>
      <c r="BI236" s="855"/>
      <c r="BJ236" s="855"/>
      <c r="BK236" s="855">
        <v>1000</v>
      </c>
      <c r="BL236" s="855"/>
      <c r="BM236" s="855"/>
      <c r="BN236" s="855"/>
      <c r="BO236" s="848">
        <f t="shared" si="166"/>
        <v>744.32781999999997</v>
      </c>
      <c r="BP236" s="855"/>
      <c r="BQ236" s="855"/>
      <c r="BR236" s="855"/>
      <c r="BS236" s="855"/>
      <c r="BT236" s="855"/>
      <c r="BU236" s="855"/>
      <c r="BV236" s="855"/>
      <c r="BW236" s="855"/>
      <c r="BX236" s="855"/>
      <c r="BY236" s="855"/>
      <c r="BZ236" s="855"/>
      <c r="CA236" s="855">
        <v>744.32781999999997</v>
      </c>
      <c r="CB236" s="855"/>
      <c r="CC236" s="855"/>
      <c r="CD236" s="855"/>
      <c r="CE236" s="855"/>
      <c r="CF236" s="848">
        <f t="shared" si="179"/>
        <v>74.432782000000003</v>
      </c>
      <c r="CG236" s="848"/>
      <c r="CH236" s="848"/>
      <c r="CI236" s="848"/>
      <c r="CJ236" s="848"/>
      <c r="CK236" s="848"/>
      <c r="CL236" s="848"/>
      <c r="CM236" s="848"/>
      <c r="CN236" s="848"/>
      <c r="CO236" s="848"/>
      <c r="CP236" s="848"/>
      <c r="CQ236" s="848"/>
      <c r="CR236" s="848">
        <f t="shared" si="184"/>
        <v>74.432782000000003</v>
      </c>
      <c r="CS236" s="848"/>
      <c r="CT236" s="848"/>
      <c r="CU236" s="848"/>
      <c r="CV236" s="848"/>
      <c r="CW236" s="848"/>
    </row>
    <row r="237" spans="1:101" ht="33" customHeight="1">
      <c r="A237" s="845" t="s">
        <v>781</v>
      </c>
      <c r="B237" s="845"/>
      <c r="C237" s="857" t="s">
        <v>782</v>
      </c>
      <c r="D237" s="846">
        <f>D238+D240</f>
        <v>0</v>
      </c>
      <c r="E237" s="845">
        <f t="shared" ref="E237:F237" si="186">E238+E240</f>
        <v>0</v>
      </c>
      <c r="F237" s="847">
        <f t="shared" si="186"/>
        <v>0</v>
      </c>
      <c r="G237" s="845"/>
      <c r="H237" s="850">
        <f t="shared" si="158"/>
        <v>12010</v>
      </c>
      <c r="I237" s="848">
        <f t="shared" ref="I237:BT237" si="187">I238+I240</f>
        <v>0</v>
      </c>
      <c r="J237" s="848">
        <f t="shared" si="187"/>
        <v>0</v>
      </c>
      <c r="K237" s="848">
        <f t="shared" si="187"/>
        <v>0</v>
      </c>
      <c r="L237" s="848">
        <f t="shared" si="187"/>
        <v>0</v>
      </c>
      <c r="M237" s="848">
        <f t="shared" si="187"/>
        <v>0</v>
      </c>
      <c r="N237" s="848">
        <f t="shared" si="187"/>
        <v>0</v>
      </c>
      <c r="O237" s="848">
        <f t="shared" si="187"/>
        <v>0</v>
      </c>
      <c r="P237" s="848">
        <f t="shared" si="187"/>
        <v>0</v>
      </c>
      <c r="Q237" s="848">
        <f t="shared" si="187"/>
        <v>614</v>
      </c>
      <c r="R237" s="848">
        <v>11396</v>
      </c>
      <c r="S237" s="848">
        <f t="shared" si="187"/>
        <v>0</v>
      </c>
      <c r="T237" s="848">
        <f t="shared" si="187"/>
        <v>20711.076128999997</v>
      </c>
      <c r="U237" s="848">
        <f t="shared" si="187"/>
        <v>5236.6245559999998</v>
      </c>
      <c r="V237" s="848">
        <f t="shared" si="187"/>
        <v>0</v>
      </c>
      <c r="W237" s="848">
        <f t="shared" si="187"/>
        <v>717.82348999999999</v>
      </c>
      <c r="X237" s="848">
        <f t="shared" si="187"/>
        <v>0</v>
      </c>
      <c r="Y237" s="848">
        <f t="shared" si="187"/>
        <v>0</v>
      </c>
      <c r="Z237" s="848">
        <f t="shared" si="187"/>
        <v>0</v>
      </c>
      <c r="AA237" s="848">
        <f t="shared" si="187"/>
        <v>0</v>
      </c>
      <c r="AB237" s="848">
        <f t="shared" si="187"/>
        <v>0</v>
      </c>
      <c r="AC237" s="848">
        <f t="shared" si="187"/>
        <v>0</v>
      </c>
      <c r="AD237" s="848">
        <f t="shared" si="187"/>
        <v>0</v>
      </c>
      <c r="AE237" s="848">
        <f t="shared" si="187"/>
        <v>0</v>
      </c>
      <c r="AF237" s="848">
        <f t="shared" si="187"/>
        <v>0</v>
      </c>
      <c r="AG237" s="848">
        <f t="shared" si="187"/>
        <v>14756.628083</v>
      </c>
      <c r="AH237" s="848">
        <f t="shared" si="187"/>
        <v>0</v>
      </c>
      <c r="AI237" s="848">
        <f t="shared" si="187"/>
        <v>23229</v>
      </c>
      <c r="AJ237" s="848">
        <f t="shared" si="187"/>
        <v>7000</v>
      </c>
      <c r="AK237" s="848">
        <f t="shared" si="187"/>
        <v>0</v>
      </c>
      <c r="AL237" s="848">
        <f t="shared" si="187"/>
        <v>1218</v>
      </c>
      <c r="AM237" s="848">
        <f t="shared" si="187"/>
        <v>0</v>
      </c>
      <c r="AN237" s="848">
        <f t="shared" si="187"/>
        <v>0</v>
      </c>
      <c r="AO237" s="848">
        <f t="shared" si="187"/>
        <v>0</v>
      </c>
      <c r="AP237" s="848">
        <f t="shared" si="187"/>
        <v>0</v>
      </c>
      <c r="AQ237" s="848">
        <f t="shared" si="187"/>
        <v>0</v>
      </c>
      <c r="AR237" s="848">
        <f t="shared" si="187"/>
        <v>0</v>
      </c>
      <c r="AS237" s="848">
        <f t="shared" si="187"/>
        <v>0</v>
      </c>
      <c r="AT237" s="848">
        <f t="shared" si="187"/>
        <v>0</v>
      </c>
      <c r="AU237" s="848">
        <f t="shared" si="187"/>
        <v>0</v>
      </c>
      <c r="AV237" s="848">
        <f t="shared" si="187"/>
        <v>0</v>
      </c>
      <c r="AW237" s="848">
        <f t="shared" si="187"/>
        <v>14757</v>
      </c>
      <c r="AX237" s="848">
        <f t="shared" si="187"/>
        <v>254</v>
      </c>
      <c r="AY237" s="848">
        <f t="shared" si="187"/>
        <v>399</v>
      </c>
      <c r="AZ237" s="848">
        <f t="shared" si="187"/>
        <v>0</v>
      </c>
      <c r="BA237" s="848">
        <f t="shared" si="187"/>
        <v>0</v>
      </c>
      <c r="BB237" s="848">
        <f t="shared" si="187"/>
        <v>0</v>
      </c>
      <c r="BC237" s="848">
        <f t="shared" si="187"/>
        <v>0</v>
      </c>
      <c r="BD237" s="848">
        <f t="shared" si="187"/>
        <v>0</v>
      </c>
      <c r="BE237" s="848">
        <f t="shared" si="187"/>
        <v>0</v>
      </c>
      <c r="BF237" s="848">
        <f t="shared" si="187"/>
        <v>0</v>
      </c>
      <c r="BG237" s="848">
        <f t="shared" si="187"/>
        <v>0</v>
      </c>
      <c r="BH237" s="848">
        <f t="shared" si="187"/>
        <v>0</v>
      </c>
      <c r="BI237" s="848">
        <f t="shared" si="187"/>
        <v>0</v>
      </c>
      <c r="BJ237" s="848">
        <f t="shared" si="187"/>
        <v>0</v>
      </c>
      <c r="BK237" s="848">
        <f t="shared" si="187"/>
        <v>399</v>
      </c>
      <c r="BL237" s="848">
        <f t="shared" si="187"/>
        <v>0</v>
      </c>
      <c r="BM237" s="848">
        <f t="shared" si="187"/>
        <v>0</v>
      </c>
      <c r="BN237" s="848">
        <f t="shared" si="187"/>
        <v>0</v>
      </c>
      <c r="BO237" s="848">
        <f t="shared" si="166"/>
        <v>395.52700000000004</v>
      </c>
      <c r="BP237" s="848">
        <f t="shared" si="187"/>
        <v>0</v>
      </c>
      <c r="BQ237" s="848">
        <f t="shared" si="187"/>
        <v>0</v>
      </c>
      <c r="BR237" s="848">
        <f t="shared" si="187"/>
        <v>0</v>
      </c>
      <c r="BS237" s="848">
        <f t="shared" si="187"/>
        <v>0</v>
      </c>
      <c r="BT237" s="848">
        <f t="shared" si="187"/>
        <v>0</v>
      </c>
      <c r="BU237" s="848">
        <f t="shared" ref="BU237:CS238" si="188">BU238+BU240</f>
        <v>0</v>
      </c>
      <c r="BV237" s="848">
        <f t="shared" si="188"/>
        <v>0</v>
      </c>
      <c r="BW237" s="848">
        <f t="shared" si="188"/>
        <v>0</v>
      </c>
      <c r="BX237" s="848">
        <f t="shared" si="188"/>
        <v>0</v>
      </c>
      <c r="BY237" s="848">
        <f t="shared" si="188"/>
        <v>0</v>
      </c>
      <c r="BZ237" s="848">
        <f t="shared" si="188"/>
        <v>0</v>
      </c>
      <c r="CA237" s="848">
        <f t="shared" si="188"/>
        <v>395.52700000000004</v>
      </c>
      <c r="CB237" s="848">
        <f t="shared" si="188"/>
        <v>0</v>
      </c>
      <c r="CC237" s="848">
        <f t="shared" si="188"/>
        <v>0</v>
      </c>
      <c r="CD237" s="848">
        <f t="shared" si="188"/>
        <v>0</v>
      </c>
      <c r="CE237" s="848">
        <f t="shared" si="188"/>
        <v>0</v>
      </c>
      <c r="CF237" s="848">
        <f t="shared" si="179"/>
        <v>74.432782000000003</v>
      </c>
      <c r="CG237" s="848"/>
      <c r="CH237" s="848"/>
      <c r="CI237" s="848"/>
      <c r="CJ237" s="848"/>
      <c r="CK237" s="848"/>
      <c r="CL237" s="848"/>
      <c r="CM237" s="848"/>
      <c r="CN237" s="848"/>
      <c r="CO237" s="848"/>
      <c r="CP237" s="848"/>
      <c r="CQ237" s="848"/>
      <c r="CR237" s="848">
        <f t="shared" si="184"/>
        <v>99.129573934837097</v>
      </c>
      <c r="CS237" s="848"/>
      <c r="CT237" s="848"/>
      <c r="CU237" s="848"/>
      <c r="CV237" s="848"/>
      <c r="CW237" s="848"/>
    </row>
    <row r="238" spans="1:101" ht="19.149999999999999" customHeight="1">
      <c r="A238" s="845" t="s">
        <v>30</v>
      </c>
      <c r="B238" s="845"/>
      <c r="C238" s="857" t="s">
        <v>783</v>
      </c>
      <c r="D238" s="846"/>
      <c r="E238" s="845"/>
      <c r="F238" s="847"/>
      <c r="G238" s="845"/>
      <c r="H238" s="850">
        <f t="shared" si="158"/>
        <v>5868</v>
      </c>
      <c r="I238" s="848">
        <f t="shared" ref="I238:BT238" si="189">I239</f>
        <v>0</v>
      </c>
      <c r="J238" s="848">
        <f t="shared" si="189"/>
        <v>0</v>
      </c>
      <c r="K238" s="848">
        <f t="shared" si="189"/>
        <v>0</v>
      </c>
      <c r="L238" s="848">
        <f t="shared" si="189"/>
        <v>0</v>
      </c>
      <c r="M238" s="848">
        <f t="shared" si="189"/>
        <v>0</v>
      </c>
      <c r="N238" s="848">
        <f t="shared" si="189"/>
        <v>0</v>
      </c>
      <c r="O238" s="848">
        <f t="shared" si="189"/>
        <v>0</v>
      </c>
      <c r="P238" s="848">
        <f t="shared" si="189"/>
        <v>0</v>
      </c>
      <c r="Q238" s="848">
        <f t="shared" si="189"/>
        <v>0</v>
      </c>
      <c r="R238" s="848">
        <v>5868</v>
      </c>
      <c r="S238" s="848">
        <f t="shared" si="189"/>
        <v>0</v>
      </c>
      <c r="T238" s="848">
        <f t="shared" si="189"/>
        <v>617.82348999999999</v>
      </c>
      <c r="U238" s="848">
        <f t="shared" si="189"/>
        <v>0</v>
      </c>
      <c r="V238" s="848">
        <f t="shared" si="189"/>
        <v>0</v>
      </c>
      <c r="W238" s="848">
        <f t="shared" si="189"/>
        <v>617.82348999999999</v>
      </c>
      <c r="X238" s="848">
        <f t="shared" si="189"/>
        <v>0</v>
      </c>
      <c r="Y238" s="848">
        <f t="shared" si="189"/>
        <v>0</v>
      </c>
      <c r="Z238" s="848">
        <f t="shared" si="189"/>
        <v>0</v>
      </c>
      <c r="AA238" s="848">
        <f t="shared" si="189"/>
        <v>0</v>
      </c>
      <c r="AB238" s="848">
        <f t="shared" si="189"/>
        <v>0</v>
      </c>
      <c r="AC238" s="848">
        <f t="shared" si="189"/>
        <v>0</v>
      </c>
      <c r="AD238" s="848">
        <f t="shared" si="189"/>
        <v>0</v>
      </c>
      <c r="AE238" s="848">
        <f t="shared" si="189"/>
        <v>0</v>
      </c>
      <c r="AF238" s="848">
        <f t="shared" si="189"/>
        <v>0</v>
      </c>
      <c r="AG238" s="848">
        <f t="shared" si="189"/>
        <v>0</v>
      </c>
      <c r="AH238" s="848">
        <f t="shared" si="189"/>
        <v>0</v>
      </c>
      <c r="AI238" s="848">
        <f t="shared" si="189"/>
        <v>872</v>
      </c>
      <c r="AJ238" s="848">
        <f t="shared" si="189"/>
        <v>0</v>
      </c>
      <c r="AK238" s="848">
        <f t="shared" si="189"/>
        <v>0</v>
      </c>
      <c r="AL238" s="848">
        <f t="shared" si="189"/>
        <v>618</v>
      </c>
      <c r="AM238" s="848">
        <f t="shared" si="189"/>
        <v>0</v>
      </c>
      <c r="AN238" s="848">
        <f t="shared" si="189"/>
        <v>0</v>
      </c>
      <c r="AO238" s="848">
        <f t="shared" si="189"/>
        <v>0</v>
      </c>
      <c r="AP238" s="848">
        <f t="shared" si="189"/>
        <v>0</v>
      </c>
      <c r="AQ238" s="848">
        <f t="shared" si="189"/>
        <v>0</v>
      </c>
      <c r="AR238" s="848">
        <f t="shared" si="189"/>
        <v>0</v>
      </c>
      <c r="AS238" s="848">
        <f t="shared" si="189"/>
        <v>0</v>
      </c>
      <c r="AT238" s="848">
        <f t="shared" si="189"/>
        <v>0</v>
      </c>
      <c r="AU238" s="848">
        <f t="shared" si="189"/>
        <v>0</v>
      </c>
      <c r="AV238" s="848">
        <f t="shared" si="189"/>
        <v>0</v>
      </c>
      <c r="AW238" s="848">
        <f t="shared" si="189"/>
        <v>0</v>
      </c>
      <c r="AX238" s="848">
        <f t="shared" si="189"/>
        <v>254</v>
      </c>
      <c r="AY238" s="848">
        <f t="shared" si="189"/>
        <v>254</v>
      </c>
      <c r="AZ238" s="848">
        <f t="shared" si="189"/>
        <v>0</v>
      </c>
      <c r="BA238" s="848">
        <f t="shared" si="189"/>
        <v>0</v>
      </c>
      <c r="BB238" s="848">
        <f t="shared" si="189"/>
        <v>0</v>
      </c>
      <c r="BC238" s="848">
        <f t="shared" si="189"/>
        <v>0</v>
      </c>
      <c r="BD238" s="848">
        <f t="shared" si="189"/>
        <v>0</v>
      </c>
      <c r="BE238" s="848">
        <f t="shared" si="189"/>
        <v>0</v>
      </c>
      <c r="BF238" s="848">
        <f t="shared" si="189"/>
        <v>0</v>
      </c>
      <c r="BG238" s="848">
        <f t="shared" si="189"/>
        <v>0</v>
      </c>
      <c r="BH238" s="848">
        <f t="shared" si="189"/>
        <v>0</v>
      </c>
      <c r="BI238" s="848">
        <f t="shared" si="189"/>
        <v>0</v>
      </c>
      <c r="BJ238" s="848">
        <f t="shared" si="189"/>
        <v>0</v>
      </c>
      <c r="BK238" s="848">
        <f t="shared" si="189"/>
        <v>254</v>
      </c>
      <c r="BL238" s="848">
        <f t="shared" si="189"/>
        <v>0</v>
      </c>
      <c r="BM238" s="848">
        <f t="shared" si="189"/>
        <v>0</v>
      </c>
      <c r="BN238" s="848">
        <f t="shared" si="189"/>
        <v>0</v>
      </c>
      <c r="BO238" s="848">
        <f t="shared" si="166"/>
        <v>253.709</v>
      </c>
      <c r="BP238" s="848">
        <f t="shared" si="189"/>
        <v>0</v>
      </c>
      <c r="BQ238" s="848">
        <f t="shared" si="189"/>
        <v>0</v>
      </c>
      <c r="BR238" s="848">
        <f t="shared" si="189"/>
        <v>0</v>
      </c>
      <c r="BS238" s="848">
        <f t="shared" si="189"/>
        <v>0</v>
      </c>
      <c r="BT238" s="848">
        <f t="shared" si="189"/>
        <v>0</v>
      </c>
      <c r="BU238" s="848">
        <f t="shared" ref="BU238:CS239" si="190">BU239</f>
        <v>0</v>
      </c>
      <c r="BV238" s="848">
        <f t="shared" si="190"/>
        <v>0</v>
      </c>
      <c r="BW238" s="848">
        <f t="shared" si="190"/>
        <v>0</v>
      </c>
      <c r="BX238" s="848">
        <f t="shared" si="190"/>
        <v>0</v>
      </c>
      <c r="BY238" s="848">
        <f t="shared" si="190"/>
        <v>0</v>
      </c>
      <c r="BZ238" s="848">
        <f t="shared" si="190"/>
        <v>0</v>
      </c>
      <c r="CA238" s="848">
        <f t="shared" si="190"/>
        <v>253.709</v>
      </c>
      <c r="CB238" s="848">
        <f t="shared" si="190"/>
        <v>0</v>
      </c>
      <c r="CC238" s="848">
        <f t="shared" si="190"/>
        <v>0</v>
      </c>
      <c r="CD238" s="848">
        <f t="shared" si="190"/>
        <v>0</v>
      </c>
      <c r="CE238" s="848">
        <f t="shared" si="190"/>
        <v>0</v>
      </c>
      <c r="CF238" s="848">
        <f t="shared" si="188"/>
        <v>197.69095031224546</v>
      </c>
      <c r="CG238" s="848"/>
      <c r="CH238" s="848"/>
      <c r="CI238" s="848"/>
      <c r="CJ238" s="848"/>
      <c r="CK238" s="848"/>
      <c r="CL238" s="848"/>
      <c r="CM238" s="848"/>
      <c r="CN238" s="848"/>
      <c r="CO238" s="848"/>
      <c r="CP238" s="848"/>
      <c r="CQ238" s="848"/>
      <c r="CR238" s="848">
        <f t="shared" si="184"/>
        <v>99.885433070866142</v>
      </c>
      <c r="CS238" s="848">
        <f t="shared" si="188"/>
        <v>0</v>
      </c>
      <c r="CT238" s="848"/>
      <c r="CU238" s="848"/>
      <c r="CV238" s="848"/>
      <c r="CW238" s="848"/>
    </row>
    <row r="239" spans="1:101" ht="24.75" customHeight="1">
      <c r="A239" s="845"/>
      <c r="B239" s="852" t="s">
        <v>782</v>
      </c>
      <c r="C239" s="852" t="s">
        <v>784</v>
      </c>
      <c r="D239" s="846"/>
      <c r="E239" s="845"/>
      <c r="F239" s="853">
        <v>2010</v>
      </c>
      <c r="G239" s="885" t="s">
        <v>785</v>
      </c>
      <c r="H239" s="850">
        <f t="shared" si="158"/>
        <v>5868</v>
      </c>
      <c r="I239" s="850"/>
      <c r="J239" s="848"/>
      <c r="K239" s="848"/>
      <c r="L239" s="848"/>
      <c r="M239" s="848"/>
      <c r="N239" s="848"/>
      <c r="O239" s="848"/>
      <c r="P239" s="848"/>
      <c r="Q239" s="848"/>
      <c r="R239" s="855">
        <v>5868</v>
      </c>
      <c r="S239" s="848"/>
      <c r="T239" s="855">
        <f t="shared" si="167"/>
        <v>617.82348999999999</v>
      </c>
      <c r="U239" s="848"/>
      <c r="V239" s="848"/>
      <c r="W239" s="855">
        <v>617.82348999999999</v>
      </c>
      <c r="X239" s="855"/>
      <c r="Y239" s="855"/>
      <c r="Z239" s="855"/>
      <c r="AA239" s="855"/>
      <c r="AB239" s="855"/>
      <c r="AC239" s="848"/>
      <c r="AD239" s="848"/>
      <c r="AE239" s="848"/>
      <c r="AF239" s="848"/>
      <c r="AG239" s="848"/>
      <c r="AH239" s="855"/>
      <c r="AI239" s="855">
        <f>AL239+AX239</f>
        <v>872</v>
      </c>
      <c r="AJ239" s="855"/>
      <c r="AK239" s="855"/>
      <c r="AL239" s="855">
        <v>618</v>
      </c>
      <c r="AM239" s="855"/>
      <c r="AN239" s="855"/>
      <c r="AO239" s="855"/>
      <c r="AP239" s="855"/>
      <c r="AQ239" s="855"/>
      <c r="AR239" s="855"/>
      <c r="AS239" s="855"/>
      <c r="AT239" s="855"/>
      <c r="AU239" s="855"/>
      <c r="AV239" s="855"/>
      <c r="AW239" s="855"/>
      <c r="AX239" s="855">
        <v>254</v>
      </c>
      <c r="AY239" s="855">
        <f t="shared" ref="AY239" si="191">SUM(AZ239:BN239)</f>
        <v>254</v>
      </c>
      <c r="AZ239" s="855"/>
      <c r="BA239" s="855"/>
      <c r="BB239" s="855"/>
      <c r="BC239" s="855"/>
      <c r="BD239" s="855"/>
      <c r="BE239" s="855"/>
      <c r="BF239" s="855"/>
      <c r="BG239" s="855"/>
      <c r="BH239" s="855"/>
      <c r="BI239" s="855"/>
      <c r="BJ239" s="855"/>
      <c r="BK239" s="855">
        <f>'[10]bieu cu'!H132</f>
        <v>254</v>
      </c>
      <c r="BL239" s="855"/>
      <c r="BM239" s="855"/>
      <c r="BN239" s="855"/>
      <c r="BO239" s="848">
        <f t="shared" si="166"/>
        <v>253.709</v>
      </c>
      <c r="BP239" s="855"/>
      <c r="BQ239" s="855"/>
      <c r="BR239" s="855"/>
      <c r="BS239" s="855"/>
      <c r="BT239" s="855"/>
      <c r="BU239" s="855"/>
      <c r="BV239" s="855"/>
      <c r="BW239" s="855"/>
      <c r="BX239" s="855"/>
      <c r="BY239" s="855"/>
      <c r="BZ239" s="855"/>
      <c r="CA239" s="855">
        <f>'[10]bieu cu'!M132</f>
        <v>253.709</v>
      </c>
      <c r="CB239" s="855"/>
      <c r="CC239" s="855"/>
      <c r="CD239" s="855"/>
      <c r="CE239" s="855"/>
      <c r="CF239" s="848">
        <f t="shared" si="190"/>
        <v>99.885433070866142</v>
      </c>
      <c r="CG239" s="848"/>
      <c r="CH239" s="848"/>
      <c r="CI239" s="848"/>
      <c r="CJ239" s="848"/>
      <c r="CK239" s="848"/>
      <c r="CL239" s="848"/>
      <c r="CM239" s="848"/>
      <c r="CN239" s="848"/>
      <c r="CO239" s="848"/>
      <c r="CP239" s="848"/>
      <c r="CQ239" s="848"/>
      <c r="CR239" s="848">
        <f t="shared" si="184"/>
        <v>99.885433070866142</v>
      </c>
      <c r="CS239" s="848">
        <f t="shared" si="190"/>
        <v>0</v>
      </c>
      <c r="CT239" s="848"/>
      <c r="CU239" s="848"/>
      <c r="CV239" s="848"/>
      <c r="CW239" s="848"/>
    </row>
    <row r="240" spans="1:101" ht="19.149999999999999" customHeight="1">
      <c r="A240" s="845" t="s">
        <v>31</v>
      </c>
      <c r="B240" s="845"/>
      <c r="C240" s="857" t="s">
        <v>454</v>
      </c>
      <c r="D240" s="846">
        <f>D241</f>
        <v>0</v>
      </c>
      <c r="E240" s="845">
        <f t="shared" ref="E240:F240" si="192">E241</f>
        <v>0</v>
      </c>
      <c r="F240" s="847">
        <f t="shared" si="192"/>
        <v>0</v>
      </c>
      <c r="G240" s="845"/>
      <c r="H240" s="850">
        <f t="shared" si="158"/>
        <v>6142</v>
      </c>
      <c r="I240" s="848">
        <f t="shared" ref="I240:BT240" si="193">I241</f>
        <v>0</v>
      </c>
      <c r="J240" s="848">
        <f t="shared" si="193"/>
        <v>0</v>
      </c>
      <c r="K240" s="848">
        <f t="shared" si="193"/>
        <v>0</v>
      </c>
      <c r="L240" s="848">
        <f t="shared" si="193"/>
        <v>0</v>
      </c>
      <c r="M240" s="848">
        <f t="shared" si="193"/>
        <v>0</v>
      </c>
      <c r="N240" s="848">
        <f t="shared" si="193"/>
        <v>0</v>
      </c>
      <c r="O240" s="848">
        <f t="shared" si="193"/>
        <v>0</v>
      </c>
      <c r="P240" s="848">
        <f t="shared" si="193"/>
        <v>0</v>
      </c>
      <c r="Q240" s="848">
        <f t="shared" si="193"/>
        <v>614</v>
      </c>
      <c r="R240" s="848">
        <v>5528</v>
      </c>
      <c r="S240" s="848">
        <f t="shared" si="193"/>
        <v>0</v>
      </c>
      <c r="T240" s="848">
        <f t="shared" si="193"/>
        <v>20093.252638999998</v>
      </c>
      <c r="U240" s="848">
        <f t="shared" si="193"/>
        <v>5236.6245559999998</v>
      </c>
      <c r="V240" s="848">
        <f t="shared" si="193"/>
        <v>0</v>
      </c>
      <c r="W240" s="848">
        <f t="shared" si="193"/>
        <v>100</v>
      </c>
      <c r="X240" s="848">
        <f t="shared" si="193"/>
        <v>0</v>
      </c>
      <c r="Y240" s="848">
        <f t="shared" si="193"/>
        <v>0</v>
      </c>
      <c r="Z240" s="848">
        <f t="shared" si="193"/>
        <v>0</v>
      </c>
      <c r="AA240" s="848">
        <f t="shared" si="193"/>
        <v>0</v>
      </c>
      <c r="AB240" s="848">
        <f t="shared" si="193"/>
        <v>0</v>
      </c>
      <c r="AC240" s="848">
        <f t="shared" si="193"/>
        <v>0</v>
      </c>
      <c r="AD240" s="848">
        <f t="shared" si="193"/>
        <v>0</v>
      </c>
      <c r="AE240" s="848">
        <f t="shared" si="193"/>
        <v>0</v>
      </c>
      <c r="AF240" s="848">
        <f t="shared" si="193"/>
        <v>0</v>
      </c>
      <c r="AG240" s="848">
        <f t="shared" si="193"/>
        <v>14756.628083</v>
      </c>
      <c r="AH240" s="848">
        <f t="shared" si="193"/>
        <v>0</v>
      </c>
      <c r="AI240" s="848">
        <f t="shared" si="193"/>
        <v>22357</v>
      </c>
      <c r="AJ240" s="848">
        <f t="shared" si="193"/>
        <v>7000</v>
      </c>
      <c r="AK240" s="848">
        <f t="shared" si="193"/>
        <v>0</v>
      </c>
      <c r="AL240" s="848">
        <f t="shared" si="193"/>
        <v>600</v>
      </c>
      <c r="AM240" s="848">
        <f t="shared" si="193"/>
        <v>0</v>
      </c>
      <c r="AN240" s="848">
        <f t="shared" si="193"/>
        <v>0</v>
      </c>
      <c r="AO240" s="848">
        <f t="shared" si="193"/>
        <v>0</v>
      </c>
      <c r="AP240" s="848">
        <f t="shared" si="193"/>
        <v>0</v>
      </c>
      <c r="AQ240" s="848">
        <f t="shared" si="193"/>
        <v>0</v>
      </c>
      <c r="AR240" s="848">
        <f t="shared" si="193"/>
        <v>0</v>
      </c>
      <c r="AS240" s="848">
        <f t="shared" si="193"/>
        <v>0</v>
      </c>
      <c r="AT240" s="848">
        <f t="shared" si="193"/>
        <v>0</v>
      </c>
      <c r="AU240" s="848">
        <f t="shared" si="193"/>
        <v>0</v>
      </c>
      <c r="AV240" s="848">
        <f t="shared" si="193"/>
        <v>0</v>
      </c>
      <c r="AW240" s="848">
        <f t="shared" si="193"/>
        <v>14757</v>
      </c>
      <c r="AX240" s="848">
        <f t="shared" si="193"/>
        <v>0</v>
      </c>
      <c r="AY240" s="848">
        <f t="shared" si="193"/>
        <v>145</v>
      </c>
      <c r="AZ240" s="848">
        <f t="shared" si="193"/>
        <v>0</v>
      </c>
      <c r="BA240" s="848">
        <f t="shared" si="193"/>
        <v>0</v>
      </c>
      <c r="BB240" s="848">
        <f t="shared" si="193"/>
        <v>0</v>
      </c>
      <c r="BC240" s="848">
        <f t="shared" si="193"/>
        <v>0</v>
      </c>
      <c r="BD240" s="848">
        <f t="shared" si="193"/>
        <v>0</v>
      </c>
      <c r="BE240" s="848">
        <f t="shared" si="193"/>
        <v>0</v>
      </c>
      <c r="BF240" s="848">
        <f t="shared" si="193"/>
        <v>0</v>
      </c>
      <c r="BG240" s="848">
        <f t="shared" si="193"/>
        <v>0</v>
      </c>
      <c r="BH240" s="848">
        <f t="shared" si="193"/>
        <v>0</v>
      </c>
      <c r="BI240" s="848">
        <f t="shared" si="193"/>
        <v>0</v>
      </c>
      <c r="BJ240" s="848">
        <f t="shared" si="193"/>
        <v>0</v>
      </c>
      <c r="BK240" s="848">
        <f t="shared" si="193"/>
        <v>145</v>
      </c>
      <c r="BL240" s="848">
        <f t="shared" si="193"/>
        <v>0</v>
      </c>
      <c r="BM240" s="848">
        <f t="shared" si="193"/>
        <v>0</v>
      </c>
      <c r="BN240" s="848">
        <f t="shared" si="193"/>
        <v>0</v>
      </c>
      <c r="BO240" s="848">
        <f t="shared" si="166"/>
        <v>141.81800000000001</v>
      </c>
      <c r="BP240" s="848">
        <f t="shared" si="193"/>
        <v>0</v>
      </c>
      <c r="BQ240" s="848">
        <f t="shared" si="193"/>
        <v>0</v>
      </c>
      <c r="BR240" s="848">
        <f t="shared" si="193"/>
        <v>0</v>
      </c>
      <c r="BS240" s="848">
        <f t="shared" si="193"/>
        <v>0</v>
      </c>
      <c r="BT240" s="848">
        <f t="shared" si="193"/>
        <v>0</v>
      </c>
      <c r="BU240" s="848">
        <f t="shared" ref="BU240:CS241" si="194">BU241</f>
        <v>0</v>
      </c>
      <c r="BV240" s="848">
        <f t="shared" si="194"/>
        <v>0</v>
      </c>
      <c r="BW240" s="848">
        <f t="shared" si="194"/>
        <v>0</v>
      </c>
      <c r="BX240" s="848">
        <f t="shared" si="194"/>
        <v>0</v>
      </c>
      <c r="BY240" s="848">
        <f t="shared" si="194"/>
        <v>0</v>
      </c>
      <c r="BZ240" s="848">
        <f t="shared" si="194"/>
        <v>0</v>
      </c>
      <c r="CA240" s="848">
        <f t="shared" si="194"/>
        <v>141.81800000000001</v>
      </c>
      <c r="CB240" s="848">
        <f t="shared" si="194"/>
        <v>0</v>
      </c>
      <c r="CC240" s="848">
        <f t="shared" si="194"/>
        <v>0</v>
      </c>
      <c r="CD240" s="848">
        <f t="shared" si="194"/>
        <v>0</v>
      </c>
      <c r="CE240" s="848">
        <f t="shared" si="194"/>
        <v>0</v>
      </c>
      <c r="CF240" s="848">
        <f>BO239/AY239%</f>
        <v>99.885433070866142</v>
      </c>
      <c r="CG240" s="848"/>
      <c r="CH240" s="848"/>
      <c r="CI240" s="848"/>
      <c r="CJ240" s="848"/>
      <c r="CK240" s="848"/>
      <c r="CL240" s="848"/>
      <c r="CM240" s="848"/>
      <c r="CN240" s="848"/>
      <c r="CO240" s="848"/>
      <c r="CP240" s="848"/>
      <c r="CQ240" s="848"/>
      <c r="CR240" s="848">
        <f t="shared" si="184"/>
        <v>97.80551724137932</v>
      </c>
      <c r="CS240" s="848"/>
      <c r="CT240" s="848"/>
      <c r="CU240" s="848"/>
      <c r="CV240" s="848"/>
      <c r="CW240" s="848"/>
    </row>
    <row r="241" spans="1:101" s="851" customFormat="1" ht="33.75" customHeight="1">
      <c r="A241" s="845"/>
      <c r="B241" s="852" t="s">
        <v>782</v>
      </c>
      <c r="C241" s="852" t="s">
        <v>786</v>
      </c>
      <c r="D241" s="846"/>
      <c r="E241" s="845"/>
      <c r="F241" s="847"/>
      <c r="G241" s="854" t="s">
        <v>456</v>
      </c>
      <c r="H241" s="850">
        <f t="shared" si="158"/>
        <v>6142</v>
      </c>
      <c r="I241" s="850"/>
      <c r="J241" s="848"/>
      <c r="K241" s="848"/>
      <c r="L241" s="848"/>
      <c r="M241" s="848"/>
      <c r="N241" s="848"/>
      <c r="O241" s="848"/>
      <c r="P241" s="848"/>
      <c r="Q241" s="855">
        <v>614</v>
      </c>
      <c r="R241" s="855">
        <v>5528</v>
      </c>
      <c r="S241" s="848"/>
      <c r="T241" s="855">
        <f t="shared" si="167"/>
        <v>20093.252638999998</v>
      </c>
      <c r="U241" s="855">
        <v>5236.6245559999998</v>
      </c>
      <c r="V241" s="848"/>
      <c r="W241" s="855">
        <v>100</v>
      </c>
      <c r="X241" s="848"/>
      <c r="Y241" s="848"/>
      <c r="Z241" s="848"/>
      <c r="AA241" s="848"/>
      <c r="AB241" s="848"/>
      <c r="AC241" s="848"/>
      <c r="AD241" s="848"/>
      <c r="AE241" s="848"/>
      <c r="AF241" s="848"/>
      <c r="AG241" s="855">
        <v>14756.628083</v>
      </c>
      <c r="AH241" s="855"/>
      <c r="AI241" s="855">
        <f>AJ241+AL241+AW241</f>
        <v>22357</v>
      </c>
      <c r="AJ241" s="855">
        <v>7000</v>
      </c>
      <c r="AK241" s="855"/>
      <c r="AL241" s="855">
        <v>600</v>
      </c>
      <c r="AM241" s="855"/>
      <c r="AN241" s="855"/>
      <c r="AO241" s="855"/>
      <c r="AP241" s="855"/>
      <c r="AQ241" s="855"/>
      <c r="AR241" s="855"/>
      <c r="AS241" s="855"/>
      <c r="AT241" s="855"/>
      <c r="AU241" s="855"/>
      <c r="AV241" s="855"/>
      <c r="AW241" s="855">
        <v>14757</v>
      </c>
      <c r="AX241" s="855"/>
      <c r="AY241" s="855">
        <f t="shared" ref="AY241" si="195">SUM(AZ241:BN241)</f>
        <v>145</v>
      </c>
      <c r="AZ241" s="855"/>
      <c r="BA241" s="855"/>
      <c r="BB241" s="855"/>
      <c r="BC241" s="855"/>
      <c r="BD241" s="855"/>
      <c r="BE241" s="855"/>
      <c r="BF241" s="855"/>
      <c r="BG241" s="855"/>
      <c r="BH241" s="855"/>
      <c r="BI241" s="855"/>
      <c r="BJ241" s="855"/>
      <c r="BK241" s="855">
        <v>145</v>
      </c>
      <c r="BL241" s="855"/>
      <c r="BM241" s="855"/>
      <c r="BN241" s="855"/>
      <c r="BO241" s="848">
        <f t="shared" si="166"/>
        <v>141.81800000000001</v>
      </c>
      <c r="BP241" s="855"/>
      <c r="BQ241" s="855"/>
      <c r="BR241" s="855"/>
      <c r="BS241" s="855"/>
      <c r="BT241" s="855"/>
      <c r="BU241" s="855"/>
      <c r="BV241" s="855"/>
      <c r="BW241" s="855"/>
      <c r="BX241" s="855"/>
      <c r="BY241" s="855"/>
      <c r="BZ241" s="855"/>
      <c r="CA241" s="855">
        <f>'[10]bieu cu'!M147</f>
        <v>141.81800000000001</v>
      </c>
      <c r="CB241" s="855"/>
      <c r="CC241" s="855"/>
      <c r="CD241" s="855"/>
      <c r="CE241" s="855"/>
      <c r="CF241" s="848">
        <f t="shared" si="194"/>
        <v>97.80551724137932</v>
      </c>
      <c r="CG241" s="848"/>
      <c r="CH241" s="848"/>
      <c r="CI241" s="848"/>
      <c r="CJ241" s="848"/>
      <c r="CK241" s="848"/>
      <c r="CL241" s="848"/>
      <c r="CM241" s="848"/>
      <c r="CN241" s="848"/>
      <c r="CO241" s="848"/>
      <c r="CP241" s="848"/>
      <c r="CQ241" s="848"/>
      <c r="CR241" s="848">
        <f t="shared" si="184"/>
        <v>97.80551724137932</v>
      </c>
      <c r="CS241" s="848">
        <f t="shared" si="194"/>
        <v>0</v>
      </c>
      <c r="CT241" s="848"/>
      <c r="CU241" s="848"/>
      <c r="CV241" s="848"/>
      <c r="CW241" s="848"/>
    </row>
    <row r="242" spans="1:101" ht="21.6" customHeight="1">
      <c r="A242" s="845" t="s">
        <v>787</v>
      </c>
      <c r="B242" s="845"/>
      <c r="C242" s="857" t="s">
        <v>788</v>
      </c>
      <c r="D242" s="846">
        <f>D243</f>
        <v>0</v>
      </c>
      <c r="E242" s="845">
        <f t="shared" ref="E242:CE243" si="196">E243</f>
        <v>0</v>
      </c>
      <c r="F242" s="847"/>
      <c r="G242" s="845"/>
      <c r="H242" s="850">
        <f t="shared" si="158"/>
        <v>27308</v>
      </c>
      <c r="I242" s="848">
        <f t="shared" ref="I242:AR242" si="197">I243</f>
        <v>0</v>
      </c>
      <c r="J242" s="848">
        <f t="shared" si="197"/>
        <v>0</v>
      </c>
      <c r="K242" s="848">
        <f t="shared" si="197"/>
        <v>0</v>
      </c>
      <c r="L242" s="848">
        <f t="shared" si="197"/>
        <v>0</v>
      </c>
      <c r="M242" s="848">
        <f t="shared" si="197"/>
        <v>0</v>
      </c>
      <c r="N242" s="848">
        <f t="shared" si="197"/>
        <v>0</v>
      </c>
      <c r="O242" s="848">
        <f t="shared" si="197"/>
        <v>0</v>
      </c>
      <c r="P242" s="848">
        <f t="shared" si="197"/>
        <v>0</v>
      </c>
      <c r="Q242" s="848">
        <f t="shared" si="197"/>
        <v>0</v>
      </c>
      <c r="R242" s="848">
        <v>26193</v>
      </c>
      <c r="S242" s="848">
        <f t="shared" si="197"/>
        <v>1115</v>
      </c>
      <c r="T242" s="848">
        <f t="shared" si="197"/>
        <v>500</v>
      </c>
      <c r="U242" s="848">
        <f t="shared" si="197"/>
        <v>0</v>
      </c>
      <c r="V242" s="848">
        <f t="shared" si="197"/>
        <v>0</v>
      </c>
      <c r="W242" s="848">
        <f t="shared" si="197"/>
        <v>0</v>
      </c>
      <c r="X242" s="848">
        <f t="shared" si="197"/>
        <v>0</v>
      </c>
      <c r="Y242" s="848">
        <f t="shared" si="197"/>
        <v>0</v>
      </c>
      <c r="Z242" s="848">
        <f t="shared" si="197"/>
        <v>0</v>
      </c>
      <c r="AA242" s="848">
        <f t="shared" si="197"/>
        <v>0</v>
      </c>
      <c r="AB242" s="848">
        <f t="shared" si="197"/>
        <v>0</v>
      </c>
      <c r="AC242" s="848">
        <f t="shared" si="197"/>
        <v>0</v>
      </c>
      <c r="AD242" s="848">
        <f t="shared" si="197"/>
        <v>0</v>
      </c>
      <c r="AE242" s="848">
        <f t="shared" si="197"/>
        <v>0</v>
      </c>
      <c r="AF242" s="848">
        <f t="shared" si="197"/>
        <v>0</v>
      </c>
      <c r="AG242" s="848">
        <f t="shared" si="197"/>
        <v>0</v>
      </c>
      <c r="AH242" s="848">
        <f t="shared" si="197"/>
        <v>500</v>
      </c>
      <c r="AI242" s="848">
        <f t="shared" si="197"/>
        <v>500</v>
      </c>
      <c r="AJ242" s="848">
        <f t="shared" si="197"/>
        <v>0</v>
      </c>
      <c r="AK242" s="848">
        <f t="shared" si="197"/>
        <v>0</v>
      </c>
      <c r="AL242" s="848">
        <f t="shared" si="197"/>
        <v>0</v>
      </c>
      <c r="AM242" s="848">
        <f t="shared" si="197"/>
        <v>0</v>
      </c>
      <c r="AN242" s="848">
        <f t="shared" si="197"/>
        <v>0</v>
      </c>
      <c r="AO242" s="848">
        <f t="shared" si="197"/>
        <v>0</v>
      </c>
      <c r="AP242" s="848">
        <f t="shared" si="197"/>
        <v>0</v>
      </c>
      <c r="AQ242" s="848">
        <f t="shared" si="197"/>
        <v>0</v>
      </c>
      <c r="AR242" s="848">
        <f t="shared" si="197"/>
        <v>0</v>
      </c>
      <c r="AS242" s="848"/>
      <c r="AT242" s="848">
        <f t="shared" ref="AT242:AW242" si="198">AT243</f>
        <v>0</v>
      </c>
      <c r="AU242" s="848">
        <f t="shared" si="198"/>
        <v>0</v>
      </c>
      <c r="AV242" s="848">
        <f t="shared" si="198"/>
        <v>0</v>
      </c>
      <c r="AW242" s="848">
        <f t="shared" si="198"/>
        <v>500</v>
      </c>
      <c r="AX242" s="848">
        <f t="shared" si="196"/>
        <v>0</v>
      </c>
      <c r="AY242" s="848">
        <f t="shared" si="196"/>
        <v>3399</v>
      </c>
      <c r="AZ242" s="848">
        <f t="shared" si="196"/>
        <v>0</v>
      </c>
      <c r="BA242" s="848">
        <f t="shared" si="196"/>
        <v>0</v>
      </c>
      <c r="BB242" s="848">
        <f t="shared" si="196"/>
        <v>0</v>
      </c>
      <c r="BC242" s="848">
        <f t="shared" si="196"/>
        <v>0</v>
      </c>
      <c r="BD242" s="848">
        <f t="shared" si="196"/>
        <v>0</v>
      </c>
      <c r="BE242" s="848">
        <f t="shared" si="196"/>
        <v>0</v>
      </c>
      <c r="BF242" s="848">
        <f t="shared" si="196"/>
        <v>0</v>
      </c>
      <c r="BG242" s="848">
        <f t="shared" si="196"/>
        <v>0</v>
      </c>
      <c r="BH242" s="848">
        <f t="shared" si="196"/>
        <v>0</v>
      </c>
      <c r="BI242" s="848">
        <f t="shared" si="196"/>
        <v>0</v>
      </c>
      <c r="BJ242" s="848">
        <f t="shared" si="196"/>
        <v>0</v>
      </c>
      <c r="BK242" s="848">
        <f t="shared" si="196"/>
        <v>3399</v>
      </c>
      <c r="BL242" s="848">
        <f t="shared" si="196"/>
        <v>0</v>
      </c>
      <c r="BM242" s="848">
        <f t="shared" si="196"/>
        <v>0</v>
      </c>
      <c r="BN242" s="848">
        <f t="shared" si="196"/>
        <v>0</v>
      </c>
      <c r="BO242" s="848">
        <f t="shared" si="166"/>
        <v>810.58166900000003</v>
      </c>
      <c r="BP242" s="848">
        <f t="shared" si="196"/>
        <v>0</v>
      </c>
      <c r="BQ242" s="848">
        <f t="shared" si="196"/>
        <v>0</v>
      </c>
      <c r="BR242" s="848">
        <f t="shared" si="196"/>
        <v>0</v>
      </c>
      <c r="BS242" s="848">
        <f t="shared" si="196"/>
        <v>0</v>
      </c>
      <c r="BT242" s="848">
        <f t="shared" si="196"/>
        <v>0</v>
      </c>
      <c r="BU242" s="848">
        <f t="shared" si="196"/>
        <v>0</v>
      </c>
      <c r="BV242" s="848">
        <f t="shared" si="196"/>
        <v>0</v>
      </c>
      <c r="BW242" s="848">
        <f t="shared" si="196"/>
        <v>0</v>
      </c>
      <c r="BX242" s="848">
        <f t="shared" si="196"/>
        <v>0</v>
      </c>
      <c r="BY242" s="848">
        <f t="shared" si="196"/>
        <v>0</v>
      </c>
      <c r="BZ242" s="848">
        <f t="shared" si="196"/>
        <v>0</v>
      </c>
      <c r="CA242" s="848">
        <f>CA243</f>
        <v>810.58166900000003</v>
      </c>
      <c r="CB242" s="848">
        <f t="shared" si="196"/>
        <v>0</v>
      </c>
      <c r="CC242" s="848">
        <f t="shared" si="196"/>
        <v>0</v>
      </c>
      <c r="CD242" s="848">
        <f t="shared" si="196"/>
        <v>0</v>
      </c>
      <c r="CE242" s="848">
        <f t="shared" si="196"/>
        <v>0</v>
      </c>
      <c r="CF242" s="848">
        <f t="shared" ref="CF242:CF247" si="199">BO241/AY241%</f>
        <v>97.80551724137932</v>
      </c>
      <c r="CG242" s="848"/>
      <c r="CH242" s="848"/>
      <c r="CI242" s="848"/>
      <c r="CJ242" s="848"/>
      <c r="CK242" s="848"/>
      <c r="CL242" s="848"/>
      <c r="CM242" s="848"/>
      <c r="CN242" s="848"/>
      <c r="CO242" s="848"/>
      <c r="CP242" s="848"/>
      <c r="CQ242" s="848"/>
      <c r="CR242" s="848">
        <f t="shared" si="184"/>
        <v>23.84765133862901</v>
      </c>
      <c r="CS242" s="848"/>
      <c r="CT242" s="848"/>
      <c r="CU242" s="848"/>
      <c r="CV242" s="848"/>
      <c r="CW242" s="848"/>
    </row>
    <row r="243" spans="1:101" ht="24.75" customHeight="1">
      <c r="A243" s="845"/>
      <c r="B243" s="845"/>
      <c r="C243" s="857" t="s">
        <v>371</v>
      </c>
      <c r="D243" s="846">
        <f>D244</f>
        <v>0</v>
      </c>
      <c r="E243" s="845">
        <f t="shared" si="196"/>
        <v>0</v>
      </c>
      <c r="F243" s="847"/>
      <c r="G243" s="845"/>
      <c r="H243" s="850">
        <f t="shared" si="158"/>
        <v>27308</v>
      </c>
      <c r="I243" s="848">
        <f t="shared" ref="I243:AH243" si="200">I244+I245</f>
        <v>0</v>
      </c>
      <c r="J243" s="848">
        <f t="shared" si="200"/>
        <v>0</v>
      </c>
      <c r="K243" s="848">
        <f t="shared" si="200"/>
        <v>0</v>
      </c>
      <c r="L243" s="848">
        <f t="shared" si="200"/>
        <v>0</v>
      </c>
      <c r="M243" s="848">
        <f t="shared" si="200"/>
        <v>0</v>
      </c>
      <c r="N243" s="848">
        <f t="shared" si="200"/>
        <v>0</v>
      </c>
      <c r="O243" s="848">
        <f t="shared" si="200"/>
        <v>0</v>
      </c>
      <c r="P243" s="848">
        <f t="shared" si="200"/>
        <v>0</v>
      </c>
      <c r="Q243" s="848">
        <f t="shared" si="200"/>
        <v>0</v>
      </c>
      <c r="R243" s="848">
        <v>26193</v>
      </c>
      <c r="S243" s="848">
        <f t="shared" si="200"/>
        <v>1115</v>
      </c>
      <c r="T243" s="848">
        <f t="shared" si="200"/>
        <v>500</v>
      </c>
      <c r="U243" s="848">
        <f t="shared" si="200"/>
        <v>0</v>
      </c>
      <c r="V243" s="848">
        <f t="shared" si="200"/>
        <v>0</v>
      </c>
      <c r="W243" s="848">
        <f t="shared" si="200"/>
        <v>0</v>
      </c>
      <c r="X243" s="848">
        <f t="shared" si="200"/>
        <v>0</v>
      </c>
      <c r="Y243" s="848">
        <f t="shared" si="200"/>
        <v>0</v>
      </c>
      <c r="Z243" s="848">
        <f t="shared" si="200"/>
        <v>0</v>
      </c>
      <c r="AA243" s="848">
        <f t="shared" si="200"/>
        <v>0</v>
      </c>
      <c r="AB243" s="848">
        <f t="shared" si="200"/>
        <v>0</v>
      </c>
      <c r="AC243" s="848">
        <f t="shared" si="200"/>
        <v>0</v>
      </c>
      <c r="AD243" s="848">
        <f t="shared" si="200"/>
        <v>0</v>
      </c>
      <c r="AE243" s="848">
        <f t="shared" si="200"/>
        <v>0</v>
      </c>
      <c r="AF243" s="848">
        <f t="shared" si="200"/>
        <v>0</v>
      </c>
      <c r="AG243" s="848">
        <f t="shared" si="200"/>
        <v>0</v>
      </c>
      <c r="AH243" s="848">
        <f t="shared" si="200"/>
        <v>500</v>
      </c>
      <c r="AI243" s="848">
        <f t="shared" si="196"/>
        <v>500</v>
      </c>
      <c r="AJ243" s="848">
        <f t="shared" si="196"/>
        <v>0</v>
      </c>
      <c r="AK243" s="848">
        <f t="shared" si="196"/>
        <v>0</v>
      </c>
      <c r="AL243" s="848">
        <f t="shared" si="196"/>
        <v>0</v>
      </c>
      <c r="AM243" s="848">
        <f t="shared" si="196"/>
        <v>0</v>
      </c>
      <c r="AN243" s="848">
        <f t="shared" si="196"/>
        <v>0</v>
      </c>
      <c r="AO243" s="848">
        <f t="shared" si="196"/>
        <v>0</v>
      </c>
      <c r="AP243" s="848">
        <f t="shared" si="196"/>
        <v>0</v>
      </c>
      <c r="AQ243" s="848">
        <f t="shared" si="196"/>
        <v>0</v>
      </c>
      <c r="AR243" s="848">
        <f t="shared" si="196"/>
        <v>0</v>
      </c>
      <c r="AS243" s="848"/>
      <c r="AT243" s="848">
        <f t="shared" si="196"/>
        <v>0</v>
      </c>
      <c r="AU243" s="848">
        <f t="shared" si="196"/>
        <v>0</v>
      </c>
      <c r="AV243" s="848">
        <f t="shared" si="196"/>
        <v>0</v>
      </c>
      <c r="AW243" s="848">
        <f t="shared" si="196"/>
        <v>500</v>
      </c>
      <c r="AX243" s="848">
        <f t="shared" si="196"/>
        <v>0</v>
      </c>
      <c r="AY243" s="848">
        <f>AY244+AY245</f>
        <v>3399</v>
      </c>
      <c r="AZ243" s="848">
        <f t="shared" ref="AZ243:CE243" si="201">AZ244+AZ245</f>
        <v>0</v>
      </c>
      <c r="BA243" s="848">
        <f t="shared" si="201"/>
        <v>0</v>
      </c>
      <c r="BB243" s="848">
        <f t="shared" si="201"/>
        <v>0</v>
      </c>
      <c r="BC243" s="848">
        <f>BC244+BC245</f>
        <v>0</v>
      </c>
      <c r="BD243" s="848">
        <f t="shared" si="201"/>
        <v>0</v>
      </c>
      <c r="BE243" s="848">
        <f t="shared" si="201"/>
        <v>0</v>
      </c>
      <c r="BF243" s="848">
        <f t="shared" si="201"/>
        <v>0</v>
      </c>
      <c r="BG243" s="848">
        <f t="shared" si="201"/>
        <v>0</v>
      </c>
      <c r="BH243" s="848">
        <f t="shared" si="201"/>
        <v>0</v>
      </c>
      <c r="BI243" s="848">
        <f t="shared" si="201"/>
        <v>0</v>
      </c>
      <c r="BJ243" s="848">
        <f t="shared" si="201"/>
        <v>0</v>
      </c>
      <c r="BK243" s="848">
        <f t="shared" si="201"/>
        <v>3399</v>
      </c>
      <c r="BL243" s="848">
        <f t="shared" si="201"/>
        <v>0</v>
      </c>
      <c r="BM243" s="848">
        <f t="shared" si="201"/>
        <v>0</v>
      </c>
      <c r="BN243" s="848">
        <f t="shared" si="201"/>
        <v>0</v>
      </c>
      <c r="BO243" s="848">
        <f t="shared" si="166"/>
        <v>810.58166900000003</v>
      </c>
      <c r="BP243" s="848">
        <f t="shared" si="201"/>
        <v>0</v>
      </c>
      <c r="BQ243" s="848">
        <f t="shared" si="201"/>
        <v>0</v>
      </c>
      <c r="BR243" s="848">
        <f t="shared" si="201"/>
        <v>0</v>
      </c>
      <c r="BS243" s="848">
        <f t="shared" si="201"/>
        <v>0</v>
      </c>
      <c r="BT243" s="848">
        <f t="shared" si="201"/>
        <v>0</v>
      </c>
      <c r="BU243" s="848">
        <f t="shared" si="201"/>
        <v>0</v>
      </c>
      <c r="BV243" s="848">
        <f t="shared" si="201"/>
        <v>0</v>
      </c>
      <c r="BW243" s="848">
        <f t="shared" si="201"/>
        <v>0</v>
      </c>
      <c r="BX243" s="848">
        <f t="shared" si="201"/>
        <v>0</v>
      </c>
      <c r="BY243" s="848">
        <f t="shared" si="201"/>
        <v>0</v>
      </c>
      <c r="BZ243" s="848">
        <f t="shared" si="201"/>
        <v>0</v>
      </c>
      <c r="CA243" s="848">
        <f t="shared" si="201"/>
        <v>810.58166900000003</v>
      </c>
      <c r="CB243" s="848">
        <f t="shared" si="201"/>
        <v>0</v>
      </c>
      <c r="CC243" s="848">
        <f t="shared" si="201"/>
        <v>0</v>
      </c>
      <c r="CD243" s="848">
        <f t="shared" si="201"/>
        <v>0</v>
      </c>
      <c r="CE243" s="848">
        <f t="shared" si="201"/>
        <v>0</v>
      </c>
      <c r="CF243" s="848">
        <f t="shared" si="199"/>
        <v>23.847651338629007</v>
      </c>
      <c r="CG243" s="848"/>
      <c r="CH243" s="848"/>
      <c r="CI243" s="848"/>
      <c r="CJ243" s="848"/>
      <c r="CK243" s="848"/>
      <c r="CL243" s="848"/>
      <c r="CM243" s="848"/>
      <c r="CN243" s="848"/>
      <c r="CO243" s="848"/>
      <c r="CP243" s="848"/>
      <c r="CQ243" s="848"/>
      <c r="CR243" s="848">
        <f t="shared" si="184"/>
        <v>23.84765133862901</v>
      </c>
      <c r="CS243" s="848"/>
      <c r="CT243" s="848"/>
      <c r="CU243" s="848"/>
      <c r="CV243" s="848"/>
      <c r="CW243" s="848"/>
    </row>
    <row r="244" spans="1:101" s="851" customFormat="1" ht="61.9" customHeight="1">
      <c r="A244" s="845"/>
      <c r="B244" s="852" t="s">
        <v>788</v>
      </c>
      <c r="C244" s="852" t="s">
        <v>789</v>
      </c>
      <c r="D244" s="846"/>
      <c r="E244" s="845"/>
      <c r="F244" s="853">
        <v>2016</v>
      </c>
      <c r="G244" s="846" t="s">
        <v>790</v>
      </c>
      <c r="H244" s="850">
        <f t="shared" si="158"/>
        <v>1115</v>
      </c>
      <c r="I244" s="850"/>
      <c r="J244" s="848"/>
      <c r="K244" s="848"/>
      <c r="L244" s="848"/>
      <c r="M244" s="848"/>
      <c r="N244" s="848"/>
      <c r="O244" s="848"/>
      <c r="P244" s="848"/>
      <c r="Q244" s="848"/>
      <c r="R244" s="848"/>
      <c r="S244" s="850">
        <v>1115</v>
      </c>
      <c r="T244" s="855">
        <f t="shared" si="167"/>
        <v>500</v>
      </c>
      <c r="U244" s="848"/>
      <c r="V244" s="848"/>
      <c r="W244" s="848"/>
      <c r="X244" s="848"/>
      <c r="Y244" s="848"/>
      <c r="Z244" s="848"/>
      <c r="AA244" s="848"/>
      <c r="AB244" s="848"/>
      <c r="AC244" s="848"/>
      <c r="AD244" s="848"/>
      <c r="AE244" s="848"/>
      <c r="AF244" s="848"/>
      <c r="AG244" s="855"/>
      <c r="AH244" s="855">
        <v>500</v>
      </c>
      <c r="AI244" s="855">
        <f>AW244</f>
        <v>500</v>
      </c>
      <c r="AJ244" s="855"/>
      <c r="AK244" s="855"/>
      <c r="AL244" s="855"/>
      <c r="AM244" s="855"/>
      <c r="AN244" s="855"/>
      <c r="AO244" s="855"/>
      <c r="AP244" s="855"/>
      <c r="AQ244" s="855"/>
      <c r="AR244" s="855"/>
      <c r="AS244" s="855"/>
      <c r="AT244" s="855"/>
      <c r="AU244" s="855"/>
      <c r="AV244" s="855"/>
      <c r="AW244" s="855">
        <v>500</v>
      </c>
      <c r="AX244" s="855"/>
      <c r="AY244" s="855">
        <f t="shared" ref="AY244:AY245" si="202">SUM(AZ244:BN244)</f>
        <v>2868</v>
      </c>
      <c r="AZ244" s="855"/>
      <c r="BA244" s="855"/>
      <c r="BB244" s="855"/>
      <c r="BC244" s="855"/>
      <c r="BD244" s="855"/>
      <c r="BE244" s="855"/>
      <c r="BF244" s="855"/>
      <c r="BG244" s="855"/>
      <c r="BH244" s="855"/>
      <c r="BI244" s="855"/>
      <c r="BJ244" s="855"/>
      <c r="BK244" s="855">
        <v>2868</v>
      </c>
      <c r="BL244" s="855"/>
      <c r="BM244" s="855"/>
      <c r="BN244" s="855"/>
      <c r="BO244" s="848">
        <f t="shared" si="166"/>
        <v>280</v>
      </c>
      <c r="BP244" s="855"/>
      <c r="BQ244" s="855"/>
      <c r="BR244" s="855"/>
      <c r="BS244" s="855"/>
      <c r="BT244" s="855"/>
      <c r="BU244" s="855"/>
      <c r="BV244" s="855"/>
      <c r="BW244" s="855"/>
      <c r="BX244" s="855"/>
      <c r="BY244" s="855"/>
      <c r="BZ244" s="855"/>
      <c r="CA244" s="855">
        <v>280</v>
      </c>
      <c r="CB244" s="855"/>
      <c r="CC244" s="855"/>
      <c r="CD244" s="855"/>
      <c r="CE244" s="855"/>
      <c r="CF244" s="848">
        <f t="shared" si="199"/>
        <v>23.847651338629007</v>
      </c>
      <c r="CG244" s="848"/>
      <c r="CH244" s="848"/>
      <c r="CI244" s="848"/>
      <c r="CJ244" s="848"/>
      <c r="CK244" s="848"/>
      <c r="CL244" s="848"/>
      <c r="CM244" s="848"/>
      <c r="CN244" s="848"/>
      <c r="CO244" s="848"/>
      <c r="CP244" s="848"/>
      <c r="CQ244" s="848"/>
      <c r="CR244" s="848">
        <f t="shared" si="184"/>
        <v>9.7629009762900978</v>
      </c>
      <c r="CS244" s="848"/>
      <c r="CT244" s="848"/>
      <c r="CU244" s="848"/>
      <c r="CV244" s="848"/>
      <c r="CW244" s="848"/>
    </row>
    <row r="245" spans="1:101" ht="50.45" customHeight="1">
      <c r="A245" s="845"/>
      <c r="B245" s="852" t="s">
        <v>788</v>
      </c>
      <c r="C245" s="852" t="s">
        <v>791</v>
      </c>
      <c r="D245" s="846"/>
      <c r="E245" s="845"/>
      <c r="F245" s="853">
        <v>2017</v>
      </c>
      <c r="G245" s="846" t="s">
        <v>792</v>
      </c>
      <c r="H245" s="850">
        <f t="shared" si="158"/>
        <v>26193</v>
      </c>
      <c r="I245" s="850"/>
      <c r="J245" s="848"/>
      <c r="K245" s="848"/>
      <c r="L245" s="848"/>
      <c r="M245" s="848"/>
      <c r="N245" s="848"/>
      <c r="O245" s="848"/>
      <c r="P245" s="848"/>
      <c r="Q245" s="848"/>
      <c r="R245" s="855">
        <v>26193</v>
      </c>
      <c r="S245" s="850"/>
      <c r="T245" s="855">
        <f t="shared" si="167"/>
        <v>0</v>
      </c>
      <c r="U245" s="848"/>
      <c r="V245" s="848"/>
      <c r="W245" s="848"/>
      <c r="X245" s="848"/>
      <c r="Y245" s="848"/>
      <c r="Z245" s="848"/>
      <c r="AA245" s="848"/>
      <c r="AB245" s="848"/>
      <c r="AC245" s="848"/>
      <c r="AD245" s="848"/>
      <c r="AE245" s="848"/>
      <c r="AF245" s="848"/>
      <c r="AG245" s="848"/>
      <c r="AH245" s="855"/>
      <c r="AI245" s="855">
        <f>AX245</f>
        <v>2868</v>
      </c>
      <c r="AJ245" s="855"/>
      <c r="AK245" s="855"/>
      <c r="AL245" s="855"/>
      <c r="AM245" s="855"/>
      <c r="AN245" s="855"/>
      <c r="AO245" s="855"/>
      <c r="AP245" s="855"/>
      <c r="AQ245" s="855"/>
      <c r="AR245" s="855"/>
      <c r="AS245" s="855"/>
      <c r="AT245" s="855"/>
      <c r="AU245" s="855"/>
      <c r="AV245" s="855"/>
      <c r="AW245" s="855"/>
      <c r="AX245" s="855">
        <v>2868</v>
      </c>
      <c r="AY245" s="855">
        <f t="shared" si="202"/>
        <v>531</v>
      </c>
      <c r="AZ245" s="855"/>
      <c r="BA245" s="855"/>
      <c r="BB245" s="855"/>
      <c r="BC245" s="855"/>
      <c r="BD245" s="855"/>
      <c r="BE245" s="855"/>
      <c r="BF245" s="855"/>
      <c r="BG245" s="855"/>
      <c r="BH245" s="855"/>
      <c r="BI245" s="855"/>
      <c r="BJ245" s="855"/>
      <c r="BK245" s="855">
        <v>531</v>
      </c>
      <c r="BL245" s="855"/>
      <c r="BM245" s="855"/>
      <c r="BN245" s="855"/>
      <c r="BO245" s="848">
        <f t="shared" si="166"/>
        <v>530.58166900000003</v>
      </c>
      <c r="BP245" s="855"/>
      <c r="BQ245" s="855"/>
      <c r="BR245" s="855"/>
      <c r="BS245" s="855"/>
      <c r="BT245" s="855"/>
      <c r="BU245" s="855"/>
      <c r="BV245" s="855"/>
      <c r="BW245" s="855"/>
      <c r="BX245" s="855"/>
      <c r="BY245" s="855"/>
      <c r="BZ245" s="855"/>
      <c r="CA245" s="855">
        <v>530.58166900000003</v>
      </c>
      <c r="CB245" s="855"/>
      <c r="CC245" s="855"/>
      <c r="CD245" s="855"/>
      <c r="CE245" s="855"/>
      <c r="CF245" s="848">
        <f t="shared" si="199"/>
        <v>9.7629009762900978</v>
      </c>
      <c r="CG245" s="848"/>
      <c r="CH245" s="848"/>
      <c r="CI245" s="848"/>
      <c r="CJ245" s="848"/>
      <c r="CK245" s="848"/>
      <c r="CL245" s="848"/>
      <c r="CM245" s="848"/>
      <c r="CN245" s="848"/>
      <c r="CO245" s="848"/>
      <c r="CP245" s="848"/>
      <c r="CQ245" s="848"/>
      <c r="CR245" s="848">
        <f t="shared" si="184"/>
        <v>99.92121826741996</v>
      </c>
      <c r="CS245" s="848"/>
      <c r="CT245" s="848"/>
      <c r="CU245" s="848"/>
      <c r="CV245" s="848"/>
      <c r="CW245" s="848"/>
    </row>
    <row r="246" spans="1:101" ht="33" customHeight="1">
      <c r="A246" s="845" t="s">
        <v>793</v>
      </c>
      <c r="B246" s="845"/>
      <c r="C246" s="857" t="s">
        <v>794</v>
      </c>
      <c r="D246" s="846">
        <f>D247</f>
        <v>0</v>
      </c>
      <c r="E246" s="845">
        <f t="shared" ref="E246:CE247" si="203">E247</f>
        <v>0</v>
      </c>
      <c r="F246" s="847"/>
      <c r="G246" s="845"/>
      <c r="H246" s="850">
        <f t="shared" si="158"/>
        <v>45588</v>
      </c>
      <c r="I246" s="848">
        <f t="shared" ref="I246:AX247" si="204">I247</f>
        <v>0</v>
      </c>
      <c r="J246" s="848">
        <f t="shared" si="204"/>
        <v>45588</v>
      </c>
      <c r="K246" s="848">
        <f t="shared" si="204"/>
        <v>0</v>
      </c>
      <c r="L246" s="848">
        <f t="shared" si="204"/>
        <v>0</v>
      </c>
      <c r="M246" s="848">
        <f t="shared" si="204"/>
        <v>0</v>
      </c>
      <c r="N246" s="848">
        <f t="shared" si="204"/>
        <v>0</v>
      </c>
      <c r="O246" s="848">
        <f t="shared" si="204"/>
        <v>0</v>
      </c>
      <c r="P246" s="848">
        <f t="shared" si="204"/>
        <v>0</v>
      </c>
      <c r="Q246" s="848">
        <f t="shared" si="204"/>
        <v>0</v>
      </c>
      <c r="R246" s="848">
        <v>0</v>
      </c>
      <c r="S246" s="848">
        <f t="shared" si="204"/>
        <v>0</v>
      </c>
      <c r="T246" s="848">
        <f t="shared" si="204"/>
        <v>5188.1185429999996</v>
      </c>
      <c r="U246" s="848">
        <f t="shared" si="204"/>
        <v>0</v>
      </c>
      <c r="V246" s="848">
        <f t="shared" si="204"/>
        <v>0</v>
      </c>
      <c r="W246" s="848">
        <f t="shared" si="204"/>
        <v>5188.1185429999996</v>
      </c>
      <c r="X246" s="848">
        <f t="shared" si="204"/>
        <v>0</v>
      </c>
      <c r="Y246" s="848">
        <f t="shared" si="204"/>
        <v>0</v>
      </c>
      <c r="Z246" s="848">
        <f t="shared" si="204"/>
        <v>0</v>
      </c>
      <c r="AA246" s="848">
        <f t="shared" si="204"/>
        <v>0</v>
      </c>
      <c r="AB246" s="848">
        <f t="shared" si="204"/>
        <v>0</v>
      </c>
      <c r="AC246" s="848">
        <f t="shared" si="204"/>
        <v>0</v>
      </c>
      <c r="AD246" s="848">
        <f t="shared" si="204"/>
        <v>0</v>
      </c>
      <c r="AE246" s="848">
        <f t="shared" si="204"/>
        <v>0</v>
      </c>
      <c r="AF246" s="848">
        <f t="shared" si="204"/>
        <v>0</v>
      </c>
      <c r="AG246" s="848">
        <f t="shared" si="204"/>
        <v>0</v>
      </c>
      <c r="AH246" s="848">
        <f t="shared" si="204"/>
        <v>0</v>
      </c>
      <c r="AI246" s="848">
        <f t="shared" si="204"/>
        <v>23240</v>
      </c>
      <c r="AJ246" s="848">
        <f t="shared" si="204"/>
        <v>0</v>
      </c>
      <c r="AK246" s="848">
        <f t="shared" si="204"/>
        <v>0</v>
      </c>
      <c r="AL246" s="848">
        <f t="shared" si="204"/>
        <v>23240</v>
      </c>
      <c r="AM246" s="848">
        <f t="shared" si="204"/>
        <v>0</v>
      </c>
      <c r="AN246" s="848">
        <f t="shared" si="204"/>
        <v>0</v>
      </c>
      <c r="AO246" s="848">
        <f t="shared" si="204"/>
        <v>0</v>
      </c>
      <c r="AP246" s="848">
        <f t="shared" si="204"/>
        <v>0</v>
      </c>
      <c r="AQ246" s="848">
        <f t="shared" si="204"/>
        <v>0</v>
      </c>
      <c r="AR246" s="848">
        <f t="shared" si="204"/>
        <v>0</v>
      </c>
      <c r="AS246" s="848">
        <f t="shared" si="204"/>
        <v>0</v>
      </c>
      <c r="AT246" s="848">
        <f t="shared" si="204"/>
        <v>0</v>
      </c>
      <c r="AU246" s="848">
        <f t="shared" si="204"/>
        <v>0</v>
      </c>
      <c r="AV246" s="848">
        <f t="shared" si="204"/>
        <v>0</v>
      </c>
      <c r="AW246" s="848">
        <f t="shared" si="204"/>
        <v>0</v>
      </c>
      <c r="AX246" s="848">
        <f t="shared" si="204"/>
        <v>0</v>
      </c>
      <c r="AY246" s="848">
        <f t="shared" si="203"/>
        <v>328.92675800000001</v>
      </c>
      <c r="AZ246" s="848">
        <f t="shared" si="203"/>
        <v>0</v>
      </c>
      <c r="BA246" s="848">
        <f t="shared" si="203"/>
        <v>0</v>
      </c>
      <c r="BB246" s="848">
        <f t="shared" si="203"/>
        <v>0</v>
      </c>
      <c r="BC246" s="848">
        <f t="shared" si="203"/>
        <v>328.92675800000001</v>
      </c>
      <c r="BD246" s="848">
        <f t="shared" si="203"/>
        <v>0</v>
      </c>
      <c r="BE246" s="848">
        <f t="shared" si="203"/>
        <v>0</v>
      </c>
      <c r="BF246" s="848">
        <f t="shared" si="203"/>
        <v>0</v>
      </c>
      <c r="BG246" s="848">
        <f t="shared" si="203"/>
        <v>0</v>
      </c>
      <c r="BH246" s="848">
        <f t="shared" si="203"/>
        <v>0</v>
      </c>
      <c r="BI246" s="848">
        <f t="shared" si="203"/>
        <v>0</v>
      </c>
      <c r="BJ246" s="848">
        <f t="shared" si="203"/>
        <v>0</v>
      </c>
      <c r="BK246" s="848">
        <f t="shared" si="203"/>
        <v>0</v>
      </c>
      <c r="BL246" s="848">
        <f t="shared" si="203"/>
        <v>0</v>
      </c>
      <c r="BM246" s="848">
        <f t="shared" si="203"/>
        <v>0</v>
      </c>
      <c r="BN246" s="848">
        <f t="shared" si="203"/>
        <v>0</v>
      </c>
      <c r="BO246" s="848">
        <f t="shared" si="166"/>
        <v>324.86039899999997</v>
      </c>
      <c r="BP246" s="848">
        <f t="shared" si="203"/>
        <v>0</v>
      </c>
      <c r="BQ246" s="848">
        <f t="shared" si="203"/>
        <v>0</v>
      </c>
      <c r="BR246" s="848">
        <f t="shared" si="203"/>
        <v>0</v>
      </c>
      <c r="BS246" s="848">
        <f t="shared" si="203"/>
        <v>324.86039899999997</v>
      </c>
      <c r="BT246" s="848">
        <f t="shared" si="203"/>
        <v>0</v>
      </c>
      <c r="BU246" s="848">
        <f t="shared" si="203"/>
        <v>0</v>
      </c>
      <c r="BV246" s="848">
        <f t="shared" si="203"/>
        <v>0</v>
      </c>
      <c r="BW246" s="848">
        <f t="shared" si="203"/>
        <v>0</v>
      </c>
      <c r="BX246" s="848">
        <f t="shared" si="203"/>
        <v>0</v>
      </c>
      <c r="BY246" s="848">
        <f t="shared" si="203"/>
        <v>0</v>
      </c>
      <c r="BZ246" s="848">
        <f t="shared" si="203"/>
        <v>0</v>
      </c>
      <c r="CA246" s="848">
        <f>CA247</f>
        <v>0</v>
      </c>
      <c r="CB246" s="848">
        <f t="shared" si="203"/>
        <v>0</v>
      </c>
      <c r="CC246" s="848">
        <f t="shared" si="203"/>
        <v>0</v>
      </c>
      <c r="CD246" s="848">
        <f t="shared" si="203"/>
        <v>0</v>
      </c>
      <c r="CE246" s="848">
        <f t="shared" si="203"/>
        <v>0</v>
      </c>
      <c r="CF246" s="848">
        <f t="shared" si="199"/>
        <v>99.921218267419974</v>
      </c>
      <c r="CG246" s="848"/>
      <c r="CH246" s="848"/>
      <c r="CI246" s="848"/>
      <c r="CJ246" s="848">
        <f t="shared" si="182"/>
        <v>98.763749405878372</v>
      </c>
      <c r="CK246" s="848"/>
      <c r="CL246" s="848"/>
      <c r="CM246" s="848"/>
      <c r="CN246" s="848"/>
      <c r="CO246" s="848"/>
      <c r="CP246" s="848"/>
      <c r="CQ246" s="848"/>
      <c r="CR246" s="848"/>
      <c r="CS246" s="848"/>
      <c r="CT246" s="848"/>
      <c r="CU246" s="848"/>
      <c r="CV246" s="848"/>
      <c r="CW246" s="848"/>
    </row>
    <row r="247" spans="1:101" s="851" customFormat="1" ht="25.15" customHeight="1">
      <c r="A247" s="845"/>
      <c r="B247" s="845"/>
      <c r="C247" s="857" t="s">
        <v>795</v>
      </c>
      <c r="D247" s="846">
        <f>D248</f>
        <v>0</v>
      </c>
      <c r="E247" s="845">
        <f t="shared" si="203"/>
        <v>0</v>
      </c>
      <c r="F247" s="847"/>
      <c r="G247" s="845"/>
      <c r="H247" s="850">
        <f t="shared" si="158"/>
        <v>45588</v>
      </c>
      <c r="I247" s="848">
        <f t="shared" si="203"/>
        <v>0</v>
      </c>
      <c r="J247" s="848">
        <f t="shared" si="203"/>
        <v>45588</v>
      </c>
      <c r="K247" s="848">
        <f t="shared" si="203"/>
        <v>0</v>
      </c>
      <c r="L247" s="848">
        <f t="shared" si="203"/>
        <v>0</v>
      </c>
      <c r="M247" s="848">
        <f t="shared" si="203"/>
        <v>0</v>
      </c>
      <c r="N247" s="848">
        <f t="shared" si="203"/>
        <v>0</v>
      </c>
      <c r="O247" s="848">
        <f t="shared" si="203"/>
        <v>0</v>
      </c>
      <c r="P247" s="848">
        <f t="shared" si="203"/>
        <v>0</v>
      </c>
      <c r="Q247" s="848">
        <f t="shared" si="203"/>
        <v>0</v>
      </c>
      <c r="R247" s="848">
        <v>0</v>
      </c>
      <c r="S247" s="848">
        <f t="shared" si="203"/>
        <v>0</v>
      </c>
      <c r="T247" s="848">
        <f t="shared" si="204"/>
        <v>5188.1185429999996</v>
      </c>
      <c r="U247" s="848">
        <f t="shared" si="204"/>
        <v>0</v>
      </c>
      <c r="V247" s="848">
        <f t="shared" si="204"/>
        <v>0</v>
      </c>
      <c r="W247" s="848">
        <f t="shared" si="204"/>
        <v>5188.1185429999996</v>
      </c>
      <c r="X247" s="848">
        <f t="shared" si="204"/>
        <v>0</v>
      </c>
      <c r="Y247" s="848">
        <f t="shared" si="204"/>
        <v>0</v>
      </c>
      <c r="Z247" s="848">
        <f t="shared" si="204"/>
        <v>0</v>
      </c>
      <c r="AA247" s="848">
        <f t="shared" si="204"/>
        <v>0</v>
      </c>
      <c r="AB247" s="848">
        <f t="shared" si="204"/>
        <v>0</v>
      </c>
      <c r="AC247" s="848">
        <f t="shared" si="204"/>
        <v>0</v>
      </c>
      <c r="AD247" s="848">
        <f t="shared" si="204"/>
        <v>0</v>
      </c>
      <c r="AE247" s="848">
        <f t="shared" si="204"/>
        <v>0</v>
      </c>
      <c r="AF247" s="848">
        <f t="shared" si="204"/>
        <v>0</v>
      </c>
      <c r="AG247" s="848">
        <f t="shared" si="204"/>
        <v>0</v>
      </c>
      <c r="AH247" s="848">
        <f t="shared" si="204"/>
        <v>0</v>
      </c>
      <c r="AI247" s="848">
        <f t="shared" si="203"/>
        <v>23240</v>
      </c>
      <c r="AJ247" s="848">
        <f t="shared" si="203"/>
        <v>0</v>
      </c>
      <c r="AK247" s="848">
        <f t="shared" si="203"/>
        <v>0</v>
      </c>
      <c r="AL247" s="848">
        <f t="shared" si="203"/>
        <v>23240</v>
      </c>
      <c r="AM247" s="848">
        <f t="shared" si="203"/>
        <v>0</v>
      </c>
      <c r="AN247" s="848">
        <f t="shared" si="203"/>
        <v>0</v>
      </c>
      <c r="AO247" s="848">
        <f t="shared" si="203"/>
        <v>0</v>
      </c>
      <c r="AP247" s="848">
        <f t="shared" si="203"/>
        <v>0</v>
      </c>
      <c r="AQ247" s="848">
        <f t="shared" si="203"/>
        <v>0</v>
      </c>
      <c r="AR247" s="848">
        <f t="shared" si="203"/>
        <v>0</v>
      </c>
      <c r="AS247" s="848">
        <f t="shared" si="203"/>
        <v>0</v>
      </c>
      <c r="AT247" s="848">
        <f t="shared" si="203"/>
        <v>0</v>
      </c>
      <c r="AU247" s="848">
        <f t="shared" si="203"/>
        <v>0</v>
      </c>
      <c r="AV247" s="848">
        <f t="shared" si="203"/>
        <v>0</v>
      </c>
      <c r="AW247" s="848">
        <f t="shared" si="203"/>
        <v>0</v>
      </c>
      <c r="AX247" s="848">
        <f t="shared" si="203"/>
        <v>0</v>
      </c>
      <c r="AY247" s="848">
        <f t="shared" si="203"/>
        <v>328.92675800000001</v>
      </c>
      <c r="AZ247" s="848">
        <f t="shared" si="203"/>
        <v>0</v>
      </c>
      <c r="BA247" s="848">
        <f t="shared" si="203"/>
        <v>0</v>
      </c>
      <c r="BB247" s="848">
        <f t="shared" si="203"/>
        <v>0</v>
      </c>
      <c r="BC247" s="848">
        <f t="shared" si="203"/>
        <v>328.92675800000001</v>
      </c>
      <c r="BD247" s="848">
        <f t="shared" si="203"/>
        <v>0</v>
      </c>
      <c r="BE247" s="848">
        <f t="shared" si="203"/>
        <v>0</v>
      </c>
      <c r="BF247" s="848">
        <f t="shared" si="203"/>
        <v>0</v>
      </c>
      <c r="BG247" s="848">
        <f t="shared" si="203"/>
        <v>0</v>
      </c>
      <c r="BH247" s="848">
        <f t="shared" si="203"/>
        <v>0</v>
      </c>
      <c r="BI247" s="848">
        <f t="shared" si="203"/>
        <v>0</v>
      </c>
      <c r="BJ247" s="848">
        <f t="shared" si="203"/>
        <v>0</v>
      </c>
      <c r="BK247" s="848">
        <f t="shared" si="203"/>
        <v>0</v>
      </c>
      <c r="BL247" s="848">
        <f t="shared" si="203"/>
        <v>0</v>
      </c>
      <c r="BM247" s="848">
        <f t="shared" si="203"/>
        <v>0</v>
      </c>
      <c r="BN247" s="848">
        <f t="shared" si="203"/>
        <v>0</v>
      </c>
      <c r="BO247" s="848">
        <f t="shared" si="166"/>
        <v>324.86039899999997</v>
      </c>
      <c r="BP247" s="848">
        <f t="shared" si="203"/>
        <v>0</v>
      </c>
      <c r="BQ247" s="848">
        <f t="shared" si="203"/>
        <v>0</v>
      </c>
      <c r="BR247" s="848">
        <f t="shared" si="203"/>
        <v>0</v>
      </c>
      <c r="BS247" s="848">
        <f t="shared" si="203"/>
        <v>324.86039899999997</v>
      </c>
      <c r="BT247" s="848">
        <f t="shared" si="203"/>
        <v>0</v>
      </c>
      <c r="BU247" s="848">
        <f t="shared" si="203"/>
        <v>0</v>
      </c>
      <c r="BV247" s="848">
        <f t="shared" si="203"/>
        <v>0</v>
      </c>
      <c r="BW247" s="848">
        <f t="shared" si="203"/>
        <v>0</v>
      </c>
      <c r="BX247" s="848">
        <f t="shared" si="203"/>
        <v>0</v>
      </c>
      <c r="BY247" s="848">
        <f t="shared" si="203"/>
        <v>0</v>
      </c>
      <c r="BZ247" s="848">
        <f t="shared" si="203"/>
        <v>0</v>
      </c>
      <c r="CA247" s="848">
        <f t="shared" si="203"/>
        <v>0</v>
      </c>
      <c r="CB247" s="848">
        <f t="shared" si="203"/>
        <v>0</v>
      </c>
      <c r="CC247" s="848">
        <f t="shared" si="203"/>
        <v>0</v>
      </c>
      <c r="CD247" s="848">
        <f t="shared" si="203"/>
        <v>0</v>
      </c>
      <c r="CE247" s="848">
        <f t="shared" si="203"/>
        <v>0</v>
      </c>
      <c r="CF247" s="848">
        <f t="shared" si="199"/>
        <v>98.763749405878357</v>
      </c>
      <c r="CG247" s="848"/>
      <c r="CH247" s="848"/>
      <c r="CI247" s="848"/>
      <c r="CJ247" s="848">
        <f t="shared" si="182"/>
        <v>98.763749405878372</v>
      </c>
      <c r="CK247" s="848"/>
      <c r="CL247" s="848"/>
      <c r="CM247" s="848"/>
      <c r="CN247" s="848"/>
      <c r="CO247" s="848"/>
      <c r="CP247" s="848"/>
      <c r="CQ247" s="848"/>
      <c r="CR247" s="848"/>
      <c r="CS247" s="848"/>
      <c r="CT247" s="848"/>
      <c r="CU247" s="848"/>
      <c r="CV247" s="848"/>
      <c r="CW247" s="848"/>
    </row>
    <row r="248" spans="1:101" s="851" customFormat="1" ht="24.75" customHeight="1">
      <c r="A248" s="845"/>
      <c r="B248" s="852" t="s">
        <v>794</v>
      </c>
      <c r="C248" s="852" t="s">
        <v>796</v>
      </c>
      <c r="D248" s="846"/>
      <c r="E248" s="845"/>
      <c r="F248" s="853" t="s">
        <v>797</v>
      </c>
      <c r="G248" s="846" t="s">
        <v>798</v>
      </c>
      <c r="H248" s="850">
        <f t="shared" si="158"/>
        <v>45588</v>
      </c>
      <c r="I248" s="860"/>
      <c r="J248" s="855">
        <v>45588</v>
      </c>
      <c r="K248" s="848"/>
      <c r="L248" s="848"/>
      <c r="M248" s="848"/>
      <c r="N248" s="848"/>
      <c r="O248" s="848"/>
      <c r="P248" s="848"/>
      <c r="Q248" s="848"/>
      <c r="R248" s="848"/>
      <c r="S248" s="848"/>
      <c r="T248" s="855">
        <f t="shared" si="167"/>
        <v>5188.1185429999996</v>
      </c>
      <c r="U248" s="848"/>
      <c r="V248" s="848"/>
      <c r="W248" s="855">
        <v>5188.1185429999996</v>
      </c>
      <c r="X248" s="848"/>
      <c r="Y248" s="848"/>
      <c r="Z248" s="848"/>
      <c r="AA248" s="848"/>
      <c r="AB248" s="848"/>
      <c r="AC248" s="848"/>
      <c r="AD248" s="848"/>
      <c r="AE248" s="848"/>
      <c r="AF248" s="848"/>
      <c r="AG248" s="848"/>
      <c r="AH248" s="855"/>
      <c r="AI248" s="855">
        <f>AL248</f>
        <v>23240</v>
      </c>
      <c r="AJ248" s="855"/>
      <c r="AK248" s="855"/>
      <c r="AL248" s="855">
        <v>23240</v>
      </c>
      <c r="AM248" s="855"/>
      <c r="AN248" s="855"/>
      <c r="AO248" s="855"/>
      <c r="AP248" s="855"/>
      <c r="AQ248" s="855"/>
      <c r="AR248" s="855"/>
      <c r="AS248" s="855"/>
      <c r="AT248" s="855"/>
      <c r="AU248" s="855"/>
      <c r="AV248" s="855"/>
      <c r="AW248" s="855"/>
      <c r="AX248" s="855"/>
      <c r="AY248" s="855">
        <f t="shared" ref="AY248" si="205">SUM(AZ248:BN248)</f>
        <v>328.92675800000001</v>
      </c>
      <c r="AZ248" s="855"/>
      <c r="BA248" s="855"/>
      <c r="BB248" s="855"/>
      <c r="BC248" s="855">
        <v>328.92675800000001</v>
      </c>
      <c r="BD248" s="855"/>
      <c r="BE248" s="855"/>
      <c r="BF248" s="855"/>
      <c r="BG248" s="855"/>
      <c r="BH248" s="855"/>
      <c r="BI248" s="855"/>
      <c r="BJ248" s="855"/>
      <c r="BK248" s="855"/>
      <c r="BL248" s="855"/>
      <c r="BM248" s="855"/>
      <c r="BN248" s="855"/>
      <c r="BO248" s="848">
        <f t="shared" si="166"/>
        <v>324.86039899999997</v>
      </c>
      <c r="BP248" s="855"/>
      <c r="BQ248" s="855"/>
      <c r="BR248" s="855"/>
      <c r="BS248" s="855">
        <v>324.86039899999997</v>
      </c>
      <c r="BT248" s="855"/>
      <c r="BU248" s="855"/>
      <c r="BV248" s="855"/>
      <c r="BW248" s="855"/>
      <c r="BX248" s="855"/>
      <c r="BY248" s="855"/>
      <c r="BZ248" s="855"/>
      <c r="CA248" s="855"/>
      <c r="CB248" s="855"/>
      <c r="CC248" s="855"/>
      <c r="CD248" s="855"/>
      <c r="CE248" s="855"/>
      <c r="CF248" s="848">
        <f t="shared" ref="CF248:CS248" si="206">CF249</f>
        <v>98.763749405878357</v>
      </c>
      <c r="CG248" s="848"/>
      <c r="CH248" s="848"/>
      <c r="CI248" s="848"/>
      <c r="CJ248" s="848">
        <f t="shared" si="182"/>
        <v>98.763749405878372</v>
      </c>
      <c r="CK248" s="848"/>
      <c r="CL248" s="848"/>
      <c r="CM248" s="848"/>
      <c r="CN248" s="848"/>
      <c r="CO248" s="848"/>
      <c r="CP248" s="848"/>
      <c r="CQ248" s="848"/>
      <c r="CR248" s="848"/>
      <c r="CS248" s="848">
        <f t="shared" si="206"/>
        <v>0</v>
      </c>
      <c r="CT248" s="848"/>
      <c r="CU248" s="848"/>
      <c r="CV248" s="848"/>
      <c r="CW248" s="848"/>
    </row>
    <row r="249" spans="1:101" ht="24.75" customHeight="1">
      <c r="A249" s="845" t="s">
        <v>799</v>
      </c>
      <c r="B249" s="845"/>
      <c r="C249" s="857" t="s">
        <v>800</v>
      </c>
      <c r="D249" s="846">
        <f>D250</f>
        <v>0</v>
      </c>
      <c r="E249" s="845">
        <f t="shared" ref="E249:E250" si="207">E250</f>
        <v>0</v>
      </c>
      <c r="F249" s="847"/>
      <c r="G249" s="845"/>
      <c r="H249" s="850">
        <f t="shared" si="158"/>
        <v>82226</v>
      </c>
      <c r="I249" s="848">
        <f t="shared" ref="I249:BQ250" si="208">I250</f>
        <v>0</v>
      </c>
      <c r="J249" s="848">
        <f t="shared" si="208"/>
        <v>82226</v>
      </c>
      <c r="K249" s="848">
        <f t="shared" si="208"/>
        <v>0</v>
      </c>
      <c r="L249" s="848">
        <f t="shared" si="208"/>
        <v>0</v>
      </c>
      <c r="M249" s="848">
        <f t="shared" si="208"/>
        <v>0</v>
      </c>
      <c r="N249" s="848">
        <f t="shared" si="208"/>
        <v>0</v>
      </c>
      <c r="O249" s="848">
        <f t="shared" si="208"/>
        <v>0</v>
      </c>
      <c r="P249" s="848">
        <f t="shared" si="208"/>
        <v>0</v>
      </c>
      <c r="Q249" s="848">
        <f t="shared" si="208"/>
        <v>0</v>
      </c>
      <c r="R249" s="848">
        <v>0</v>
      </c>
      <c r="S249" s="848">
        <f t="shared" si="208"/>
        <v>0</v>
      </c>
      <c r="T249" s="848">
        <f t="shared" si="208"/>
        <v>15558.554989</v>
      </c>
      <c r="U249" s="848">
        <f t="shared" si="208"/>
        <v>0</v>
      </c>
      <c r="V249" s="848">
        <f t="shared" si="208"/>
        <v>0</v>
      </c>
      <c r="W249" s="848">
        <f t="shared" si="208"/>
        <v>15558.554989</v>
      </c>
      <c r="X249" s="848">
        <f t="shared" si="208"/>
        <v>0</v>
      </c>
      <c r="Y249" s="848">
        <f t="shared" si="208"/>
        <v>0</v>
      </c>
      <c r="Z249" s="848">
        <f t="shared" si="208"/>
        <v>0</v>
      </c>
      <c r="AA249" s="848">
        <f t="shared" si="208"/>
        <v>0</v>
      </c>
      <c r="AB249" s="848">
        <f t="shared" si="208"/>
        <v>0</v>
      </c>
      <c r="AC249" s="848">
        <f t="shared" si="208"/>
        <v>0</v>
      </c>
      <c r="AD249" s="848">
        <f t="shared" si="208"/>
        <v>0</v>
      </c>
      <c r="AE249" s="848">
        <f t="shared" si="208"/>
        <v>0</v>
      </c>
      <c r="AF249" s="848">
        <f t="shared" si="208"/>
        <v>0</v>
      </c>
      <c r="AG249" s="848">
        <f t="shared" si="208"/>
        <v>0</v>
      </c>
      <c r="AH249" s="848">
        <f t="shared" si="208"/>
        <v>0</v>
      </c>
      <c r="AI249" s="848">
        <f t="shared" si="208"/>
        <v>15558</v>
      </c>
      <c r="AJ249" s="848">
        <f t="shared" si="208"/>
        <v>0</v>
      </c>
      <c r="AK249" s="848">
        <f t="shared" si="208"/>
        <v>0</v>
      </c>
      <c r="AL249" s="848">
        <f t="shared" si="208"/>
        <v>15558</v>
      </c>
      <c r="AM249" s="848">
        <f t="shared" si="208"/>
        <v>0</v>
      </c>
      <c r="AN249" s="848">
        <f t="shared" si="208"/>
        <v>0</v>
      </c>
      <c r="AO249" s="848">
        <f t="shared" si="208"/>
        <v>0</v>
      </c>
      <c r="AP249" s="848">
        <f t="shared" si="208"/>
        <v>0</v>
      </c>
      <c r="AQ249" s="848">
        <f t="shared" si="208"/>
        <v>0</v>
      </c>
      <c r="AR249" s="848">
        <f t="shared" si="208"/>
        <v>0</v>
      </c>
      <c r="AS249" s="848"/>
      <c r="AT249" s="848">
        <f t="shared" si="208"/>
        <v>0</v>
      </c>
      <c r="AU249" s="848">
        <f t="shared" si="208"/>
        <v>0</v>
      </c>
      <c r="AV249" s="848">
        <f t="shared" si="208"/>
        <v>0</v>
      </c>
      <c r="AW249" s="848">
        <f t="shared" si="208"/>
        <v>0</v>
      </c>
      <c r="AX249" s="848">
        <f t="shared" si="208"/>
        <v>0</v>
      </c>
      <c r="AY249" s="848">
        <f t="shared" si="208"/>
        <v>2276.2210289999998</v>
      </c>
      <c r="AZ249" s="848">
        <f t="shared" si="208"/>
        <v>0</v>
      </c>
      <c r="BA249" s="848">
        <f t="shared" si="208"/>
        <v>0</v>
      </c>
      <c r="BB249" s="848">
        <f t="shared" si="208"/>
        <v>0</v>
      </c>
      <c r="BC249" s="848">
        <f t="shared" si="208"/>
        <v>2276.2210289999998</v>
      </c>
      <c r="BD249" s="848">
        <f t="shared" si="208"/>
        <v>0</v>
      </c>
      <c r="BE249" s="848">
        <f t="shared" si="208"/>
        <v>0</v>
      </c>
      <c r="BF249" s="848">
        <f t="shared" si="208"/>
        <v>0</v>
      </c>
      <c r="BG249" s="848">
        <f t="shared" si="208"/>
        <v>0</v>
      </c>
      <c r="BH249" s="848">
        <f t="shared" si="208"/>
        <v>0</v>
      </c>
      <c r="BI249" s="848">
        <f t="shared" si="208"/>
        <v>0</v>
      </c>
      <c r="BJ249" s="848">
        <f t="shared" si="208"/>
        <v>0</v>
      </c>
      <c r="BK249" s="848">
        <f t="shared" si="208"/>
        <v>0</v>
      </c>
      <c r="BL249" s="848">
        <f t="shared" si="208"/>
        <v>0</v>
      </c>
      <c r="BM249" s="848">
        <f t="shared" si="208"/>
        <v>0</v>
      </c>
      <c r="BN249" s="848">
        <f t="shared" si="208"/>
        <v>0</v>
      </c>
      <c r="BO249" s="848">
        <f t="shared" si="166"/>
        <v>2276.2210289999998</v>
      </c>
      <c r="BP249" s="848">
        <f t="shared" si="208"/>
        <v>0</v>
      </c>
      <c r="BQ249" s="848">
        <f t="shared" si="208"/>
        <v>0</v>
      </c>
      <c r="BR249" s="848">
        <f t="shared" ref="BR249:CS251" si="209">BR250</f>
        <v>0</v>
      </c>
      <c r="BS249" s="848">
        <f t="shared" si="209"/>
        <v>2276.2210289999998</v>
      </c>
      <c r="BT249" s="848">
        <f t="shared" si="209"/>
        <v>0</v>
      </c>
      <c r="BU249" s="848">
        <f t="shared" si="209"/>
        <v>0</v>
      </c>
      <c r="BV249" s="848">
        <f t="shared" si="209"/>
        <v>0</v>
      </c>
      <c r="BW249" s="848">
        <f t="shared" si="209"/>
        <v>0</v>
      </c>
      <c r="BX249" s="848">
        <f t="shared" si="209"/>
        <v>0</v>
      </c>
      <c r="BY249" s="848">
        <f t="shared" si="209"/>
        <v>0</v>
      </c>
      <c r="BZ249" s="848">
        <f t="shared" si="209"/>
        <v>0</v>
      </c>
      <c r="CA249" s="848">
        <f t="shared" si="209"/>
        <v>0</v>
      </c>
      <c r="CB249" s="848">
        <f t="shared" si="209"/>
        <v>0</v>
      </c>
      <c r="CC249" s="848">
        <f t="shared" si="209"/>
        <v>0</v>
      </c>
      <c r="CD249" s="848">
        <f t="shared" si="209"/>
        <v>0</v>
      </c>
      <c r="CE249" s="848">
        <f t="shared" si="209"/>
        <v>0</v>
      </c>
      <c r="CF249" s="848">
        <f>BO248/AY248%</f>
        <v>98.763749405878357</v>
      </c>
      <c r="CG249" s="848"/>
      <c r="CH249" s="848"/>
      <c r="CI249" s="848"/>
      <c r="CJ249" s="848">
        <f t="shared" si="182"/>
        <v>100</v>
      </c>
      <c r="CK249" s="848"/>
      <c r="CL249" s="848"/>
      <c r="CM249" s="848"/>
      <c r="CN249" s="848"/>
      <c r="CO249" s="848"/>
      <c r="CP249" s="848"/>
      <c r="CQ249" s="848"/>
      <c r="CR249" s="848"/>
      <c r="CS249" s="848"/>
      <c r="CT249" s="848"/>
      <c r="CU249" s="848"/>
      <c r="CV249" s="848"/>
      <c r="CW249" s="848"/>
    </row>
    <row r="250" spans="1:101" s="851" customFormat="1" ht="24.75" customHeight="1">
      <c r="A250" s="845"/>
      <c r="B250" s="845"/>
      <c r="C250" s="857" t="s">
        <v>795</v>
      </c>
      <c r="D250" s="846">
        <f>D251</f>
        <v>0</v>
      </c>
      <c r="E250" s="845">
        <f t="shared" si="207"/>
        <v>0</v>
      </c>
      <c r="F250" s="847"/>
      <c r="G250" s="845"/>
      <c r="H250" s="850">
        <f t="shared" si="158"/>
        <v>82226</v>
      </c>
      <c r="I250" s="848">
        <f t="shared" si="208"/>
        <v>0</v>
      </c>
      <c r="J250" s="848">
        <f t="shared" si="208"/>
        <v>82226</v>
      </c>
      <c r="K250" s="848">
        <f t="shared" si="208"/>
        <v>0</v>
      </c>
      <c r="L250" s="848">
        <f t="shared" si="208"/>
        <v>0</v>
      </c>
      <c r="M250" s="848">
        <f t="shared" si="208"/>
        <v>0</v>
      </c>
      <c r="N250" s="848">
        <f t="shared" si="208"/>
        <v>0</v>
      </c>
      <c r="O250" s="848">
        <f t="shared" si="208"/>
        <v>0</v>
      </c>
      <c r="P250" s="848">
        <f t="shared" si="208"/>
        <v>0</v>
      </c>
      <c r="Q250" s="848">
        <f t="shared" si="208"/>
        <v>0</v>
      </c>
      <c r="R250" s="848">
        <v>0</v>
      </c>
      <c r="S250" s="848">
        <f t="shared" si="208"/>
        <v>0</v>
      </c>
      <c r="T250" s="848">
        <f t="shared" si="208"/>
        <v>15558.554989</v>
      </c>
      <c r="U250" s="848">
        <f t="shared" si="208"/>
        <v>0</v>
      </c>
      <c r="V250" s="848">
        <f t="shared" si="208"/>
        <v>0</v>
      </c>
      <c r="W250" s="848">
        <f t="shared" si="208"/>
        <v>15558.554989</v>
      </c>
      <c r="X250" s="848">
        <f t="shared" si="208"/>
        <v>0</v>
      </c>
      <c r="Y250" s="848">
        <f t="shared" si="208"/>
        <v>0</v>
      </c>
      <c r="Z250" s="848">
        <f t="shared" si="208"/>
        <v>0</v>
      </c>
      <c r="AA250" s="848">
        <f t="shared" si="208"/>
        <v>0</v>
      </c>
      <c r="AB250" s="848">
        <f t="shared" si="208"/>
        <v>0</v>
      </c>
      <c r="AC250" s="848">
        <f t="shared" si="208"/>
        <v>0</v>
      </c>
      <c r="AD250" s="848">
        <f t="shared" si="208"/>
        <v>0</v>
      </c>
      <c r="AE250" s="848">
        <f t="shared" si="208"/>
        <v>0</v>
      </c>
      <c r="AF250" s="848">
        <f t="shared" si="208"/>
        <v>0</v>
      </c>
      <c r="AG250" s="848">
        <f t="shared" si="208"/>
        <v>0</v>
      </c>
      <c r="AH250" s="848">
        <f t="shared" si="208"/>
        <v>0</v>
      </c>
      <c r="AI250" s="848">
        <f t="shared" si="208"/>
        <v>15558</v>
      </c>
      <c r="AJ250" s="848">
        <f t="shared" si="208"/>
        <v>0</v>
      </c>
      <c r="AK250" s="848">
        <f t="shared" si="208"/>
        <v>0</v>
      </c>
      <c r="AL250" s="848">
        <f t="shared" si="208"/>
        <v>15558</v>
      </c>
      <c r="AM250" s="848">
        <f t="shared" si="208"/>
        <v>0</v>
      </c>
      <c r="AN250" s="848">
        <f t="shared" si="208"/>
        <v>0</v>
      </c>
      <c r="AO250" s="848">
        <f t="shared" si="208"/>
        <v>0</v>
      </c>
      <c r="AP250" s="848">
        <f t="shared" si="208"/>
        <v>0</v>
      </c>
      <c r="AQ250" s="848">
        <f t="shared" si="208"/>
        <v>0</v>
      </c>
      <c r="AR250" s="848">
        <f t="shared" si="208"/>
        <v>0</v>
      </c>
      <c r="AS250" s="848"/>
      <c r="AT250" s="848">
        <f t="shared" si="208"/>
        <v>0</v>
      </c>
      <c r="AU250" s="848">
        <f t="shared" si="208"/>
        <v>0</v>
      </c>
      <c r="AV250" s="848">
        <f t="shared" si="208"/>
        <v>0</v>
      </c>
      <c r="AW250" s="848">
        <f t="shared" si="208"/>
        <v>0</v>
      </c>
      <c r="AX250" s="848">
        <f t="shared" si="208"/>
        <v>0</v>
      </c>
      <c r="AY250" s="848">
        <f t="shared" si="208"/>
        <v>2276.2210289999998</v>
      </c>
      <c r="AZ250" s="848">
        <f t="shared" si="208"/>
        <v>0</v>
      </c>
      <c r="BA250" s="848">
        <f t="shared" si="208"/>
        <v>0</v>
      </c>
      <c r="BB250" s="848">
        <f t="shared" si="208"/>
        <v>0</v>
      </c>
      <c r="BC250" s="848">
        <f t="shared" si="208"/>
        <v>2276.2210289999998</v>
      </c>
      <c r="BD250" s="848">
        <f t="shared" si="208"/>
        <v>0</v>
      </c>
      <c r="BE250" s="848">
        <f t="shared" si="208"/>
        <v>0</v>
      </c>
      <c r="BF250" s="848">
        <f t="shared" si="208"/>
        <v>0</v>
      </c>
      <c r="BG250" s="848">
        <f t="shared" si="208"/>
        <v>0</v>
      </c>
      <c r="BH250" s="848">
        <f t="shared" si="208"/>
        <v>0</v>
      </c>
      <c r="BI250" s="848">
        <f t="shared" si="208"/>
        <v>0</v>
      </c>
      <c r="BJ250" s="848">
        <f t="shared" si="208"/>
        <v>0</v>
      </c>
      <c r="BK250" s="848">
        <f t="shared" si="208"/>
        <v>0</v>
      </c>
      <c r="BL250" s="848">
        <f t="shared" si="208"/>
        <v>0</v>
      </c>
      <c r="BM250" s="848">
        <f t="shared" si="208"/>
        <v>0</v>
      </c>
      <c r="BN250" s="848">
        <f t="shared" si="208"/>
        <v>0</v>
      </c>
      <c r="BO250" s="848">
        <f t="shared" si="166"/>
        <v>2276.2210289999998</v>
      </c>
      <c r="BP250" s="848">
        <f t="shared" si="208"/>
        <v>0</v>
      </c>
      <c r="BQ250" s="848">
        <f t="shared" si="208"/>
        <v>0</v>
      </c>
      <c r="BR250" s="848">
        <f t="shared" si="209"/>
        <v>0</v>
      </c>
      <c r="BS250" s="848">
        <f t="shared" si="209"/>
        <v>2276.2210289999998</v>
      </c>
      <c r="BT250" s="848">
        <f t="shared" si="209"/>
        <v>0</v>
      </c>
      <c r="BU250" s="848">
        <f t="shared" si="209"/>
        <v>0</v>
      </c>
      <c r="BV250" s="848">
        <f t="shared" si="209"/>
        <v>0</v>
      </c>
      <c r="BW250" s="848">
        <f t="shared" si="209"/>
        <v>0</v>
      </c>
      <c r="BX250" s="848">
        <f t="shared" si="209"/>
        <v>0</v>
      </c>
      <c r="BY250" s="848">
        <f t="shared" si="209"/>
        <v>0</v>
      </c>
      <c r="BZ250" s="848">
        <f t="shared" si="209"/>
        <v>0</v>
      </c>
      <c r="CA250" s="848">
        <f t="shared" si="209"/>
        <v>0</v>
      </c>
      <c r="CB250" s="848">
        <f t="shared" si="209"/>
        <v>0</v>
      </c>
      <c r="CC250" s="848">
        <f t="shared" si="209"/>
        <v>0</v>
      </c>
      <c r="CD250" s="848">
        <f t="shared" si="209"/>
        <v>0</v>
      </c>
      <c r="CE250" s="848">
        <f t="shared" si="209"/>
        <v>0</v>
      </c>
      <c r="CF250" s="848">
        <f t="shared" si="209"/>
        <v>100</v>
      </c>
      <c r="CG250" s="848"/>
      <c r="CH250" s="848"/>
      <c r="CI250" s="848"/>
      <c r="CJ250" s="848">
        <f t="shared" si="182"/>
        <v>100</v>
      </c>
      <c r="CK250" s="848"/>
      <c r="CL250" s="848"/>
      <c r="CM250" s="848"/>
      <c r="CN250" s="848"/>
      <c r="CO250" s="848"/>
      <c r="CP250" s="848"/>
      <c r="CQ250" s="848"/>
      <c r="CR250" s="848"/>
      <c r="CS250" s="848">
        <f t="shared" si="209"/>
        <v>0</v>
      </c>
      <c r="CT250" s="848"/>
      <c r="CU250" s="848"/>
      <c r="CV250" s="848"/>
      <c r="CW250" s="848"/>
    </row>
    <row r="251" spans="1:101" s="851" customFormat="1" ht="33" customHeight="1">
      <c r="A251" s="845"/>
      <c r="B251" s="852" t="s">
        <v>800</v>
      </c>
      <c r="C251" s="852" t="s">
        <v>801</v>
      </c>
      <c r="D251" s="846"/>
      <c r="E251" s="845"/>
      <c r="F251" s="853" t="s">
        <v>802</v>
      </c>
      <c r="G251" s="846" t="s">
        <v>803</v>
      </c>
      <c r="H251" s="850">
        <f t="shared" si="158"/>
        <v>82226</v>
      </c>
      <c r="I251" s="876"/>
      <c r="J251" s="855">
        <v>82226</v>
      </c>
      <c r="K251" s="848"/>
      <c r="L251" s="848"/>
      <c r="M251" s="848"/>
      <c r="N251" s="848"/>
      <c r="O251" s="848"/>
      <c r="P251" s="848"/>
      <c r="Q251" s="848"/>
      <c r="R251" s="848"/>
      <c r="S251" s="848"/>
      <c r="T251" s="855">
        <f t="shared" si="167"/>
        <v>15558.554989</v>
      </c>
      <c r="U251" s="848"/>
      <c r="V251" s="848"/>
      <c r="W251" s="855">
        <v>15558.554989</v>
      </c>
      <c r="X251" s="848"/>
      <c r="Y251" s="848"/>
      <c r="Z251" s="848"/>
      <c r="AA251" s="848"/>
      <c r="AB251" s="848"/>
      <c r="AC251" s="848"/>
      <c r="AD251" s="848"/>
      <c r="AE251" s="848"/>
      <c r="AF251" s="848"/>
      <c r="AG251" s="848"/>
      <c r="AH251" s="855"/>
      <c r="AI251" s="855">
        <f>AL251</f>
        <v>15558</v>
      </c>
      <c r="AJ251" s="855"/>
      <c r="AK251" s="855"/>
      <c r="AL251" s="855">
        <v>15558</v>
      </c>
      <c r="AM251" s="855"/>
      <c r="AN251" s="855"/>
      <c r="AO251" s="855"/>
      <c r="AP251" s="855"/>
      <c r="AQ251" s="855"/>
      <c r="AR251" s="855"/>
      <c r="AS251" s="855"/>
      <c r="AT251" s="855"/>
      <c r="AU251" s="855"/>
      <c r="AV251" s="855"/>
      <c r="AW251" s="855"/>
      <c r="AX251" s="855"/>
      <c r="AY251" s="855">
        <f t="shared" ref="AY251" si="210">SUM(AZ251:BN251)</f>
        <v>2276.2210289999998</v>
      </c>
      <c r="AZ251" s="855"/>
      <c r="BA251" s="855"/>
      <c r="BB251" s="855"/>
      <c r="BC251" s="855">
        <f>'[10]bieu cu'!H274</f>
        <v>2276.2210289999998</v>
      </c>
      <c r="BD251" s="855"/>
      <c r="BE251" s="855"/>
      <c r="BF251" s="855"/>
      <c r="BG251" s="855"/>
      <c r="BH251" s="855"/>
      <c r="BI251" s="855"/>
      <c r="BJ251" s="855"/>
      <c r="BK251" s="855"/>
      <c r="BL251" s="855"/>
      <c r="BM251" s="855"/>
      <c r="BN251" s="855"/>
      <c r="BO251" s="848">
        <f t="shared" si="166"/>
        <v>2276.2210289999998</v>
      </c>
      <c r="BP251" s="855"/>
      <c r="BQ251" s="855"/>
      <c r="BR251" s="855"/>
      <c r="BS251" s="855">
        <v>2276.2210289999998</v>
      </c>
      <c r="BT251" s="855"/>
      <c r="BU251" s="855"/>
      <c r="BV251" s="855"/>
      <c r="BW251" s="855"/>
      <c r="BX251" s="855"/>
      <c r="BY251" s="855"/>
      <c r="BZ251" s="855"/>
      <c r="CA251" s="855"/>
      <c r="CB251" s="855"/>
      <c r="CC251" s="855"/>
      <c r="CD251" s="855"/>
      <c r="CE251" s="855"/>
      <c r="CF251" s="848">
        <f t="shared" si="209"/>
        <v>100</v>
      </c>
      <c r="CG251" s="848"/>
      <c r="CH251" s="848"/>
      <c r="CI251" s="848"/>
      <c r="CJ251" s="848">
        <f t="shared" si="182"/>
        <v>100</v>
      </c>
      <c r="CK251" s="848"/>
      <c r="CL251" s="848"/>
      <c r="CM251" s="848"/>
      <c r="CN251" s="848"/>
      <c r="CO251" s="848"/>
      <c r="CP251" s="848"/>
      <c r="CQ251" s="848"/>
      <c r="CR251" s="848"/>
      <c r="CS251" s="848">
        <f t="shared" si="209"/>
        <v>0</v>
      </c>
      <c r="CT251" s="848"/>
      <c r="CU251" s="848"/>
      <c r="CV251" s="848"/>
      <c r="CW251" s="848"/>
    </row>
    <row r="252" spans="1:101" ht="24.75" customHeight="1">
      <c r="A252" s="845" t="s">
        <v>804</v>
      </c>
      <c r="B252" s="845"/>
      <c r="C252" s="857" t="s">
        <v>805</v>
      </c>
      <c r="D252" s="846">
        <f>D253</f>
        <v>0</v>
      </c>
      <c r="E252" s="845">
        <f t="shared" ref="E252:CD253" si="211">E253</f>
        <v>0</v>
      </c>
      <c r="F252" s="847"/>
      <c r="G252" s="845"/>
      <c r="H252" s="850">
        <f t="shared" si="158"/>
        <v>78333.91</v>
      </c>
      <c r="I252" s="848">
        <f t="shared" si="211"/>
        <v>0</v>
      </c>
      <c r="J252" s="848">
        <f t="shared" si="211"/>
        <v>78333.91</v>
      </c>
      <c r="K252" s="848">
        <f t="shared" si="211"/>
        <v>0</v>
      </c>
      <c r="L252" s="848">
        <f t="shared" si="211"/>
        <v>0</v>
      </c>
      <c r="M252" s="848">
        <f t="shared" si="211"/>
        <v>0</v>
      </c>
      <c r="N252" s="848">
        <f t="shared" si="211"/>
        <v>0</v>
      </c>
      <c r="O252" s="848">
        <f t="shared" si="211"/>
        <v>0</v>
      </c>
      <c r="P252" s="848">
        <f t="shared" si="211"/>
        <v>0</v>
      </c>
      <c r="Q252" s="848">
        <f t="shared" si="211"/>
        <v>0</v>
      </c>
      <c r="R252" s="848">
        <v>0</v>
      </c>
      <c r="S252" s="848">
        <f t="shared" si="211"/>
        <v>0</v>
      </c>
      <c r="T252" s="848">
        <f t="shared" si="211"/>
        <v>17192.894</v>
      </c>
      <c r="U252" s="848">
        <f t="shared" si="211"/>
        <v>0</v>
      </c>
      <c r="V252" s="848">
        <f t="shared" si="211"/>
        <v>0</v>
      </c>
      <c r="W252" s="848">
        <f t="shared" si="211"/>
        <v>17192.894</v>
      </c>
      <c r="X252" s="848">
        <f t="shared" si="211"/>
        <v>0</v>
      </c>
      <c r="Y252" s="848">
        <f t="shared" si="211"/>
        <v>0</v>
      </c>
      <c r="Z252" s="848">
        <f t="shared" si="211"/>
        <v>0</v>
      </c>
      <c r="AA252" s="848">
        <f t="shared" si="211"/>
        <v>0</v>
      </c>
      <c r="AB252" s="848">
        <f t="shared" si="211"/>
        <v>0</v>
      </c>
      <c r="AC252" s="848">
        <f t="shared" si="211"/>
        <v>0</v>
      </c>
      <c r="AD252" s="848">
        <f t="shared" si="211"/>
        <v>0</v>
      </c>
      <c r="AE252" s="848">
        <f t="shared" si="211"/>
        <v>0</v>
      </c>
      <c r="AF252" s="848">
        <f t="shared" si="211"/>
        <v>0</v>
      </c>
      <c r="AG252" s="848">
        <f t="shared" si="211"/>
        <v>0</v>
      </c>
      <c r="AH252" s="848">
        <f t="shared" si="211"/>
        <v>0</v>
      </c>
      <c r="AI252" s="848">
        <f t="shared" si="211"/>
        <v>17193</v>
      </c>
      <c r="AJ252" s="848">
        <f t="shared" si="211"/>
        <v>0</v>
      </c>
      <c r="AK252" s="848">
        <f t="shared" si="211"/>
        <v>0</v>
      </c>
      <c r="AL252" s="848">
        <f t="shared" si="211"/>
        <v>17193</v>
      </c>
      <c r="AM252" s="848">
        <f t="shared" si="211"/>
        <v>0</v>
      </c>
      <c r="AN252" s="848">
        <f t="shared" si="211"/>
        <v>0</v>
      </c>
      <c r="AO252" s="848">
        <f t="shared" si="211"/>
        <v>0</v>
      </c>
      <c r="AP252" s="848">
        <f t="shared" si="211"/>
        <v>0</v>
      </c>
      <c r="AQ252" s="848">
        <f t="shared" si="211"/>
        <v>0</v>
      </c>
      <c r="AR252" s="848">
        <f t="shared" si="211"/>
        <v>0</v>
      </c>
      <c r="AS252" s="848"/>
      <c r="AT252" s="848">
        <f t="shared" si="211"/>
        <v>0</v>
      </c>
      <c r="AU252" s="848">
        <f t="shared" si="211"/>
        <v>0</v>
      </c>
      <c r="AV252" s="848">
        <f t="shared" si="211"/>
        <v>0</v>
      </c>
      <c r="AW252" s="848">
        <f t="shared" si="211"/>
        <v>0</v>
      </c>
      <c r="AX252" s="848">
        <f t="shared" si="211"/>
        <v>0</v>
      </c>
      <c r="AY252" s="848">
        <f t="shared" si="211"/>
        <v>4548.0108099999998</v>
      </c>
      <c r="AZ252" s="848">
        <f t="shared" si="211"/>
        <v>0</v>
      </c>
      <c r="BA252" s="848">
        <f t="shared" si="211"/>
        <v>0</v>
      </c>
      <c r="BB252" s="848">
        <f t="shared" si="211"/>
        <v>0</v>
      </c>
      <c r="BC252" s="848">
        <f t="shared" si="211"/>
        <v>4548.0108099999998</v>
      </c>
      <c r="BD252" s="848">
        <f t="shared" si="211"/>
        <v>0</v>
      </c>
      <c r="BE252" s="848">
        <f t="shared" si="211"/>
        <v>0</v>
      </c>
      <c r="BF252" s="848">
        <f t="shared" si="211"/>
        <v>0</v>
      </c>
      <c r="BG252" s="848">
        <f t="shared" si="211"/>
        <v>0</v>
      </c>
      <c r="BH252" s="848">
        <f t="shared" si="211"/>
        <v>0</v>
      </c>
      <c r="BI252" s="848">
        <f t="shared" si="211"/>
        <v>0</v>
      </c>
      <c r="BJ252" s="848">
        <f t="shared" si="211"/>
        <v>0</v>
      </c>
      <c r="BK252" s="848">
        <f t="shared" si="211"/>
        <v>0</v>
      </c>
      <c r="BL252" s="848">
        <f t="shared" si="211"/>
        <v>0</v>
      </c>
      <c r="BM252" s="848">
        <f t="shared" si="211"/>
        <v>0</v>
      </c>
      <c r="BN252" s="848">
        <f t="shared" si="211"/>
        <v>0</v>
      </c>
      <c r="BO252" s="848">
        <f t="shared" si="166"/>
        <v>4548.0108099999998</v>
      </c>
      <c r="BP252" s="848">
        <f t="shared" si="211"/>
        <v>0</v>
      </c>
      <c r="BQ252" s="848">
        <f t="shared" si="211"/>
        <v>0</v>
      </c>
      <c r="BR252" s="848">
        <f t="shared" si="211"/>
        <v>0</v>
      </c>
      <c r="BS252" s="848">
        <f t="shared" si="211"/>
        <v>4548.0108099999998</v>
      </c>
      <c r="BT252" s="848">
        <f t="shared" si="211"/>
        <v>0</v>
      </c>
      <c r="BU252" s="848">
        <f t="shared" si="211"/>
        <v>0</v>
      </c>
      <c r="BV252" s="848">
        <f t="shared" si="211"/>
        <v>0</v>
      </c>
      <c r="BW252" s="848">
        <f t="shared" si="211"/>
        <v>0</v>
      </c>
      <c r="BX252" s="848">
        <f t="shared" si="211"/>
        <v>0</v>
      </c>
      <c r="BY252" s="848">
        <f t="shared" si="211"/>
        <v>0</v>
      </c>
      <c r="BZ252" s="848">
        <f t="shared" si="211"/>
        <v>0</v>
      </c>
      <c r="CA252" s="848">
        <f>CA253</f>
        <v>0</v>
      </c>
      <c r="CB252" s="848">
        <f t="shared" si="211"/>
        <v>0</v>
      </c>
      <c r="CC252" s="848">
        <f t="shared" si="211"/>
        <v>0</v>
      </c>
      <c r="CD252" s="848">
        <f t="shared" si="211"/>
        <v>0</v>
      </c>
      <c r="CE252" s="848">
        <f>CE253</f>
        <v>0</v>
      </c>
      <c r="CF252" s="848">
        <f>BO251/AY251%</f>
        <v>100</v>
      </c>
      <c r="CG252" s="848"/>
      <c r="CH252" s="848"/>
      <c r="CI252" s="848"/>
      <c r="CJ252" s="848">
        <f t="shared" si="182"/>
        <v>100</v>
      </c>
      <c r="CK252" s="848"/>
      <c r="CL252" s="848"/>
      <c r="CM252" s="848"/>
      <c r="CN252" s="848"/>
      <c r="CO252" s="848"/>
      <c r="CP252" s="848"/>
      <c r="CQ252" s="848"/>
      <c r="CR252" s="848"/>
      <c r="CS252" s="848"/>
      <c r="CT252" s="848"/>
      <c r="CU252" s="848"/>
      <c r="CV252" s="848"/>
      <c r="CW252" s="848"/>
    </row>
    <row r="253" spans="1:101" ht="24.75" customHeight="1">
      <c r="A253" s="845"/>
      <c r="B253" s="845"/>
      <c r="C253" s="857" t="s">
        <v>795</v>
      </c>
      <c r="D253" s="846">
        <f>D254</f>
        <v>0</v>
      </c>
      <c r="E253" s="845">
        <f t="shared" si="211"/>
        <v>0</v>
      </c>
      <c r="F253" s="847"/>
      <c r="G253" s="845"/>
      <c r="H253" s="850">
        <f t="shared" si="158"/>
        <v>78333.91</v>
      </c>
      <c r="I253" s="848">
        <f t="shared" si="211"/>
        <v>0</v>
      </c>
      <c r="J253" s="848">
        <f t="shared" si="211"/>
        <v>78333.91</v>
      </c>
      <c r="K253" s="848">
        <f t="shared" si="211"/>
        <v>0</v>
      </c>
      <c r="L253" s="848">
        <f t="shared" si="211"/>
        <v>0</v>
      </c>
      <c r="M253" s="848">
        <f t="shared" si="211"/>
        <v>0</v>
      </c>
      <c r="N253" s="848">
        <f t="shared" si="211"/>
        <v>0</v>
      </c>
      <c r="O253" s="848">
        <f t="shared" si="211"/>
        <v>0</v>
      </c>
      <c r="P253" s="848">
        <f t="shared" si="211"/>
        <v>0</v>
      </c>
      <c r="Q253" s="848">
        <f t="shared" si="211"/>
        <v>0</v>
      </c>
      <c r="R253" s="848">
        <v>0</v>
      </c>
      <c r="S253" s="848">
        <f t="shared" si="211"/>
        <v>0</v>
      </c>
      <c r="T253" s="848">
        <f t="shared" si="211"/>
        <v>17192.894</v>
      </c>
      <c r="U253" s="848">
        <f t="shared" si="211"/>
        <v>0</v>
      </c>
      <c r="V253" s="848">
        <f t="shared" si="211"/>
        <v>0</v>
      </c>
      <c r="W253" s="848">
        <f t="shared" si="211"/>
        <v>17192.894</v>
      </c>
      <c r="X253" s="848">
        <f t="shared" si="211"/>
        <v>0</v>
      </c>
      <c r="Y253" s="848">
        <f t="shared" si="211"/>
        <v>0</v>
      </c>
      <c r="Z253" s="848">
        <f t="shared" si="211"/>
        <v>0</v>
      </c>
      <c r="AA253" s="848">
        <f t="shared" si="211"/>
        <v>0</v>
      </c>
      <c r="AB253" s="848">
        <f t="shared" si="211"/>
        <v>0</v>
      </c>
      <c r="AC253" s="848">
        <f t="shared" si="211"/>
        <v>0</v>
      </c>
      <c r="AD253" s="848">
        <f t="shared" si="211"/>
        <v>0</v>
      </c>
      <c r="AE253" s="848">
        <f t="shared" si="211"/>
        <v>0</v>
      </c>
      <c r="AF253" s="848">
        <f t="shared" si="211"/>
        <v>0</v>
      </c>
      <c r="AG253" s="848">
        <f t="shared" si="211"/>
        <v>0</v>
      </c>
      <c r="AH253" s="848">
        <f t="shared" si="211"/>
        <v>0</v>
      </c>
      <c r="AI253" s="848">
        <f t="shared" si="211"/>
        <v>17193</v>
      </c>
      <c r="AJ253" s="848">
        <f t="shared" si="211"/>
        <v>0</v>
      </c>
      <c r="AK253" s="848">
        <f t="shared" si="211"/>
        <v>0</v>
      </c>
      <c r="AL253" s="848">
        <f t="shared" si="211"/>
        <v>17193</v>
      </c>
      <c r="AM253" s="848">
        <f t="shared" si="211"/>
        <v>0</v>
      </c>
      <c r="AN253" s="848">
        <f t="shared" si="211"/>
        <v>0</v>
      </c>
      <c r="AO253" s="848">
        <f t="shared" si="211"/>
        <v>0</v>
      </c>
      <c r="AP253" s="848">
        <f t="shared" si="211"/>
        <v>0</v>
      </c>
      <c r="AQ253" s="848">
        <f t="shared" si="211"/>
        <v>0</v>
      </c>
      <c r="AR253" s="848">
        <f t="shared" si="211"/>
        <v>0</v>
      </c>
      <c r="AS253" s="848"/>
      <c r="AT253" s="848">
        <f t="shared" si="211"/>
        <v>0</v>
      </c>
      <c r="AU253" s="848">
        <f t="shared" si="211"/>
        <v>0</v>
      </c>
      <c r="AV253" s="848">
        <f t="shared" si="211"/>
        <v>0</v>
      </c>
      <c r="AW253" s="848">
        <f t="shared" si="211"/>
        <v>0</v>
      </c>
      <c r="AX253" s="848">
        <f t="shared" si="211"/>
        <v>0</v>
      </c>
      <c r="AY253" s="848">
        <f t="shared" si="211"/>
        <v>4548.0108099999998</v>
      </c>
      <c r="AZ253" s="848">
        <f t="shared" si="211"/>
        <v>0</v>
      </c>
      <c r="BA253" s="848">
        <f t="shared" si="211"/>
        <v>0</v>
      </c>
      <c r="BB253" s="848">
        <f t="shared" si="211"/>
        <v>0</v>
      </c>
      <c r="BC253" s="848">
        <f t="shared" si="211"/>
        <v>4548.0108099999998</v>
      </c>
      <c r="BD253" s="848">
        <f t="shared" si="211"/>
        <v>0</v>
      </c>
      <c r="BE253" s="848">
        <f t="shared" si="211"/>
        <v>0</v>
      </c>
      <c r="BF253" s="848">
        <f t="shared" si="211"/>
        <v>0</v>
      </c>
      <c r="BG253" s="848">
        <f t="shared" si="211"/>
        <v>0</v>
      </c>
      <c r="BH253" s="848">
        <f t="shared" si="211"/>
        <v>0</v>
      </c>
      <c r="BI253" s="848">
        <f t="shared" si="211"/>
        <v>0</v>
      </c>
      <c r="BJ253" s="848">
        <f t="shared" si="211"/>
        <v>0</v>
      </c>
      <c r="BK253" s="848">
        <f t="shared" si="211"/>
        <v>0</v>
      </c>
      <c r="BL253" s="848">
        <f t="shared" si="211"/>
        <v>0</v>
      </c>
      <c r="BM253" s="848">
        <f t="shared" si="211"/>
        <v>0</v>
      </c>
      <c r="BN253" s="848">
        <f t="shared" si="211"/>
        <v>0</v>
      </c>
      <c r="BO253" s="848">
        <f t="shared" si="166"/>
        <v>4548.0108099999998</v>
      </c>
      <c r="BP253" s="848">
        <f t="shared" si="211"/>
        <v>0</v>
      </c>
      <c r="BQ253" s="848">
        <f t="shared" si="211"/>
        <v>0</v>
      </c>
      <c r="BR253" s="848">
        <f t="shared" si="211"/>
        <v>0</v>
      </c>
      <c r="BS253" s="848">
        <f t="shared" si="211"/>
        <v>4548.0108099999998</v>
      </c>
      <c r="BT253" s="848">
        <f t="shared" si="211"/>
        <v>0</v>
      </c>
      <c r="BU253" s="848">
        <f t="shared" si="211"/>
        <v>0</v>
      </c>
      <c r="BV253" s="848">
        <f t="shared" si="211"/>
        <v>0</v>
      </c>
      <c r="BW253" s="848">
        <f t="shared" si="211"/>
        <v>0</v>
      </c>
      <c r="BX253" s="848">
        <f t="shared" si="211"/>
        <v>0</v>
      </c>
      <c r="BY253" s="848">
        <f t="shared" si="211"/>
        <v>0</v>
      </c>
      <c r="BZ253" s="848">
        <f t="shared" si="211"/>
        <v>0</v>
      </c>
      <c r="CA253" s="848">
        <f t="shared" si="211"/>
        <v>0</v>
      </c>
      <c r="CB253" s="848">
        <f t="shared" si="211"/>
        <v>0</v>
      </c>
      <c r="CC253" s="848">
        <f t="shared" si="211"/>
        <v>0</v>
      </c>
      <c r="CD253" s="848">
        <f t="shared" si="211"/>
        <v>0</v>
      </c>
      <c r="CE253" s="848">
        <f t="shared" ref="CE253" si="212">CE254</f>
        <v>0</v>
      </c>
      <c r="CF253" s="848">
        <f>BO252/AY252%</f>
        <v>100</v>
      </c>
      <c r="CG253" s="848"/>
      <c r="CH253" s="848"/>
      <c r="CI253" s="848"/>
      <c r="CJ253" s="848">
        <f t="shared" si="182"/>
        <v>100</v>
      </c>
      <c r="CK253" s="848"/>
      <c r="CL253" s="848"/>
      <c r="CM253" s="848"/>
      <c r="CN253" s="848"/>
      <c r="CO253" s="848"/>
      <c r="CP253" s="848"/>
      <c r="CQ253" s="848"/>
      <c r="CR253" s="848"/>
      <c r="CS253" s="848"/>
      <c r="CT253" s="848"/>
      <c r="CU253" s="848"/>
      <c r="CV253" s="848"/>
      <c r="CW253" s="848"/>
    </row>
    <row r="254" spans="1:101" s="851" customFormat="1" ht="24.75" customHeight="1">
      <c r="A254" s="845"/>
      <c r="B254" s="852" t="s">
        <v>805</v>
      </c>
      <c r="C254" s="852" t="s">
        <v>806</v>
      </c>
      <c r="D254" s="846"/>
      <c r="E254" s="845"/>
      <c r="F254" s="853">
        <v>2011</v>
      </c>
      <c r="G254" s="846" t="s">
        <v>807</v>
      </c>
      <c r="H254" s="850">
        <f t="shared" si="158"/>
        <v>78333.91</v>
      </c>
      <c r="I254" s="855"/>
      <c r="J254" s="855">
        <v>78333.91</v>
      </c>
      <c r="K254" s="848"/>
      <c r="L254" s="848"/>
      <c r="M254" s="848"/>
      <c r="N254" s="848"/>
      <c r="O254" s="848"/>
      <c r="P254" s="848"/>
      <c r="Q254" s="848"/>
      <c r="R254" s="848"/>
      <c r="S254" s="848"/>
      <c r="T254" s="855">
        <f t="shared" si="167"/>
        <v>17192.894</v>
      </c>
      <c r="U254" s="848"/>
      <c r="V254" s="848"/>
      <c r="W254" s="855">
        <v>17192.894</v>
      </c>
      <c r="X254" s="848"/>
      <c r="Y254" s="848"/>
      <c r="Z254" s="848"/>
      <c r="AA254" s="848"/>
      <c r="AB254" s="848"/>
      <c r="AC254" s="848"/>
      <c r="AD254" s="848"/>
      <c r="AE254" s="848"/>
      <c r="AF254" s="848"/>
      <c r="AG254" s="848"/>
      <c r="AH254" s="855"/>
      <c r="AI254" s="855">
        <f>AL254</f>
        <v>17193</v>
      </c>
      <c r="AJ254" s="855"/>
      <c r="AK254" s="855"/>
      <c r="AL254" s="855">
        <v>17193</v>
      </c>
      <c r="AM254" s="855"/>
      <c r="AN254" s="855"/>
      <c r="AO254" s="855"/>
      <c r="AP254" s="855"/>
      <c r="AQ254" s="855"/>
      <c r="AR254" s="855"/>
      <c r="AS254" s="855"/>
      <c r="AT254" s="855"/>
      <c r="AU254" s="855"/>
      <c r="AV254" s="855"/>
      <c r="AW254" s="855"/>
      <c r="AX254" s="855"/>
      <c r="AY254" s="855">
        <f t="shared" ref="AY254" si="213">SUM(AZ254:BN254)</f>
        <v>4548.0108099999998</v>
      </c>
      <c r="AZ254" s="855"/>
      <c r="BA254" s="855"/>
      <c r="BB254" s="855"/>
      <c r="BC254" s="855">
        <f>'[10]bieu cu'!H275</f>
        <v>4548.0108099999998</v>
      </c>
      <c r="BD254" s="855"/>
      <c r="BE254" s="855"/>
      <c r="BF254" s="855"/>
      <c r="BG254" s="855"/>
      <c r="BH254" s="855"/>
      <c r="BI254" s="855"/>
      <c r="BJ254" s="855"/>
      <c r="BK254" s="855"/>
      <c r="BL254" s="855"/>
      <c r="BM254" s="855"/>
      <c r="BN254" s="855"/>
      <c r="BO254" s="848">
        <f t="shared" si="166"/>
        <v>4548.0108099999998</v>
      </c>
      <c r="BP254" s="855"/>
      <c r="BQ254" s="855"/>
      <c r="BR254" s="855"/>
      <c r="BS254" s="855">
        <f>'[10]bieu cu'!M275</f>
        <v>4548.0108099999998</v>
      </c>
      <c r="BT254" s="855"/>
      <c r="BU254" s="855"/>
      <c r="BV254" s="855"/>
      <c r="BW254" s="855"/>
      <c r="BX254" s="855"/>
      <c r="BY254" s="855"/>
      <c r="BZ254" s="855"/>
      <c r="CA254" s="855"/>
      <c r="CB254" s="855"/>
      <c r="CC254" s="855"/>
      <c r="CD254" s="855"/>
      <c r="CE254" s="855"/>
      <c r="CF254" s="848">
        <f t="shared" ref="CF254:CS254" si="214">CF255</f>
        <v>100</v>
      </c>
      <c r="CG254" s="848"/>
      <c r="CH254" s="848"/>
      <c r="CI254" s="848"/>
      <c r="CJ254" s="848">
        <f t="shared" si="182"/>
        <v>100</v>
      </c>
      <c r="CK254" s="848"/>
      <c r="CL254" s="848"/>
      <c r="CM254" s="848"/>
      <c r="CN254" s="848"/>
      <c r="CO254" s="848"/>
      <c r="CP254" s="848"/>
      <c r="CQ254" s="848"/>
      <c r="CR254" s="848"/>
      <c r="CS254" s="848">
        <f t="shared" si="214"/>
        <v>0</v>
      </c>
      <c r="CT254" s="848"/>
      <c r="CU254" s="848"/>
      <c r="CV254" s="848"/>
      <c r="CW254" s="848"/>
    </row>
    <row r="255" spans="1:101" ht="24.75" customHeight="1">
      <c r="A255" s="845" t="s">
        <v>808</v>
      </c>
      <c r="B255" s="845"/>
      <c r="C255" s="857" t="s">
        <v>809</v>
      </c>
      <c r="D255" s="846">
        <f>D256</f>
        <v>0</v>
      </c>
      <c r="E255" s="845">
        <f t="shared" ref="E255:CD256" si="215">E256</f>
        <v>0</v>
      </c>
      <c r="F255" s="847"/>
      <c r="G255" s="845"/>
      <c r="H255" s="850">
        <f t="shared" si="158"/>
        <v>71097</v>
      </c>
      <c r="I255" s="848">
        <f t="shared" ref="I255:BQ256" si="216">I256</f>
        <v>0</v>
      </c>
      <c r="J255" s="848">
        <f t="shared" si="216"/>
        <v>71097</v>
      </c>
      <c r="K255" s="848">
        <f t="shared" si="216"/>
        <v>0</v>
      </c>
      <c r="L255" s="848">
        <f t="shared" si="216"/>
        <v>0</v>
      </c>
      <c r="M255" s="848">
        <f t="shared" si="216"/>
        <v>0</v>
      </c>
      <c r="N255" s="848">
        <f t="shared" si="216"/>
        <v>0</v>
      </c>
      <c r="O255" s="848">
        <f t="shared" si="216"/>
        <v>0</v>
      </c>
      <c r="P255" s="848">
        <f t="shared" si="216"/>
        <v>0</v>
      </c>
      <c r="Q255" s="848">
        <f t="shared" si="216"/>
        <v>0</v>
      </c>
      <c r="R255" s="848">
        <v>0</v>
      </c>
      <c r="S255" s="848">
        <f t="shared" si="216"/>
        <v>0</v>
      </c>
      <c r="T255" s="848">
        <f t="shared" si="216"/>
        <v>35225.550000000003</v>
      </c>
      <c r="U255" s="848">
        <f t="shared" si="216"/>
        <v>0</v>
      </c>
      <c r="V255" s="848">
        <f t="shared" si="216"/>
        <v>0</v>
      </c>
      <c r="W255" s="848">
        <f t="shared" si="216"/>
        <v>35225.550000000003</v>
      </c>
      <c r="X255" s="848">
        <f t="shared" si="216"/>
        <v>0</v>
      </c>
      <c r="Y255" s="848">
        <f t="shared" si="216"/>
        <v>0</v>
      </c>
      <c r="Z255" s="848">
        <f t="shared" si="216"/>
        <v>0</v>
      </c>
      <c r="AA255" s="848">
        <f t="shared" si="216"/>
        <v>0</v>
      </c>
      <c r="AB255" s="848">
        <f t="shared" si="216"/>
        <v>0</v>
      </c>
      <c r="AC255" s="848">
        <f t="shared" si="216"/>
        <v>0</v>
      </c>
      <c r="AD255" s="848">
        <f t="shared" si="216"/>
        <v>0</v>
      </c>
      <c r="AE255" s="848">
        <f t="shared" si="216"/>
        <v>0</v>
      </c>
      <c r="AF255" s="848">
        <f t="shared" si="216"/>
        <v>0</v>
      </c>
      <c r="AG255" s="848">
        <f t="shared" si="216"/>
        <v>0</v>
      </c>
      <c r="AH255" s="848">
        <f t="shared" si="216"/>
        <v>0</v>
      </c>
      <c r="AI255" s="848">
        <f t="shared" si="216"/>
        <v>35226</v>
      </c>
      <c r="AJ255" s="848">
        <f t="shared" si="216"/>
        <v>0</v>
      </c>
      <c r="AK255" s="848">
        <f t="shared" si="216"/>
        <v>0</v>
      </c>
      <c r="AL255" s="848">
        <f t="shared" si="216"/>
        <v>35226</v>
      </c>
      <c r="AM255" s="848">
        <f t="shared" si="216"/>
        <v>0</v>
      </c>
      <c r="AN255" s="848">
        <f t="shared" si="216"/>
        <v>0</v>
      </c>
      <c r="AO255" s="848">
        <f t="shared" si="216"/>
        <v>0</v>
      </c>
      <c r="AP255" s="848">
        <f t="shared" si="216"/>
        <v>0</v>
      </c>
      <c r="AQ255" s="848">
        <f t="shared" si="216"/>
        <v>0</v>
      </c>
      <c r="AR255" s="848">
        <f t="shared" si="216"/>
        <v>0</v>
      </c>
      <c r="AS255" s="848"/>
      <c r="AT255" s="848">
        <f t="shared" si="216"/>
        <v>0</v>
      </c>
      <c r="AU255" s="848">
        <f t="shared" si="216"/>
        <v>0</v>
      </c>
      <c r="AV255" s="848">
        <f t="shared" si="216"/>
        <v>0</v>
      </c>
      <c r="AW255" s="848">
        <f t="shared" si="216"/>
        <v>0</v>
      </c>
      <c r="AX255" s="848">
        <f t="shared" si="216"/>
        <v>0</v>
      </c>
      <c r="AY255" s="848">
        <f t="shared" si="216"/>
        <v>1286.9890359999999</v>
      </c>
      <c r="AZ255" s="848">
        <f t="shared" si="216"/>
        <v>0</v>
      </c>
      <c r="BA255" s="848">
        <f t="shared" si="216"/>
        <v>0</v>
      </c>
      <c r="BB255" s="848">
        <f t="shared" si="216"/>
        <v>0</v>
      </c>
      <c r="BC255" s="848">
        <f t="shared" si="216"/>
        <v>1286.9890359999999</v>
      </c>
      <c r="BD255" s="848">
        <f t="shared" si="216"/>
        <v>0</v>
      </c>
      <c r="BE255" s="848">
        <f t="shared" si="216"/>
        <v>0</v>
      </c>
      <c r="BF255" s="848">
        <f t="shared" si="216"/>
        <v>0</v>
      </c>
      <c r="BG255" s="848">
        <f t="shared" si="216"/>
        <v>0</v>
      </c>
      <c r="BH255" s="848">
        <f t="shared" si="216"/>
        <v>0</v>
      </c>
      <c r="BI255" s="848">
        <f t="shared" si="216"/>
        <v>0</v>
      </c>
      <c r="BJ255" s="848">
        <f t="shared" si="216"/>
        <v>0</v>
      </c>
      <c r="BK255" s="848">
        <f t="shared" si="216"/>
        <v>0</v>
      </c>
      <c r="BL255" s="848">
        <f t="shared" si="216"/>
        <v>0</v>
      </c>
      <c r="BM255" s="848">
        <f t="shared" si="216"/>
        <v>0</v>
      </c>
      <c r="BN255" s="848">
        <f t="shared" si="216"/>
        <v>0</v>
      </c>
      <c r="BO255" s="848">
        <f t="shared" si="166"/>
        <v>1910.3452299999999</v>
      </c>
      <c r="BP255" s="848">
        <f t="shared" si="216"/>
        <v>0</v>
      </c>
      <c r="BQ255" s="848">
        <f t="shared" si="216"/>
        <v>0</v>
      </c>
      <c r="BR255" s="848">
        <f t="shared" ref="BR255:CS256" si="217">BR256</f>
        <v>0</v>
      </c>
      <c r="BS255" s="848">
        <f t="shared" si="217"/>
        <v>1910.3452299999999</v>
      </c>
      <c r="BT255" s="848">
        <f t="shared" si="217"/>
        <v>0</v>
      </c>
      <c r="BU255" s="848">
        <f t="shared" si="217"/>
        <v>0</v>
      </c>
      <c r="BV255" s="848">
        <f t="shared" si="217"/>
        <v>0</v>
      </c>
      <c r="BW255" s="848">
        <f t="shared" si="217"/>
        <v>0</v>
      </c>
      <c r="BX255" s="848">
        <f t="shared" si="217"/>
        <v>0</v>
      </c>
      <c r="BY255" s="848">
        <f t="shared" si="217"/>
        <v>0</v>
      </c>
      <c r="BZ255" s="848">
        <f t="shared" si="217"/>
        <v>0</v>
      </c>
      <c r="CA255" s="848">
        <f t="shared" si="217"/>
        <v>0</v>
      </c>
      <c r="CB255" s="848">
        <f t="shared" si="217"/>
        <v>0</v>
      </c>
      <c r="CC255" s="848">
        <f t="shared" si="217"/>
        <v>0</v>
      </c>
      <c r="CD255" s="848">
        <f t="shared" si="217"/>
        <v>0</v>
      </c>
      <c r="CE255" s="848">
        <f t="shared" si="217"/>
        <v>0</v>
      </c>
      <c r="CF255" s="848">
        <f>BO254/AY254%</f>
        <v>100</v>
      </c>
      <c r="CG255" s="848"/>
      <c r="CH255" s="848"/>
      <c r="CI255" s="848"/>
      <c r="CJ255" s="848">
        <f t="shared" si="182"/>
        <v>148.43523733018034</v>
      </c>
      <c r="CK255" s="848"/>
      <c r="CL255" s="848"/>
      <c r="CM255" s="848"/>
      <c r="CN255" s="848"/>
      <c r="CO255" s="848"/>
      <c r="CP255" s="848"/>
      <c r="CQ255" s="848"/>
      <c r="CR255" s="848"/>
      <c r="CS255" s="848"/>
      <c r="CT255" s="848"/>
      <c r="CU255" s="848"/>
      <c r="CV255" s="848"/>
      <c r="CW255" s="848"/>
    </row>
    <row r="256" spans="1:101" ht="24.75" customHeight="1">
      <c r="A256" s="845"/>
      <c r="B256" s="845"/>
      <c r="C256" s="857" t="s">
        <v>795</v>
      </c>
      <c r="D256" s="846">
        <f>D257</f>
        <v>0</v>
      </c>
      <c r="E256" s="845">
        <f t="shared" si="215"/>
        <v>0</v>
      </c>
      <c r="F256" s="847"/>
      <c r="G256" s="845"/>
      <c r="H256" s="850">
        <f t="shared" si="158"/>
        <v>71097</v>
      </c>
      <c r="I256" s="848">
        <f t="shared" si="215"/>
        <v>0</v>
      </c>
      <c r="J256" s="848">
        <f t="shared" si="215"/>
        <v>71097</v>
      </c>
      <c r="K256" s="848">
        <f t="shared" si="215"/>
        <v>0</v>
      </c>
      <c r="L256" s="848">
        <f t="shared" si="215"/>
        <v>0</v>
      </c>
      <c r="M256" s="848">
        <f t="shared" si="215"/>
        <v>0</v>
      </c>
      <c r="N256" s="848">
        <f t="shared" si="215"/>
        <v>0</v>
      </c>
      <c r="O256" s="848">
        <f t="shared" si="215"/>
        <v>0</v>
      </c>
      <c r="P256" s="848">
        <f t="shared" si="215"/>
        <v>0</v>
      </c>
      <c r="Q256" s="848">
        <f t="shared" si="215"/>
        <v>0</v>
      </c>
      <c r="R256" s="848">
        <v>0</v>
      </c>
      <c r="S256" s="848">
        <f t="shared" si="215"/>
        <v>0</v>
      </c>
      <c r="T256" s="848">
        <f t="shared" si="216"/>
        <v>35225.550000000003</v>
      </c>
      <c r="U256" s="848">
        <f t="shared" si="216"/>
        <v>0</v>
      </c>
      <c r="V256" s="848">
        <f t="shared" si="216"/>
        <v>0</v>
      </c>
      <c r="W256" s="848">
        <f t="shared" si="216"/>
        <v>35225.550000000003</v>
      </c>
      <c r="X256" s="848">
        <f t="shared" si="216"/>
        <v>0</v>
      </c>
      <c r="Y256" s="848">
        <f t="shared" si="216"/>
        <v>0</v>
      </c>
      <c r="Z256" s="848">
        <f t="shared" si="216"/>
        <v>0</v>
      </c>
      <c r="AA256" s="848">
        <f t="shared" si="216"/>
        <v>0</v>
      </c>
      <c r="AB256" s="848">
        <f t="shared" si="216"/>
        <v>0</v>
      </c>
      <c r="AC256" s="848">
        <f t="shared" si="216"/>
        <v>0</v>
      </c>
      <c r="AD256" s="848">
        <f t="shared" si="216"/>
        <v>0</v>
      </c>
      <c r="AE256" s="848">
        <f t="shared" si="216"/>
        <v>0</v>
      </c>
      <c r="AF256" s="848">
        <f t="shared" si="216"/>
        <v>0</v>
      </c>
      <c r="AG256" s="848">
        <f t="shared" si="216"/>
        <v>0</v>
      </c>
      <c r="AH256" s="848">
        <f t="shared" si="216"/>
        <v>0</v>
      </c>
      <c r="AI256" s="848">
        <f t="shared" si="215"/>
        <v>35226</v>
      </c>
      <c r="AJ256" s="848">
        <f t="shared" si="215"/>
        <v>0</v>
      </c>
      <c r="AK256" s="848">
        <f t="shared" si="215"/>
        <v>0</v>
      </c>
      <c r="AL256" s="848">
        <f t="shared" si="215"/>
        <v>35226</v>
      </c>
      <c r="AM256" s="848">
        <f t="shared" si="215"/>
        <v>0</v>
      </c>
      <c r="AN256" s="848">
        <f t="shared" si="215"/>
        <v>0</v>
      </c>
      <c r="AO256" s="848">
        <f t="shared" si="215"/>
        <v>0</v>
      </c>
      <c r="AP256" s="848">
        <f t="shared" si="215"/>
        <v>0</v>
      </c>
      <c r="AQ256" s="848">
        <f t="shared" si="215"/>
        <v>0</v>
      </c>
      <c r="AR256" s="848">
        <f t="shared" si="215"/>
        <v>0</v>
      </c>
      <c r="AS256" s="848"/>
      <c r="AT256" s="848">
        <f t="shared" si="215"/>
        <v>0</v>
      </c>
      <c r="AU256" s="848">
        <f t="shared" si="215"/>
        <v>0</v>
      </c>
      <c r="AV256" s="848">
        <f t="shared" si="215"/>
        <v>0</v>
      </c>
      <c r="AW256" s="848">
        <f t="shared" si="215"/>
        <v>0</v>
      </c>
      <c r="AX256" s="848">
        <f t="shared" si="215"/>
        <v>0</v>
      </c>
      <c r="AY256" s="848">
        <f t="shared" si="215"/>
        <v>1286.9890359999999</v>
      </c>
      <c r="AZ256" s="848">
        <f t="shared" si="215"/>
        <v>0</v>
      </c>
      <c r="BA256" s="848">
        <f t="shared" si="215"/>
        <v>0</v>
      </c>
      <c r="BB256" s="848">
        <f t="shared" si="215"/>
        <v>0</v>
      </c>
      <c r="BC256" s="848">
        <f t="shared" si="215"/>
        <v>1286.9890359999999</v>
      </c>
      <c r="BD256" s="848">
        <f t="shared" si="215"/>
        <v>0</v>
      </c>
      <c r="BE256" s="848">
        <f t="shared" si="215"/>
        <v>0</v>
      </c>
      <c r="BF256" s="848">
        <f t="shared" si="215"/>
        <v>0</v>
      </c>
      <c r="BG256" s="848">
        <f t="shared" si="215"/>
        <v>0</v>
      </c>
      <c r="BH256" s="848">
        <f t="shared" si="215"/>
        <v>0</v>
      </c>
      <c r="BI256" s="848">
        <f t="shared" si="215"/>
        <v>0</v>
      </c>
      <c r="BJ256" s="848">
        <f t="shared" si="215"/>
        <v>0</v>
      </c>
      <c r="BK256" s="848">
        <f t="shared" si="215"/>
        <v>0</v>
      </c>
      <c r="BL256" s="848">
        <f t="shared" si="215"/>
        <v>0</v>
      </c>
      <c r="BM256" s="848">
        <f t="shared" si="215"/>
        <v>0</v>
      </c>
      <c r="BN256" s="848">
        <f t="shared" si="215"/>
        <v>0</v>
      </c>
      <c r="BO256" s="848">
        <f t="shared" si="166"/>
        <v>1910.3452299999999</v>
      </c>
      <c r="BP256" s="848">
        <f t="shared" si="215"/>
        <v>0</v>
      </c>
      <c r="BQ256" s="848">
        <f t="shared" si="215"/>
        <v>0</v>
      </c>
      <c r="BR256" s="848">
        <f t="shared" si="215"/>
        <v>0</v>
      </c>
      <c r="BS256" s="848">
        <f t="shared" si="215"/>
        <v>1910.3452299999999</v>
      </c>
      <c r="BT256" s="848">
        <f t="shared" si="215"/>
        <v>0</v>
      </c>
      <c r="BU256" s="848">
        <f t="shared" si="215"/>
        <v>0</v>
      </c>
      <c r="BV256" s="848">
        <f t="shared" si="215"/>
        <v>0</v>
      </c>
      <c r="BW256" s="848">
        <f t="shared" si="215"/>
        <v>0</v>
      </c>
      <c r="BX256" s="848">
        <f t="shared" si="215"/>
        <v>0</v>
      </c>
      <c r="BY256" s="848">
        <f t="shared" si="215"/>
        <v>0</v>
      </c>
      <c r="BZ256" s="848">
        <f t="shared" si="215"/>
        <v>0</v>
      </c>
      <c r="CA256" s="848">
        <f>CA257</f>
        <v>0</v>
      </c>
      <c r="CB256" s="848">
        <f t="shared" si="215"/>
        <v>0</v>
      </c>
      <c r="CC256" s="848">
        <f t="shared" si="215"/>
        <v>0</v>
      </c>
      <c r="CD256" s="848">
        <f t="shared" si="215"/>
        <v>0</v>
      </c>
      <c r="CE256" s="848">
        <f>CE257</f>
        <v>0</v>
      </c>
      <c r="CF256" s="848">
        <f t="shared" si="217"/>
        <v>148.43523733018034</v>
      </c>
      <c r="CG256" s="848"/>
      <c r="CH256" s="848"/>
      <c r="CI256" s="848"/>
      <c r="CJ256" s="848">
        <f t="shared" si="182"/>
        <v>148.43523733018034</v>
      </c>
      <c r="CK256" s="848"/>
      <c r="CL256" s="848"/>
      <c r="CM256" s="848"/>
      <c r="CN256" s="848"/>
      <c r="CO256" s="848"/>
      <c r="CP256" s="848"/>
      <c r="CQ256" s="848"/>
      <c r="CR256" s="848"/>
      <c r="CS256" s="848">
        <f t="shared" si="217"/>
        <v>0</v>
      </c>
      <c r="CT256" s="848"/>
      <c r="CU256" s="848"/>
      <c r="CV256" s="848"/>
      <c r="CW256" s="848"/>
    </row>
    <row r="257" spans="1:101" s="851" customFormat="1" ht="24.75" customHeight="1">
      <c r="A257" s="845"/>
      <c r="B257" s="852" t="s">
        <v>809</v>
      </c>
      <c r="C257" s="852" t="s">
        <v>810</v>
      </c>
      <c r="D257" s="846"/>
      <c r="E257" s="845"/>
      <c r="F257" s="853" t="s">
        <v>802</v>
      </c>
      <c r="G257" s="846" t="s">
        <v>811</v>
      </c>
      <c r="H257" s="850">
        <f t="shared" si="158"/>
        <v>71097</v>
      </c>
      <c r="I257" s="860"/>
      <c r="J257" s="860">
        <v>71097</v>
      </c>
      <c r="K257" s="848"/>
      <c r="L257" s="848"/>
      <c r="M257" s="848"/>
      <c r="N257" s="848"/>
      <c r="O257" s="848"/>
      <c r="P257" s="848"/>
      <c r="Q257" s="848"/>
      <c r="R257" s="848"/>
      <c r="S257" s="848"/>
      <c r="T257" s="855">
        <f t="shared" si="167"/>
        <v>35225.550000000003</v>
      </c>
      <c r="U257" s="848"/>
      <c r="V257" s="848"/>
      <c r="W257" s="855">
        <v>35225.550000000003</v>
      </c>
      <c r="X257" s="848"/>
      <c r="Y257" s="848"/>
      <c r="Z257" s="848"/>
      <c r="AA257" s="848"/>
      <c r="AB257" s="848"/>
      <c r="AC257" s="848"/>
      <c r="AD257" s="848"/>
      <c r="AE257" s="848"/>
      <c r="AF257" s="848"/>
      <c r="AG257" s="848"/>
      <c r="AH257" s="855"/>
      <c r="AI257" s="855">
        <f>AL257</f>
        <v>35226</v>
      </c>
      <c r="AJ257" s="855"/>
      <c r="AK257" s="855"/>
      <c r="AL257" s="855">
        <v>35226</v>
      </c>
      <c r="AM257" s="855"/>
      <c r="AN257" s="855"/>
      <c r="AO257" s="855"/>
      <c r="AP257" s="855"/>
      <c r="AQ257" s="855"/>
      <c r="AR257" s="855"/>
      <c r="AS257" s="855"/>
      <c r="AT257" s="855"/>
      <c r="AU257" s="855"/>
      <c r="AV257" s="855"/>
      <c r="AW257" s="855"/>
      <c r="AX257" s="855"/>
      <c r="AY257" s="855">
        <f t="shared" ref="AY257" si="218">SUM(AZ257:BN257)</f>
        <v>1286.9890359999999</v>
      </c>
      <c r="AZ257" s="855"/>
      <c r="BA257" s="855"/>
      <c r="BB257" s="855"/>
      <c r="BC257" s="855">
        <v>1286.9890359999999</v>
      </c>
      <c r="BD257" s="855"/>
      <c r="BE257" s="855"/>
      <c r="BF257" s="855"/>
      <c r="BG257" s="855"/>
      <c r="BH257" s="855"/>
      <c r="BI257" s="855"/>
      <c r="BJ257" s="855"/>
      <c r="BK257" s="855"/>
      <c r="BL257" s="855"/>
      <c r="BM257" s="855"/>
      <c r="BN257" s="855"/>
      <c r="BO257" s="848">
        <f t="shared" si="166"/>
        <v>1910.3452299999999</v>
      </c>
      <c r="BP257" s="855"/>
      <c r="BQ257" s="855"/>
      <c r="BR257" s="855"/>
      <c r="BS257" s="855">
        <v>1910.3452299999999</v>
      </c>
      <c r="BT257" s="855"/>
      <c r="BU257" s="855"/>
      <c r="BV257" s="855"/>
      <c r="BW257" s="855"/>
      <c r="BX257" s="855"/>
      <c r="BY257" s="855"/>
      <c r="BZ257" s="855"/>
      <c r="CA257" s="855"/>
      <c r="CB257" s="855"/>
      <c r="CC257" s="855"/>
      <c r="CD257" s="855"/>
      <c r="CE257" s="855"/>
      <c r="CF257" s="848">
        <f>BO256/AY256%</f>
        <v>148.43523733018034</v>
      </c>
      <c r="CG257" s="848"/>
      <c r="CH257" s="848"/>
      <c r="CI257" s="848"/>
      <c r="CJ257" s="848">
        <f t="shared" si="182"/>
        <v>148.43523733018034</v>
      </c>
      <c r="CK257" s="848"/>
      <c r="CL257" s="848"/>
      <c r="CM257" s="848"/>
      <c r="CN257" s="848"/>
      <c r="CO257" s="848"/>
      <c r="CP257" s="848"/>
      <c r="CQ257" s="848"/>
      <c r="CR257" s="848"/>
      <c r="CS257" s="848"/>
      <c r="CT257" s="848"/>
      <c r="CU257" s="848"/>
      <c r="CV257" s="848"/>
      <c r="CW257" s="848"/>
    </row>
    <row r="258" spans="1:101" ht="24.75" customHeight="1">
      <c r="A258" s="845" t="s">
        <v>812</v>
      </c>
      <c r="B258" s="845"/>
      <c r="C258" s="857" t="s">
        <v>813</v>
      </c>
      <c r="D258" s="846">
        <f>D259</f>
        <v>0</v>
      </c>
      <c r="E258" s="845">
        <f t="shared" ref="E258:CE259" si="219">E259</f>
        <v>0</v>
      </c>
      <c r="F258" s="847"/>
      <c r="G258" s="845"/>
      <c r="H258" s="850">
        <f t="shared" si="158"/>
        <v>97167</v>
      </c>
      <c r="I258" s="848">
        <f t="shared" si="219"/>
        <v>0</v>
      </c>
      <c r="J258" s="848">
        <f t="shared" si="219"/>
        <v>97167</v>
      </c>
      <c r="K258" s="848">
        <f t="shared" si="219"/>
        <v>0</v>
      </c>
      <c r="L258" s="848">
        <f t="shared" si="219"/>
        <v>0</v>
      </c>
      <c r="M258" s="848">
        <f t="shared" si="219"/>
        <v>0</v>
      </c>
      <c r="N258" s="848">
        <f t="shared" si="219"/>
        <v>0</v>
      </c>
      <c r="O258" s="848">
        <f t="shared" si="219"/>
        <v>0</v>
      </c>
      <c r="P258" s="848">
        <f t="shared" si="219"/>
        <v>0</v>
      </c>
      <c r="Q258" s="848">
        <f t="shared" si="219"/>
        <v>0</v>
      </c>
      <c r="R258" s="848">
        <v>0</v>
      </c>
      <c r="S258" s="848">
        <f t="shared" si="219"/>
        <v>0</v>
      </c>
      <c r="T258" s="848">
        <f t="shared" si="219"/>
        <v>15764.058000000001</v>
      </c>
      <c r="U258" s="848">
        <f t="shared" si="219"/>
        <v>0</v>
      </c>
      <c r="V258" s="848">
        <f t="shared" si="219"/>
        <v>0</v>
      </c>
      <c r="W258" s="848">
        <f t="shared" si="219"/>
        <v>15764.058000000001</v>
      </c>
      <c r="X258" s="848">
        <f t="shared" si="219"/>
        <v>0</v>
      </c>
      <c r="Y258" s="848">
        <f t="shared" si="219"/>
        <v>0</v>
      </c>
      <c r="Z258" s="848">
        <f t="shared" si="219"/>
        <v>0</v>
      </c>
      <c r="AA258" s="848">
        <f t="shared" si="219"/>
        <v>0</v>
      </c>
      <c r="AB258" s="848">
        <f t="shared" si="219"/>
        <v>0</v>
      </c>
      <c r="AC258" s="848">
        <f t="shared" si="219"/>
        <v>0</v>
      </c>
      <c r="AD258" s="848">
        <f t="shared" si="219"/>
        <v>0</v>
      </c>
      <c r="AE258" s="848">
        <f t="shared" si="219"/>
        <v>0</v>
      </c>
      <c r="AF258" s="848">
        <f t="shared" si="219"/>
        <v>0</v>
      </c>
      <c r="AG258" s="848">
        <f t="shared" si="219"/>
        <v>0</v>
      </c>
      <c r="AH258" s="848">
        <f t="shared" si="219"/>
        <v>0</v>
      </c>
      <c r="AI258" s="848">
        <f t="shared" si="219"/>
        <v>15763</v>
      </c>
      <c r="AJ258" s="848">
        <f t="shared" si="219"/>
        <v>0</v>
      </c>
      <c r="AK258" s="848">
        <f t="shared" si="219"/>
        <v>0</v>
      </c>
      <c r="AL258" s="848">
        <f t="shared" si="219"/>
        <v>15763</v>
      </c>
      <c r="AM258" s="848">
        <f t="shared" si="219"/>
        <v>0</v>
      </c>
      <c r="AN258" s="848">
        <f t="shared" si="219"/>
        <v>0</v>
      </c>
      <c r="AO258" s="848">
        <f t="shared" si="219"/>
        <v>0</v>
      </c>
      <c r="AP258" s="848">
        <f t="shared" si="219"/>
        <v>0</v>
      </c>
      <c r="AQ258" s="848">
        <f t="shared" si="219"/>
        <v>0</v>
      </c>
      <c r="AR258" s="848">
        <f t="shared" si="219"/>
        <v>0</v>
      </c>
      <c r="AS258" s="848"/>
      <c r="AT258" s="848">
        <f t="shared" si="219"/>
        <v>0</v>
      </c>
      <c r="AU258" s="848">
        <f t="shared" si="219"/>
        <v>0</v>
      </c>
      <c r="AV258" s="848">
        <f t="shared" si="219"/>
        <v>0</v>
      </c>
      <c r="AW258" s="848">
        <f t="shared" si="219"/>
        <v>0</v>
      </c>
      <c r="AX258" s="848">
        <f t="shared" si="219"/>
        <v>0</v>
      </c>
      <c r="AY258" s="848">
        <f t="shared" si="219"/>
        <v>3453.4550239999999</v>
      </c>
      <c r="AZ258" s="848">
        <f t="shared" si="219"/>
        <v>0</v>
      </c>
      <c r="BA258" s="848">
        <f t="shared" si="219"/>
        <v>0</v>
      </c>
      <c r="BB258" s="848">
        <f t="shared" si="219"/>
        <v>0</v>
      </c>
      <c r="BC258" s="848">
        <f t="shared" si="219"/>
        <v>3453.4550239999999</v>
      </c>
      <c r="BD258" s="848">
        <f t="shared" si="219"/>
        <v>0</v>
      </c>
      <c r="BE258" s="848">
        <f t="shared" si="219"/>
        <v>0</v>
      </c>
      <c r="BF258" s="848">
        <f t="shared" si="219"/>
        <v>0</v>
      </c>
      <c r="BG258" s="848">
        <f t="shared" si="219"/>
        <v>0</v>
      </c>
      <c r="BH258" s="848">
        <f t="shared" si="219"/>
        <v>0</v>
      </c>
      <c r="BI258" s="848">
        <f t="shared" si="219"/>
        <v>0</v>
      </c>
      <c r="BJ258" s="848">
        <f t="shared" si="219"/>
        <v>0</v>
      </c>
      <c r="BK258" s="848">
        <f t="shared" si="219"/>
        <v>0</v>
      </c>
      <c r="BL258" s="848">
        <f t="shared" si="219"/>
        <v>0</v>
      </c>
      <c r="BM258" s="848">
        <f t="shared" si="219"/>
        <v>0</v>
      </c>
      <c r="BN258" s="848">
        <f t="shared" si="219"/>
        <v>0</v>
      </c>
      <c r="BO258" s="848">
        <f t="shared" si="166"/>
        <v>3983.4550239999999</v>
      </c>
      <c r="BP258" s="848">
        <f t="shared" si="219"/>
        <v>0</v>
      </c>
      <c r="BQ258" s="848">
        <f t="shared" si="219"/>
        <v>0</v>
      </c>
      <c r="BR258" s="848">
        <f t="shared" si="219"/>
        <v>0</v>
      </c>
      <c r="BS258" s="848">
        <f t="shared" si="219"/>
        <v>3983.4550239999999</v>
      </c>
      <c r="BT258" s="848">
        <f t="shared" si="219"/>
        <v>0</v>
      </c>
      <c r="BU258" s="848">
        <f t="shared" si="219"/>
        <v>0</v>
      </c>
      <c r="BV258" s="848">
        <f t="shared" si="219"/>
        <v>0</v>
      </c>
      <c r="BW258" s="848">
        <f t="shared" si="219"/>
        <v>0</v>
      </c>
      <c r="BX258" s="848">
        <f t="shared" si="219"/>
        <v>0</v>
      </c>
      <c r="BY258" s="848">
        <f t="shared" si="219"/>
        <v>0</v>
      </c>
      <c r="BZ258" s="848">
        <f t="shared" si="219"/>
        <v>0</v>
      </c>
      <c r="CA258" s="848">
        <f t="shared" si="219"/>
        <v>0</v>
      </c>
      <c r="CB258" s="848">
        <f t="shared" si="219"/>
        <v>0</v>
      </c>
      <c r="CC258" s="848">
        <f t="shared" si="219"/>
        <v>0</v>
      </c>
      <c r="CD258" s="848">
        <f t="shared" si="219"/>
        <v>0</v>
      </c>
      <c r="CE258" s="848">
        <f t="shared" si="219"/>
        <v>0</v>
      </c>
      <c r="CF258" s="848">
        <f>BO257/AY257%</f>
        <v>148.43523733018034</v>
      </c>
      <c r="CG258" s="848"/>
      <c r="CH258" s="848"/>
      <c r="CI258" s="848"/>
      <c r="CJ258" s="848">
        <f t="shared" si="182"/>
        <v>115.34694954232015</v>
      </c>
      <c r="CK258" s="848"/>
      <c r="CL258" s="848"/>
      <c r="CM258" s="848"/>
      <c r="CN258" s="848"/>
      <c r="CO258" s="848"/>
      <c r="CP258" s="848"/>
      <c r="CQ258" s="848"/>
      <c r="CR258" s="848"/>
      <c r="CS258" s="848"/>
      <c r="CT258" s="848"/>
      <c r="CU258" s="848"/>
      <c r="CV258" s="848"/>
      <c r="CW258" s="848"/>
    </row>
    <row r="259" spans="1:101" ht="24.75" customHeight="1">
      <c r="A259" s="845"/>
      <c r="B259" s="845"/>
      <c r="C259" s="857" t="s">
        <v>795</v>
      </c>
      <c r="D259" s="846">
        <f>D260</f>
        <v>0</v>
      </c>
      <c r="E259" s="845">
        <f t="shared" si="219"/>
        <v>0</v>
      </c>
      <c r="F259" s="847"/>
      <c r="G259" s="845"/>
      <c r="H259" s="850">
        <f t="shared" ref="H259:H322" si="220">SUM(I259:S259)</f>
        <v>97167</v>
      </c>
      <c r="I259" s="848">
        <f t="shared" si="219"/>
        <v>0</v>
      </c>
      <c r="J259" s="848">
        <f t="shared" si="219"/>
        <v>97167</v>
      </c>
      <c r="K259" s="848">
        <f t="shared" si="219"/>
        <v>0</v>
      </c>
      <c r="L259" s="848">
        <f t="shared" si="219"/>
        <v>0</v>
      </c>
      <c r="M259" s="848">
        <f t="shared" si="219"/>
        <v>0</v>
      </c>
      <c r="N259" s="848">
        <f t="shared" si="219"/>
        <v>0</v>
      </c>
      <c r="O259" s="848">
        <f t="shared" si="219"/>
        <v>0</v>
      </c>
      <c r="P259" s="848">
        <f t="shared" si="219"/>
        <v>0</v>
      </c>
      <c r="Q259" s="848">
        <f t="shared" si="219"/>
        <v>0</v>
      </c>
      <c r="R259" s="848">
        <v>0</v>
      </c>
      <c r="S259" s="848">
        <f t="shared" si="219"/>
        <v>0</v>
      </c>
      <c r="T259" s="848">
        <f t="shared" si="219"/>
        <v>15764.058000000001</v>
      </c>
      <c r="U259" s="848">
        <f t="shared" si="219"/>
        <v>0</v>
      </c>
      <c r="V259" s="848">
        <f t="shared" si="219"/>
        <v>0</v>
      </c>
      <c r="W259" s="848">
        <f t="shared" si="219"/>
        <v>15764.058000000001</v>
      </c>
      <c r="X259" s="848">
        <f t="shared" si="219"/>
        <v>0</v>
      </c>
      <c r="Y259" s="848">
        <f t="shared" si="219"/>
        <v>0</v>
      </c>
      <c r="Z259" s="848">
        <f t="shared" si="219"/>
        <v>0</v>
      </c>
      <c r="AA259" s="848">
        <f t="shared" si="219"/>
        <v>0</v>
      </c>
      <c r="AB259" s="848">
        <f t="shared" si="219"/>
        <v>0</v>
      </c>
      <c r="AC259" s="848">
        <f t="shared" si="219"/>
        <v>0</v>
      </c>
      <c r="AD259" s="848">
        <f t="shared" si="219"/>
        <v>0</v>
      </c>
      <c r="AE259" s="848">
        <f t="shared" si="219"/>
        <v>0</v>
      </c>
      <c r="AF259" s="848">
        <f t="shared" si="219"/>
        <v>0</v>
      </c>
      <c r="AG259" s="848">
        <f t="shared" si="219"/>
        <v>0</v>
      </c>
      <c r="AH259" s="848">
        <f t="shared" si="219"/>
        <v>0</v>
      </c>
      <c r="AI259" s="848">
        <f t="shared" si="219"/>
        <v>15763</v>
      </c>
      <c r="AJ259" s="848">
        <f t="shared" si="219"/>
        <v>0</v>
      </c>
      <c r="AK259" s="848">
        <f t="shared" si="219"/>
        <v>0</v>
      </c>
      <c r="AL259" s="848">
        <f t="shared" si="219"/>
        <v>15763</v>
      </c>
      <c r="AM259" s="848">
        <f t="shared" si="219"/>
        <v>0</v>
      </c>
      <c r="AN259" s="848">
        <f t="shared" si="219"/>
        <v>0</v>
      </c>
      <c r="AO259" s="848">
        <f t="shared" si="219"/>
        <v>0</v>
      </c>
      <c r="AP259" s="848">
        <f t="shared" si="219"/>
        <v>0</v>
      </c>
      <c r="AQ259" s="848">
        <f t="shared" si="219"/>
        <v>0</v>
      </c>
      <c r="AR259" s="848">
        <f t="shared" si="219"/>
        <v>0</v>
      </c>
      <c r="AS259" s="848"/>
      <c r="AT259" s="848">
        <f t="shared" si="219"/>
        <v>0</v>
      </c>
      <c r="AU259" s="848">
        <f t="shared" si="219"/>
        <v>0</v>
      </c>
      <c r="AV259" s="848">
        <f t="shared" si="219"/>
        <v>0</v>
      </c>
      <c r="AW259" s="848"/>
      <c r="AX259" s="848">
        <f t="shared" si="219"/>
        <v>0</v>
      </c>
      <c r="AY259" s="848">
        <f t="shared" si="219"/>
        <v>3453.4550239999999</v>
      </c>
      <c r="AZ259" s="848">
        <f t="shared" si="219"/>
        <v>0</v>
      </c>
      <c r="BA259" s="848">
        <f t="shared" si="219"/>
        <v>0</v>
      </c>
      <c r="BB259" s="848">
        <f t="shared" si="219"/>
        <v>0</v>
      </c>
      <c r="BC259" s="848">
        <f t="shared" si="219"/>
        <v>3453.4550239999999</v>
      </c>
      <c r="BD259" s="848">
        <f t="shared" si="219"/>
        <v>0</v>
      </c>
      <c r="BE259" s="848">
        <f t="shared" si="219"/>
        <v>0</v>
      </c>
      <c r="BF259" s="848">
        <f t="shared" si="219"/>
        <v>0</v>
      </c>
      <c r="BG259" s="848">
        <f t="shared" si="219"/>
        <v>0</v>
      </c>
      <c r="BH259" s="848">
        <f t="shared" si="219"/>
        <v>0</v>
      </c>
      <c r="BI259" s="848">
        <f t="shared" si="219"/>
        <v>0</v>
      </c>
      <c r="BJ259" s="848">
        <f t="shared" si="219"/>
        <v>0</v>
      </c>
      <c r="BK259" s="848">
        <f t="shared" si="219"/>
        <v>0</v>
      </c>
      <c r="BL259" s="848">
        <f t="shared" si="219"/>
        <v>0</v>
      </c>
      <c r="BM259" s="848">
        <f t="shared" si="219"/>
        <v>0</v>
      </c>
      <c r="BN259" s="848">
        <f t="shared" si="219"/>
        <v>0</v>
      </c>
      <c r="BO259" s="848">
        <f t="shared" si="166"/>
        <v>3983.4550239999999</v>
      </c>
      <c r="BP259" s="848">
        <f t="shared" si="219"/>
        <v>0</v>
      </c>
      <c r="BQ259" s="848">
        <f t="shared" si="219"/>
        <v>0</v>
      </c>
      <c r="BR259" s="848">
        <f t="shared" si="219"/>
        <v>0</v>
      </c>
      <c r="BS259" s="848">
        <f t="shared" si="219"/>
        <v>3983.4550239999999</v>
      </c>
      <c r="BT259" s="848">
        <f t="shared" si="219"/>
        <v>0</v>
      </c>
      <c r="BU259" s="848">
        <f t="shared" si="219"/>
        <v>0</v>
      </c>
      <c r="BV259" s="848">
        <f t="shared" si="219"/>
        <v>0</v>
      </c>
      <c r="BW259" s="848">
        <f t="shared" si="219"/>
        <v>0</v>
      </c>
      <c r="BX259" s="848">
        <f t="shared" si="219"/>
        <v>0</v>
      </c>
      <c r="BY259" s="848">
        <f t="shared" si="219"/>
        <v>0</v>
      </c>
      <c r="BZ259" s="848">
        <f t="shared" si="219"/>
        <v>0</v>
      </c>
      <c r="CA259" s="848">
        <f t="shared" si="219"/>
        <v>0</v>
      </c>
      <c r="CB259" s="848">
        <f t="shared" si="219"/>
        <v>0</v>
      </c>
      <c r="CC259" s="848">
        <f t="shared" si="219"/>
        <v>0</v>
      </c>
      <c r="CD259" s="848">
        <f t="shared" si="219"/>
        <v>0</v>
      </c>
      <c r="CE259" s="848">
        <f t="shared" si="219"/>
        <v>0</v>
      </c>
      <c r="CF259" s="848">
        <f>BO258/AY258%</f>
        <v>115.34694954232013</v>
      </c>
      <c r="CG259" s="848"/>
      <c r="CH259" s="848"/>
      <c r="CI259" s="848"/>
      <c r="CJ259" s="848">
        <f t="shared" si="182"/>
        <v>115.34694954232015</v>
      </c>
      <c r="CK259" s="848"/>
      <c r="CL259" s="848"/>
      <c r="CM259" s="848"/>
      <c r="CN259" s="848"/>
      <c r="CO259" s="848"/>
      <c r="CP259" s="848"/>
      <c r="CQ259" s="848"/>
      <c r="CR259" s="848"/>
      <c r="CS259" s="848"/>
      <c r="CT259" s="848"/>
      <c r="CU259" s="848"/>
      <c r="CV259" s="848"/>
      <c r="CW259" s="848"/>
    </row>
    <row r="260" spans="1:101" s="851" customFormat="1" ht="24.75" customHeight="1">
      <c r="A260" s="845"/>
      <c r="B260" s="852" t="s">
        <v>813</v>
      </c>
      <c r="C260" s="852" t="s">
        <v>814</v>
      </c>
      <c r="D260" s="846"/>
      <c r="E260" s="845"/>
      <c r="F260" s="853" t="s">
        <v>802</v>
      </c>
      <c r="G260" s="846" t="s">
        <v>815</v>
      </c>
      <c r="H260" s="850">
        <f t="shared" si="220"/>
        <v>97167</v>
      </c>
      <c r="I260" s="860"/>
      <c r="J260" s="860">
        <v>97167</v>
      </c>
      <c r="K260" s="848"/>
      <c r="L260" s="848"/>
      <c r="M260" s="848"/>
      <c r="N260" s="848"/>
      <c r="O260" s="848"/>
      <c r="P260" s="848"/>
      <c r="Q260" s="848"/>
      <c r="R260" s="848"/>
      <c r="S260" s="848"/>
      <c r="T260" s="855">
        <f t="shared" si="167"/>
        <v>15764.058000000001</v>
      </c>
      <c r="U260" s="848"/>
      <c r="V260" s="848"/>
      <c r="W260" s="855">
        <v>15764.058000000001</v>
      </c>
      <c r="X260" s="848"/>
      <c r="Y260" s="848"/>
      <c r="Z260" s="848"/>
      <c r="AA260" s="848"/>
      <c r="AB260" s="848"/>
      <c r="AC260" s="848"/>
      <c r="AD260" s="848"/>
      <c r="AE260" s="848"/>
      <c r="AF260" s="848"/>
      <c r="AG260" s="848"/>
      <c r="AH260" s="855"/>
      <c r="AI260" s="855">
        <f>AL260</f>
        <v>15763</v>
      </c>
      <c r="AJ260" s="855"/>
      <c r="AK260" s="855"/>
      <c r="AL260" s="855">
        <v>15763</v>
      </c>
      <c r="AM260" s="855"/>
      <c r="AN260" s="855"/>
      <c r="AO260" s="855"/>
      <c r="AP260" s="855"/>
      <c r="AQ260" s="855"/>
      <c r="AR260" s="855"/>
      <c r="AS260" s="855"/>
      <c r="AT260" s="855"/>
      <c r="AU260" s="855"/>
      <c r="AV260" s="855"/>
      <c r="AW260" s="855"/>
      <c r="AX260" s="855"/>
      <c r="AY260" s="855">
        <f t="shared" ref="AY260" si="221">SUM(AZ260:BN260)</f>
        <v>3453.4550239999999</v>
      </c>
      <c r="AZ260" s="855"/>
      <c r="BA260" s="855"/>
      <c r="BB260" s="855"/>
      <c r="BC260" s="855">
        <f>'[10]bieu cu'!H277</f>
        <v>3453.4550239999999</v>
      </c>
      <c r="BD260" s="855"/>
      <c r="BE260" s="855"/>
      <c r="BF260" s="855"/>
      <c r="BG260" s="855"/>
      <c r="BH260" s="855"/>
      <c r="BI260" s="855"/>
      <c r="BJ260" s="855"/>
      <c r="BK260" s="855"/>
      <c r="BL260" s="855"/>
      <c r="BM260" s="855"/>
      <c r="BN260" s="855"/>
      <c r="BO260" s="848">
        <f t="shared" si="166"/>
        <v>3983.4550239999999</v>
      </c>
      <c r="BP260" s="855"/>
      <c r="BQ260" s="855"/>
      <c r="BR260" s="855"/>
      <c r="BS260" s="855">
        <v>3983.4550239999999</v>
      </c>
      <c r="BT260" s="855"/>
      <c r="BU260" s="855"/>
      <c r="BV260" s="855"/>
      <c r="BW260" s="855"/>
      <c r="BX260" s="855"/>
      <c r="BY260" s="855"/>
      <c r="BZ260" s="855"/>
      <c r="CA260" s="855"/>
      <c r="CB260" s="855"/>
      <c r="CC260" s="855"/>
      <c r="CD260" s="855"/>
      <c r="CE260" s="855"/>
      <c r="CF260" s="848">
        <f>BO259/AY259%</f>
        <v>115.34694954232013</v>
      </c>
      <c r="CG260" s="848"/>
      <c r="CH260" s="848"/>
      <c r="CI260" s="848"/>
      <c r="CJ260" s="848">
        <f t="shared" si="182"/>
        <v>115.34694954232015</v>
      </c>
      <c r="CK260" s="848"/>
      <c r="CL260" s="848"/>
      <c r="CM260" s="848"/>
      <c r="CN260" s="848"/>
      <c r="CO260" s="848"/>
      <c r="CP260" s="848"/>
      <c r="CQ260" s="848"/>
      <c r="CR260" s="848"/>
      <c r="CS260" s="848"/>
      <c r="CT260" s="848"/>
      <c r="CU260" s="848"/>
      <c r="CV260" s="848"/>
      <c r="CW260" s="848"/>
    </row>
    <row r="261" spans="1:101" ht="24.75" customHeight="1">
      <c r="A261" s="845" t="s">
        <v>816</v>
      </c>
      <c r="B261" s="845"/>
      <c r="C261" s="857" t="s">
        <v>817</v>
      </c>
      <c r="D261" s="846">
        <f>D262</f>
        <v>0</v>
      </c>
      <c r="E261" s="845">
        <f t="shared" ref="E261:CE262" si="222">E262</f>
        <v>0</v>
      </c>
      <c r="F261" s="847"/>
      <c r="G261" s="845"/>
      <c r="H261" s="850">
        <f t="shared" si="220"/>
        <v>104357.19</v>
      </c>
      <c r="I261" s="848">
        <f t="shared" ref="I261:BQ262" si="223">I262</f>
        <v>0</v>
      </c>
      <c r="J261" s="848">
        <f t="shared" si="223"/>
        <v>104357.19</v>
      </c>
      <c r="K261" s="848">
        <f t="shared" si="223"/>
        <v>0</v>
      </c>
      <c r="L261" s="848">
        <f t="shared" si="223"/>
        <v>0</v>
      </c>
      <c r="M261" s="848">
        <f t="shared" si="223"/>
        <v>0</v>
      </c>
      <c r="N261" s="848">
        <f t="shared" si="223"/>
        <v>0</v>
      </c>
      <c r="O261" s="848">
        <f t="shared" si="223"/>
        <v>0</v>
      </c>
      <c r="P261" s="848">
        <f t="shared" si="223"/>
        <v>0</v>
      </c>
      <c r="Q261" s="848">
        <f t="shared" si="223"/>
        <v>0</v>
      </c>
      <c r="R261" s="848">
        <v>0</v>
      </c>
      <c r="S261" s="848">
        <f t="shared" si="223"/>
        <v>0</v>
      </c>
      <c r="T261" s="848">
        <f t="shared" si="223"/>
        <v>19736.156372000001</v>
      </c>
      <c r="U261" s="848">
        <f t="shared" si="223"/>
        <v>0</v>
      </c>
      <c r="V261" s="848">
        <f t="shared" si="223"/>
        <v>0</v>
      </c>
      <c r="W261" s="848">
        <f t="shared" si="223"/>
        <v>19736.156372000001</v>
      </c>
      <c r="X261" s="848">
        <f t="shared" si="223"/>
        <v>0</v>
      </c>
      <c r="Y261" s="848">
        <f t="shared" si="223"/>
        <v>0</v>
      </c>
      <c r="Z261" s="848">
        <f t="shared" si="223"/>
        <v>0</v>
      </c>
      <c r="AA261" s="848">
        <f t="shared" si="223"/>
        <v>0</v>
      </c>
      <c r="AB261" s="848">
        <f t="shared" si="223"/>
        <v>0</v>
      </c>
      <c r="AC261" s="848">
        <f t="shared" si="223"/>
        <v>0</v>
      </c>
      <c r="AD261" s="848">
        <f t="shared" si="223"/>
        <v>0</v>
      </c>
      <c r="AE261" s="848">
        <f t="shared" si="223"/>
        <v>0</v>
      </c>
      <c r="AF261" s="848">
        <f t="shared" si="223"/>
        <v>0</v>
      </c>
      <c r="AG261" s="848">
        <f t="shared" si="223"/>
        <v>0</v>
      </c>
      <c r="AH261" s="848">
        <f t="shared" si="223"/>
        <v>0</v>
      </c>
      <c r="AI261" s="848">
        <f t="shared" si="223"/>
        <v>19736</v>
      </c>
      <c r="AJ261" s="848">
        <f t="shared" si="223"/>
        <v>0</v>
      </c>
      <c r="AK261" s="848">
        <f t="shared" si="223"/>
        <v>0</v>
      </c>
      <c r="AL261" s="848">
        <f t="shared" si="223"/>
        <v>19736</v>
      </c>
      <c r="AM261" s="848">
        <f t="shared" si="223"/>
        <v>0</v>
      </c>
      <c r="AN261" s="848">
        <f t="shared" si="223"/>
        <v>0</v>
      </c>
      <c r="AO261" s="848">
        <f t="shared" si="223"/>
        <v>0</v>
      </c>
      <c r="AP261" s="848">
        <f t="shared" si="223"/>
        <v>0</v>
      </c>
      <c r="AQ261" s="848">
        <f t="shared" si="223"/>
        <v>0</v>
      </c>
      <c r="AR261" s="848">
        <f t="shared" si="223"/>
        <v>0</v>
      </c>
      <c r="AS261" s="848"/>
      <c r="AT261" s="848">
        <f t="shared" si="223"/>
        <v>0</v>
      </c>
      <c r="AU261" s="848">
        <f t="shared" si="223"/>
        <v>0</v>
      </c>
      <c r="AV261" s="848">
        <f t="shared" si="223"/>
        <v>0</v>
      </c>
      <c r="AW261" s="848">
        <f t="shared" si="223"/>
        <v>0</v>
      </c>
      <c r="AX261" s="848">
        <f t="shared" si="223"/>
        <v>0</v>
      </c>
      <c r="AY261" s="848">
        <f t="shared" si="223"/>
        <v>3384.7397070000002</v>
      </c>
      <c r="AZ261" s="848">
        <f t="shared" si="223"/>
        <v>0</v>
      </c>
      <c r="BA261" s="848">
        <f t="shared" si="223"/>
        <v>0</v>
      </c>
      <c r="BB261" s="848">
        <f t="shared" si="223"/>
        <v>0</v>
      </c>
      <c r="BC261" s="848">
        <f t="shared" si="223"/>
        <v>3384.7397070000002</v>
      </c>
      <c r="BD261" s="848">
        <f t="shared" si="223"/>
        <v>0</v>
      </c>
      <c r="BE261" s="848">
        <f t="shared" si="223"/>
        <v>0</v>
      </c>
      <c r="BF261" s="848">
        <f t="shared" si="223"/>
        <v>0</v>
      </c>
      <c r="BG261" s="848">
        <f t="shared" si="223"/>
        <v>0</v>
      </c>
      <c r="BH261" s="848">
        <f t="shared" si="223"/>
        <v>0</v>
      </c>
      <c r="BI261" s="848">
        <f t="shared" si="223"/>
        <v>0</v>
      </c>
      <c r="BJ261" s="848">
        <f t="shared" si="223"/>
        <v>0</v>
      </c>
      <c r="BK261" s="848">
        <f t="shared" si="223"/>
        <v>0</v>
      </c>
      <c r="BL261" s="848">
        <f t="shared" si="223"/>
        <v>0</v>
      </c>
      <c r="BM261" s="848">
        <f t="shared" si="223"/>
        <v>0</v>
      </c>
      <c r="BN261" s="848">
        <f t="shared" si="223"/>
        <v>0</v>
      </c>
      <c r="BO261" s="848">
        <f t="shared" si="166"/>
        <v>3604.022121</v>
      </c>
      <c r="BP261" s="848">
        <f t="shared" si="223"/>
        <v>0</v>
      </c>
      <c r="BQ261" s="848">
        <f t="shared" si="223"/>
        <v>0</v>
      </c>
      <c r="BR261" s="848">
        <f t="shared" ref="BR261:CS262" si="224">BR262</f>
        <v>0</v>
      </c>
      <c r="BS261" s="848">
        <f t="shared" si="224"/>
        <v>3604.022121</v>
      </c>
      <c r="BT261" s="848">
        <f t="shared" si="224"/>
        <v>0</v>
      </c>
      <c r="BU261" s="848">
        <f t="shared" si="224"/>
        <v>0</v>
      </c>
      <c r="BV261" s="848">
        <f t="shared" si="224"/>
        <v>0</v>
      </c>
      <c r="BW261" s="848">
        <f t="shared" si="224"/>
        <v>0</v>
      </c>
      <c r="BX261" s="848">
        <f t="shared" si="224"/>
        <v>0</v>
      </c>
      <c r="BY261" s="848">
        <f t="shared" si="224"/>
        <v>0</v>
      </c>
      <c r="BZ261" s="848">
        <f t="shared" si="224"/>
        <v>0</v>
      </c>
      <c r="CA261" s="848">
        <f t="shared" si="224"/>
        <v>0</v>
      </c>
      <c r="CB261" s="848">
        <f t="shared" si="224"/>
        <v>0</v>
      </c>
      <c r="CC261" s="848">
        <f t="shared" si="224"/>
        <v>0</v>
      </c>
      <c r="CD261" s="848">
        <f t="shared" si="224"/>
        <v>0</v>
      </c>
      <c r="CE261" s="848">
        <f t="shared" si="224"/>
        <v>0</v>
      </c>
      <c r="CF261" s="848">
        <f>BO260/AY260%</f>
        <v>115.34694954232013</v>
      </c>
      <c r="CG261" s="848"/>
      <c r="CH261" s="848"/>
      <c r="CI261" s="848"/>
      <c r="CJ261" s="848">
        <f t="shared" si="182"/>
        <v>106.47856062746865</v>
      </c>
      <c r="CK261" s="848"/>
      <c r="CL261" s="848"/>
      <c r="CM261" s="848"/>
      <c r="CN261" s="848"/>
      <c r="CO261" s="848"/>
      <c r="CP261" s="848"/>
      <c r="CQ261" s="848"/>
      <c r="CR261" s="848"/>
      <c r="CS261" s="848"/>
      <c r="CT261" s="848"/>
      <c r="CU261" s="848"/>
      <c r="CV261" s="848"/>
      <c r="CW261" s="848"/>
    </row>
    <row r="262" spans="1:101" ht="24.75" customHeight="1">
      <c r="A262" s="845"/>
      <c r="B262" s="845"/>
      <c r="C262" s="857" t="s">
        <v>795</v>
      </c>
      <c r="D262" s="846">
        <f>D263</f>
        <v>0</v>
      </c>
      <c r="E262" s="845">
        <f t="shared" si="222"/>
        <v>0</v>
      </c>
      <c r="F262" s="847"/>
      <c r="G262" s="845"/>
      <c r="H262" s="850">
        <f t="shared" si="220"/>
        <v>104357.19</v>
      </c>
      <c r="I262" s="848">
        <f t="shared" si="222"/>
        <v>0</v>
      </c>
      <c r="J262" s="848">
        <f t="shared" si="222"/>
        <v>104357.19</v>
      </c>
      <c r="K262" s="848">
        <f t="shared" si="222"/>
        <v>0</v>
      </c>
      <c r="L262" s="848">
        <f t="shared" si="222"/>
        <v>0</v>
      </c>
      <c r="M262" s="848">
        <f t="shared" si="222"/>
        <v>0</v>
      </c>
      <c r="N262" s="848">
        <f t="shared" si="222"/>
        <v>0</v>
      </c>
      <c r="O262" s="848">
        <f t="shared" si="222"/>
        <v>0</v>
      </c>
      <c r="P262" s="848">
        <f t="shared" si="222"/>
        <v>0</v>
      </c>
      <c r="Q262" s="848">
        <f t="shared" si="222"/>
        <v>0</v>
      </c>
      <c r="R262" s="848">
        <v>0</v>
      </c>
      <c r="S262" s="848">
        <f t="shared" si="222"/>
        <v>0</v>
      </c>
      <c r="T262" s="848">
        <f t="shared" si="223"/>
        <v>19736.156372000001</v>
      </c>
      <c r="U262" s="848">
        <f t="shared" si="223"/>
        <v>0</v>
      </c>
      <c r="V262" s="848">
        <f t="shared" si="223"/>
        <v>0</v>
      </c>
      <c r="W262" s="848">
        <f t="shared" si="223"/>
        <v>19736.156372000001</v>
      </c>
      <c r="X262" s="848">
        <f t="shared" si="223"/>
        <v>0</v>
      </c>
      <c r="Y262" s="848">
        <f t="shared" si="223"/>
        <v>0</v>
      </c>
      <c r="Z262" s="848">
        <f t="shared" si="223"/>
        <v>0</v>
      </c>
      <c r="AA262" s="848">
        <f t="shared" si="223"/>
        <v>0</v>
      </c>
      <c r="AB262" s="848">
        <f t="shared" si="223"/>
        <v>0</v>
      </c>
      <c r="AC262" s="848">
        <f t="shared" si="223"/>
        <v>0</v>
      </c>
      <c r="AD262" s="848">
        <f t="shared" si="223"/>
        <v>0</v>
      </c>
      <c r="AE262" s="848">
        <f t="shared" si="223"/>
        <v>0</v>
      </c>
      <c r="AF262" s="848">
        <f t="shared" si="223"/>
        <v>0</v>
      </c>
      <c r="AG262" s="848">
        <f t="shared" si="223"/>
        <v>0</v>
      </c>
      <c r="AH262" s="848">
        <f t="shared" si="223"/>
        <v>0</v>
      </c>
      <c r="AI262" s="848">
        <f t="shared" si="222"/>
        <v>19736</v>
      </c>
      <c r="AJ262" s="848">
        <f t="shared" si="222"/>
        <v>0</v>
      </c>
      <c r="AK262" s="848">
        <f t="shared" si="222"/>
        <v>0</v>
      </c>
      <c r="AL262" s="848">
        <f t="shared" si="222"/>
        <v>19736</v>
      </c>
      <c r="AM262" s="848">
        <f t="shared" si="222"/>
        <v>0</v>
      </c>
      <c r="AN262" s="848">
        <f t="shared" si="222"/>
        <v>0</v>
      </c>
      <c r="AO262" s="848">
        <f t="shared" si="222"/>
        <v>0</v>
      </c>
      <c r="AP262" s="848">
        <f t="shared" si="222"/>
        <v>0</v>
      </c>
      <c r="AQ262" s="848">
        <f t="shared" si="222"/>
        <v>0</v>
      </c>
      <c r="AR262" s="848">
        <f t="shared" si="222"/>
        <v>0</v>
      </c>
      <c r="AS262" s="848"/>
      <c r="AT262" s="848">
        <f t="shared" si="222"/>
        <v>0</v>
      </c>
      <c r="AU262" s="848">
        <f t="shared" si="222"/>
        <v>0</v>
      </c>
      <c r="AV262" s="848">
        <f t="shared" si="222"/>
        <v>0</v>
      </c>
      <c r="AW262" s="848">
        <f t="shared" si="222"/>
        <v>0</v>
      </c>
      <c r="AX262" s="848">
        <f t="shared" si="222"/>
        <v>0</v>
      </c>
      <c r="AY262" s="848">
        <f t="shared" si="222"/>
        <v>3384.7397070000002</v>
      </c>
      <c r="AZ262" s="848">
        <f t="shared" si="222"/>
        <v>0</v>
      </c>
      <c r="BA262" s="848">
        <f t="shared" si="222"/>
        <v>0</v>
      </c>
      <c r="BB262" s="848">
        <f t="shared" si="222"/>
        <v>0</v>
      </c>
      <c r="BC262" s="848">
        <f t="shared" si="222"/>
        <v>3384.7397070000002</v>
      </c>
      <c r="BD262" s="848">
        <f t="shared" si="222"/>
        <v>0</v>
      </c>
      <c r="BE262" s="848">
        <f t="shared" si="222"/>
        <v>0</v>
      </c>
      <c r="BF262" s="848">
        <f t="shared" si="222"/>
        <v>0</v>
      </c>
      <c r="BG262" s="848">
        <f t="shared" si="222"/>
        <v>0</v>
      </c>
      <c r="BH262" s="848">
        <f t="shared" si="222"/>
        <v>0</v>
      </c>
      <c r="BI262" s="848">
        <f t="shared" si="222"/>
        <v>0</v>
      </c>
      <c r="BJ262" s="848">
        <f t="shared" si="222"/>
        <v>0</v>
      </c>
      <c r="BK262" s="848">
        <f t="shared" si="222"/>
        <v>0</v>
      </c>
      <c r="BL262" s="848">
        <f t="shared" si="222"/>
        <v>0</v>
      </c>
      <c r="BM262" s="848">
        <f t="shared" si="222"/>
        <v>0</v>
      </c>
      <c r="BN262" s="848">
        <f t="shared" si="222"/>
        <v>0</v>
      </c>
      <c r="BO262" s="848">
        <f t="shared" si="166"/>
        <v>3604.022121</v>
      </c>
      <c r="BP262" s="848">
        <f t="shared" si="222"/>
        <v>0</v>
      </c>
      <c r="BQ262" s="848">
        <f t="shared" si="222"/>
        <v>0</v>
      </c>
      <c r="BR262" s="848">
        <f t="shared" si="222"/>
        <v>0</v>
      </c>
      <c r="BS262" s="848">
        <f t="shared" si="222"/>
        <v>3604.022121</v>
      </c>
      <c r="BT262" s="848">
        <f t="shared" si="222"/>
        <v>0</v>
      </c>
      <c r="BU262" s="848">
        <f t="shared" si="222"/>
        <v>0</v>
      </c>
      <c r="BV262" s="848">
        <f t="shared" si="222"/>
        <v>0</v>
      </c>
      <c r="BW262" s="848">
        <f t="shared" si="222"/>
        <v>0</v>
      </c>
      <c r="BX262" s="848">
        <f t="shared" si="222"/>
        <v>0</v>
      </c>
      <c r="BY262" s="848">
        <f t="shared" si="222"/>
        <v>0</v>
      </c>
      <c r="BZ262" s="848">
        <f t="shared" si="222"/>
        <v>0</v>
      </c>
      <c r="CA262" s="848">
        <f t="shared" si="222"/>
        <v>0</v>
      </c>
      <c r="CB262" s="848">
        <f t="shared" si="222"/>
        <v>0</v>
      </c>
      <c r="CC262" s="848">
        <f t="shared" si="222"/>
        <v>0</v>
      </c>
      <c r="CD262" s="848">
        <f t="shared" si="222"/>
        <v>0</v>
      </c>
      <c r="CE262" s="848">
        <f t="shared" si="222"/>
        <v>0</v>
      </c>
      <c r="CF262" s="848">
        <f t="shared" si="224"/>
        <v>106.47856062746865</v>
      </c>
      <c r="CG262" s="848"/>
      <c r="CH262" s="848"/>
      <c r="CI262" s="848"/>
      <c r="CJ262" s="848">
        <f t="shared" si="182"/>
        <v>106.47856062746865</v>
      </c>
      <c r="CK262" s="848"/>
      <c r="CL262" s="848"/>
      <c r="CM262" s="848"/>
      <c r="CN262" s="848"/>
      <c r="CO262" s="848"/>
      <c r="CP262" s="848"/>
      <c r="CQ262" s="848"/>
      <c r="CR262" s="848"/>
      <c r="CS262" s="848">
        <f t="shared" si="224"/>
        <v>0</v>
      </c>
      <c r="CT262" s="848"/>
      <c r="CU262" s="848"/>
      <c r="CV262" s="848"/>
      <c r="CW262" s="848"/>
    </row>
    <row r="263" spans="1:101" s="851" customFormat="1" ht="24.75" customHeight="1">
      <c r="A263" s="845"/>
      <c r="B263" s="852" t="s">
        <v>817</v>
      </c>
      <c r="C263" s="852" t="s">
        <v>818</v>
      </c>
      <c r="D263" s="846"/>
      <c r="E263" s="845"/>
      <c r="F263" s="853" t="s">
        <v>802</v>
      </c>
      <c r="G263" s="846" t="s">
        <v>819</v>
      </c>
      <c r="H263" s="850">
        <f t="shared" si="220"/>
        <v>104357.19</v>
      </c>
      <c r="I263" s="860"/>
      <c r="J263" s="860">
        <v>104357.19</v>
      </c>
      <c r="K263" s="848"/>
      <c r="L263" s="848"/>
      <c r="M263" s="848"/>
      <c r="N263" s="848"/>
      <c r="O263" s="848"/>
      <c r="P263" s="848"/>
      <c r="Q263" s="848"/>
      <c r="R263" s="848"/>
      <c r="S263" s="848"/>
      <c r="T263" s="855">
        <f t="shared" si="167"/>
        <v>19736.156372000001</v>
      </c>
      <c r="U263" s="848"/>
      <c r="V263" s="848"/>
      <c r="W263" s="855">
        <v>19736.156372000001</v>
      </c>
      <c r="X263" s="848"/>
      <c r="Y263" s="848"/>
      <c r="Z263" s="848"/>
      <c r="AA263" s="848"/>
      <c r="AB263" s="848"/>
      <c r="AC263" s="848"/>
      <c r="AD263" s="848"/>
      <c r="AE263" s="848"/>
      <c r="AF263" s="848"/>
      <c r="AG263" s="848"/>
      <c r="AH263" s="855"/>
      <c r="AI263" s="855">
        <f>AL263</f>
        <v>19736</v>
      </c>
      <c r="AJ263" s="855"/>
      <c r="AK263" s="855"/>
      <c r="AL263" s="855">
        <v>19736</v>
      </c>
      <c r="AM263" s="855"/>
      <c r="AN263" s="855"/>
      <c r="AO263" s="855"/>
      <c r="AP263" s="855"/>
      <c r="AQ263" s="855"/>
      <c r="AR263" s="855"/>
      <c r="AS263" s="855"/>
      <c r="AT263" s="855"/>
      <c r="AU263" s="855"/>
      <c r="AV263" s="855"/>
      <c r="AW263" s="855"/>
      <c r="AX263" s="855"/>
      <c r="AY263" s="855">
        <f t="shared" ref="AY263" si="225">SUM(AZ263:BN263)</f>
        <v>3384.7397070000002</v>
      </c>
      <c r="AZ263" s="855"/>
      <c r="BA263" s="855"/>
      <c r="BB263" s="855"/>
      <c r="BC263" s="855">
        <v>3384.7397070000002</v>
      </c>
      <c r="BD263" s="855"/>
      <c r="BE263" s="855"/>
      <c r="BF263" s="855"/>
      <c r="BG263" s="855"/>
      <c r="BH263" s="855"/>
      <c r="BI263" s="855"/>
      <c r="BJ263" s="855"/>
      <c r="BK263" s="855"/>
      <c r="BL263" s="855"/>
      <c r="BM263" s="855"/>
      <c r="BN263" s="855"/>
      <c r="BO263" s="848">
        <f t="shared" si="166"/>
        <v>3604.022121</v>
      </c>
      <c r="BP263" s="855"/>
      <c r="BQ263" s="855"/>
      <c r="BR263" s="855"/>
      <c r="BS263" s="855">
        <v>3604.022121</v>
      </c>
      <c r="BT263" s="855"/>
      <c r="BU263" s="855"/>
      <c r="BV263" s="855"/>
      <c r="BW263" s="855"/>
      <c r="BX263" s="855"/>
      <c r="BY263" s="855"/>
      <c r="BZ263" s="855"/>
      <c r="CA263" s="855"/>
      <c r="CB263" s="855"/>
      <c r="CC263" s="855"/>
      <c r="CD263" s="855"/>
      <c r="CE263" s="855"/>
      <c r="CF263" s="848">
        <f>BO262/AY262%</f>
        <v>106.47856062746865</v>
      </c>
      <c r="CG263" s="848"/>
      <c r="CH263" s="848"/>
      <c r="CI263" s="848"/>
      <c r="CJ263" s="848">
        <f t="shared" si="182"/>
        <v>106.47856062746865</v>
      </c>
      <c r="CK263" s="848"/>
      <c r="CL263" s="848"/>
      <c r="CM263" s="848"/>
      <c r="CN263" s="848"/>
      <c r="CO263" s="848"/>
      <c r="CP263" s="848"/>
      <c r="CQ263" s="848"/>
      <c r="CR263" s="848"/>
      <c r="CS263" s="848"/>
      <c r="CT263" s="848"/>
      <c r="CU263" s="848"/>
      <c r="CV263" s="848"/>
      <c r="CW263" s="848"/>
    </row>
    <row r="264" spans="1:101" ht="24.75" customHeight="1">
      <c r="A264" s="845" t="s">
        <v>820</v>
      </c>
      <c r="B264" s="845"/>
      <c r="C264" s="857" t="s">
        <v>821</v>
      </c>
      <c r="D264" s="846">
        <f>D265</f>
        <v>0</v>
      </c>
      <c r="E264" s="845">
        <f t="shared" ref="E264:CE265" si="226">E265</f>
        <v>0</v>
      </c>
      <c r="F264" s="847"/>
      <c r="G264" s="845"/>
      <c r="H264" s="850">
        <f t="shared" si="220"/>
        <v>33015.839999999997</v>
      </c>
      <c r="I264" s="848">
        <f t="shared" ref="I264:BQ265" si="227">I265</f>
        <v>0</v>
      </c>
      <c r="J264" s="848">
        <f t="shared" si="227"/>
        <v>33015.839999999997</v>
      </c>
      <c r="K264" s="848">
        <f t="shared" si="227"/>
        <v>0</v>
      </c>
      <c r="L264" s="848">
        <f t="shared" si="227"/>
        <v>0</v>
      </c>
      <c r="M264" s="848">
        <f t="shared" si="227"/>
        <v>0</v>
      </c>
      <c r="N264" s="848">
        <f t="shared" si="227"/>
        <v>0</v>
      </c>
      <c r="O264" s="848">
        <f t="shared" si="227"/>
        <v>0</v>
      </c>
      <c r="P264" s="848">
        <f t="shared" si="227"/>
        <v>0</v>
      </c>
      <c r="Q264" s="848">
        <f t="shared" si="227"/>
        <v>0</v>
      </c>
      <c r="R264" s="848">
        <v>0</v>
      </c>
      <c r="S264" s="848">
        <f t="shared" si="227"/>
        <v>0</v>
      </c>
      <c r="T264" s="848">
        <f t="shared" si="227"/>
        <v>2227.1598589999999</v>
      </c>
      <c r="U264" s="848">
        <f t="shared" si="227"/>
        <v>0</v>
      </c>
      <c r="V264" s="848">
        <f t="shared" si="227"/>
        <v>0</v>
      </c>
      <c r="W264" s="848">
        <f t="shared" si="227"/>
        <v>2227.1598589999999</v>
      </c>
      <c r="X264" s="848">
        <f t="shared" si="227"/>
        <v>0</v>
      </c>
      <c r="Y264" s="848">
        <f t="shared" si="227"/>
        <v>0</v>
      </c>
      <c r="Z264" s="848">
        <f t="shared" si="227"/>
        <v>0</v>
      </c>
      <c r="AA264" s="848">
        <f t="shared" si="227"/>
        <v>0</v>
      </c>
      <c r="AB264" s="848">
        <f t="shared" si="227"/>
        <v>0</v>
      </c>
      <c r="AC264" s="848">
        <f t="shared" si="227"/>
        <v>0</v>
      </c>
      <c r="AD264" s="848">
        <f t="shared" si="227"/>
        <v>0</v>
      </c>
      <c r="AE264" s="848">
        <f t="shared" si="227"/>
        <v>0</v>
      </c>
      <c r="AF264" s="848">
        <f t="shared" si="227"/>
        <v>0</v>
      </c>
      <c r="AG264" s="848">
        <f t="shared" si="227"/>
        <v>0</v>
      </c>
      <c r="AH264" s="848">
        <f t="shared" si="227"/>
        <v>0</v>
      </c>
      <c r="AI264" s="848">
        <f t="shared" si="227"/>
        <v>2227</v>
      </c>
      <c r="AJ264" s="848">
        <f t="shared" si="227"/>
        <v>0</v>
      </c>
      <c r="AK264" s="848">
        <f t="shared" si="227"/>
        <v>0</v>
      </c>
      <c r="AL264" s="848">
        <f t="shared" si="227"/>
        <v>2227</v>
      </c>
      <c r="AM264" s="848">
        <f t="shared" si="227"/>
        <v>0</v>
      </c>
      <c r="AN264" s="848">
        <f t="shared" si="227"/>
        <v>0</v>
      </c>
      <c r="AO264" s="848">
        <f t="shared" si="227"/>
        <v>0</v>
      </c>
      <c r="AP264" s="848">
        <f t="shared" si="227"/>
        <v>0</v>
      </c>
      <c r="AQ264" s="848">
        <f t="shared" si="227"/>
        <v>0</v>
      </c>
      <c r="AR264" s="848">
        <f t="shared" si="227"/>
        <v>0</v>
      </c>
      <c r="AS264" s="848"/>
      <c r="AT264" s="848">
        <f t="shared" si="227"/>
        <v>0</v>
      </c>
      <c r="AU264" s="848">
        <f t="shared" si="227"/>
        <v>0</v>
      </c>
      <c r="AV264" s="848">
        <f t="shared" si="227"/>
        <v>0</v>
      </c>
      <c r="AW264" s="848">
        <f t="shared" si="227"/>
        <v>0</v>
      </c>
      <c r="AX264" s="848">
        <f t="shared" si="227"/>
        <v>0</v>
      </c>
      <c r="AY264" s="848">
        <f t="shared" si="227"/>
        <v>606.54141600000003</v>
      </c>
      <c r="AZ264" s="848">
        <f t="shared" si="227"/>
        <v>0</v>
      </c>
      <c r="BA264" s="848">
        <f t="shared" si="227"/>
        <v>0</v>
      </c>
      <c r="BB264" s="848">
        <f t="shared" si="227"/>
        <v>0</v>
      </c>
      <c r="BC264" s="848">
        <f t="shared" si="227"/>
        <v>606.54141600000003</v>
      </c>
      <c r="BD264" s="848">
        <f t="shared" si="227"/>
        <v>0</v>
      </c>
      <c r="BE264" s="848">
        <f t="shared" si="227"/>
        <v>0</v>
      </c>
      <c r="BF264" s="848">
        <f t="shared" si="227"/>
        <v>0</v>
      </c>
      <c r="BG264" s="848">
        <f t="shared" si="227"/>
        <v>0</v>
      </c>
      <c r="BH264" s="848">
        <f t="shared" si="227"/>
        <v>0</v>
      </c>
      <c r="BI264" s="848">
        <f t="shared" si="227"/>
        <v>0</v>
      </c>
      <c r="BJ264" s="848">
        <f t="shared" si="227"/>
        <v>0</v>
      </c>
      <c r="BK264" s="848">
        <f t="shared" si="227"/>
        <v>0</v>
      </c>
      <c r="BL264" s="848">
        <f t="shared" si="227"/>
        <v>0</v>
      </c>
      <c r="BM264" s="848">
        <f t="shared" si="227"/>
        <v>0</v>
      </c>
      <c r="BN264" s="848">
        <f t="shared" si="227"/>
        <v>0</v>
      </c>
      <c r="BO264" s="848">
        <f t="shared" si="166"/>
        <v>631.71054800000002</v>
      </c>
      <c r="BP264" s="848">
        <f t="shared" si="227"/>
        <v>0</v>
      </c>
      <c r="BQ264" s="848">
        <f t="shared" si="227"/>
        <v>0</v>
      </c>
      <c r="BR264" s="848">
        <f t="shared" ref="BR264:CS265" si="228">BR265</f>
        <v>0</v>
      </c>
      <c r="BS264" s="848">
        <f t="shared" si="228"/>
        <v>631.71054800000002</v>
      </c>
      <c r="BT264" s="848">
        <f t="shared" si="228"/>
        <v>0</v>
      </c>
      <c r="BU264" s="848">
        <f t="shared" si="228"/>
        <v>0</v>
      </c>
      <c r="BV264" s="848">
        <f t="shared" si="228"/>
        <v>0</v>
      </c>
      <c r="BW264" s="848">
        <f t="shared" si="228"/>
        <v>0</v>
      </c>
      <c r="BX264" s="848">
        <f t="shared" si="228"/>
        <v>0</v>
      </c>
      <c r="BY264" s="848">
        <f t="shared" si="228"/>
        <v>0</v>
      </c>
      <c r="BZ264" s="848">
        <f t="shared" si="228"/>
        <v>0</v>
      </c>
      <c r="CA264" s="848">
        <f t="shared" si="228"/>
        <v>0</v>
      </c>
      <c r="CB264" s="848">
        <f t="shared" si="228"/>
        <v>0</v>
      </c>
      <c r="CC264" s="848">
        <f t="shared" si="228"/>
        <v>0</v>
      </c>
      <c r="CD264" s="848">
        <f t="shared" si="228"/>
        <v>0</v>
      </c>
      <c r="CE264" s="848">
        <f t="shared" si="228"/>
        <v>0</v>
      </c>
      <c r="CF264" s="848">
        <f>BO263/AY263%</f>
        <v>106.47856062746865</v>
      </c>
      <c r="CG264" s="848"/>
      <c r="CH264" s="848"/>
      <c r="CI264" s="848"/>
      <c r="CJ264" s="848">
        <f t="shared" si="182"/>
        <v>104.14961473958111</v>
      </c>
      <c r="CK264" s="848"/>
      <c r="CL264" s="848"/>
      <c r="CM264" s="848"/>
      <c r="CN264" s="848"/>
      <c r="CO264" s="848"/>
      <c r="CP264" s="848"/>
      <c r="CQ264" s="848"/>
      <c r="CR264" s="848"/>
      <c r="CS264" s="848"/>
      <c r="CT264" s="848"/>
      <c r="CU264" s="848"/>
      <c r="CV264" s="848"/>
      <c r="CW264" s="848"/>
    </row>
    <row r="265" spans="1:101" ht="24.75" customHeight="1">
      <c r="A265" s="845"/>
      <c r="B265" s="845"/>
      <c r="C265" s="852" t="s">
        <v>795</v>
      </c>
      <c r="D265" s="846">
        <f>D266</f>
        <v>0</v>
      </c>
      <c r="E265" s="845">
        <f t="shared" si="226"/>
        <v>0</v>
      </c>
      <c r="F265" s="847"/>
      <c r="G265" s="845"/>
      <c r="H265" s="850">
        <f t="shared" si="220"/>
        <v>33015.839999999997</v>
      </c>
      <c r="I265" s="848">
        <f t="shared" si="226"/>
        <v>0</v>
      </c>
      <c r="J265" s="848">
        <f t="shared" si="226"/>
        <v>33015.839999999997</v>
      </c>
      <c r="K265" s="848">
        <f t="shared" si="226"/>
        <v>0</v>
      </c>
      <c r="L265" s="848">
        <f t="shared" si="226"/>
        <v>0</v>
      </c>
      <c r="M265" s="848">
        <f t="shared" si="226"/>
        <v>0</v>
      </c>
      <c r="N265" s="848">
        <f t="shared" si="226"/>
        <v>0</v>
      </c>
      <c r="O265" s="848">
        <f t="shared" si="226"/>
        <v>0</v>
      </c>
      <c r="P265" s="848">
        <f t="shared" si="226"/>
        <v>0</v>
      </c>
      <c r="Q265" s="848">
        <f t="shared" si="226"/>
        <v>0</v>
      </c>
      <c r="R265" s="848">
        <v>0</v>
      </c>
      <c r="S265" s="848">
        <f t="shared" si="226"/>
        <v>0</v>
      </c>
      <c r="T265" s="848">
        <f t="shared" si="227"/>
        <v>2227.1598589999999</v>
      </c>
      <c r="U265" s="848">
        <f t="shared" si="227"/>
        <v>0</v>
      </c>
      <c r="V265" s="848">
        <f t="shared" si="227"/>
        <v>0</v>
      </c>
      <c r="W265" s="848">
        <f t="shared" si="227"/>
        <v>2227.1598589999999</v>
      </c>
      <c r="X265" s="848">
        <f t="shared" si="227"/>
        <v>0</v>
      </c>
      <c r="Y265" s="848">
        <f t="shared" si="227"/>
        <v>0</v>
      </c>
      <c r="Z265" s="848">
        <f t="shared" si="227"/>
        <v>0</v>
      </c>
      <c r="AA265" s="848">
        <f t="shared" si="227"/>
        <v>0</v>
      </c>
      <c r="AB265" s="848">
        <f t="shared" si="227"/>
        <v>0</v>
      </c>
      <c r="AC265" s="848">
        <f t="shared" si="227"/>
        <v>0</v>
      </c>
      <c r="AD265" s="848">
        <f t="shared" si="227"/>
        <v>0</v>
      </c>
      <c r="AE265" s="848">
        <f t="shared" si="227"/>
        <v>0</v>
      </c>
      <c r="AF265" s="848">
        <f t="shared" si="227"/>
        <v>0</v>
      </c>
      <c r="AG265" s="848">
        <f t="shared" si="227"/>
        <v>0</v>
      </c>
      <c r="AH265" s="848">
        <f t="shared" si="227"/>
        <v>0</v>
      </c>
      <c r="AI265" s="848">
        <f t="shared" si="226"/>
        <v>2227</v>
      </c>
      <c r="AJ265" s="848">
        <f t="shared" si="226"/>
        <v>0</v>
      </c>
      <c r="AK265" s="848">
        <f t="shared" si="226"/>
        <v>0</v>
      </c>
      <c r="AL265" s="848">
        <f t="shared" si="226"/>
        <v>2227</v>
      </c>
      <c r="AM265" s="848">
        <f t="shared" si="226"/>
        <v>0</v>
      </c>
      <c r="AN265" s="848">
        <f t="shared" si="226"/>
        <v>0</v>
      </c>
      <c r="AO265" s="848">
        <f t="shared" si="226"/>
        <v>0</v>
      </c>
      <c r="AP265" s="848">
        <f t="shared" si="226"/>
        <v>0</v>
      </c>
      <c r="AQ265" s="848">
        <f t="shared" si="226"/>
        <v>0</v>
      </c>
      <c r="AR265" s="848">
        <f t="shared" si="226"/>
        <v>0</v>
      </c>
      <c r="AS265" s="848"/>
      <c r="AT265" s="848">
        <f t="shared" si="226"/>
        <v>0</v>
      </c>
      <c r="AU265" s="848">
        <f t="shared" si="226"/>
        <v>0</v>
      </c>
      <c r="AV265" s="848">
        <f t="shared" si="226"/>
        <v>0</v>
      </c>
      <c r="AW265" s="848">
        <f t="shared" si="226"/>
        <v>0</v>
      </c>
      <c r="AX265" s="848">
        <f t="shared" si="226"/>
        <v>0</v>
      </c>
      <c r="AY265" s="848">
        <f t="shared" si="226"/>
        <v>606.54141600000003</v>
      </c>
      <c r="AZ265" s="848">
        <f t="shared" si="226"/>
        <v>0</v>
      </c>
      <c r="BA265" s="848">
        <f t="shared" si="226"/>
        <v>0</v>
      </c>
      <c r="BB265" s="848">
        <f t="shared" si="226"/>
        <v>0</v>
      </c>
      <c r="BC265" s="848">
        <f t="shared" si="226"/>
        <v>606.54141600000003</v>
      </c>
      <c r="BD265" s="848">
        <f t="shared" si="226"/>
        <v>0</v>
      </c>
      <c r="BE265" s="848">
        <f t="shared" si="226"/>
        <v>0</v>
      </c>
      <c r="BF265" s="848">
        <f t="shared" si="226"/>
        <v>0</v>
      </c>
      <c r="BG265" s="848">
        <f t="shared" si="226"/>
        <v>0</v>
      </c>
      <c r="BH265" s="848">
        <f t="shared" si="226"/>
        <v>0</v>
      </c>
      <c r="BI265" s="848">
        <f t="shared" si="226"/>
        <v>0</v>
      </c>
      <c r="BJ265" s="848">
        <f t="shared" si="226"/>
        <v>0</v>
      </c>
      <c r="BK265" s="848">
        <f t="shared" si="226"/>
        <v>0</v>
      </c>
      <c r="BL265" s="848">
        <f t="shared" si="226"/>
        <v>0</v>
      </c>
      <c r="BM265" s="848">
        <f t="shared" si="226"/>
        <v>0</v>
      </c>
      <c r="BN265" s="848">
        <f t="shared" si="226"/>
        <v>0</v>
      </c>
      <c r="BO265" s="848">
        <f t="shared" si="166"/>
        <v>631.71054800000002</v>
      </c>
      <c r="BP265" s="848">
        <f t="shared" si="226"/>
        <v>0</v>
      </c>
      <c r="BQ265" s="848">
        <f t="shared" si="226"/>
        <v>0</v>
      </c>
      <c r="BR265" s="848">
        <f t="shared" si="226"/>
        <v>0</v>
      </c>
      <c r="BS265" s="848">
        <f t="shared" si="226"/>
        <v>631.71054800000002</v>
      </c>
      <c r="BT265" s="848">
        <f t="shared" si="226"/>
        <v>0</v>
      </c>
      <c r="BU265" s="848">
        <f t="shared" si="226"/>
        <v>0</v>
      </c>
      <c r="BV265" s="848">
        <f t="shared" si="226"/>
        <v>0</v>
      </c>
      <c r="BW265" s="848">
        <f t="shared" si="226"/>
        <v>0</v>
      </c>
      <c r="BX265" s="848">
        <f t="shared" si="226"/>
        <v>0</v>
      </c>
      <c r="BY265" s="848">
        <f t="shared" si="226"/>
        <v>0</v>
      </c>
      <c r="BZ265" s="848">
        <f t="shared" si="226"/>
        <v>0</v>
      </c>
      <c r="CA265" s="848">
        <f t="shared" si="226"/>
        <v>0</v>
      </c>
      <c r="CB265" s="848">
        <f t="shared" si="226"/>
        <v>0</v>
      </c>
      <c r="CC265" s="848">
        <f t="shared" si="226"/>
        <v>0</v>
      </c>
      <c r="CD265" s="848">
        <f t="shared" si="226"/>
        <v>0</v>
      </c>
      <c r="CE265" s="848">
        <f t="shared" si="226"/>
        <v>0</v>
      </c>
      <c r="CF265" s="848">
        <f t="shared" si="228"/>
        <v>104.14961473958111</v>
      </c>
      <c r="CG265" s="848"/>
      <c r="CH265" s="848"/>
      <c r="CI265" s="848"/>
      <c r="CJ265" s="848">
        <f t="shared" si="182"/>
        <v>104.14961473958111</v>
      </c>
      <c r="CK265" s="848"/>
      <c r="CL265" s="848"/>
      <c r="CM265" s="848"/>
      <c r="CN265" s="848"/>
      <c r="CO265" s="848"/>
      <c r="CP265" s="848"/>
      <c r="CQ265" s="848"/>
      <c r="CR265" s="848"/>
      <c r="CS265" s="848">
        <f t="shared" si="228"/>
        <v>0</v>
      </c>
      <c r="CT265" s="848"/>
      <c r="CU265" s="848"/>
      <c r="CV265" s="848"/>
      <c r="CW265" s="848"/>
    </row>
    <row r="266" spans="1:101" ht="24.75" customHeight="1">
      <c r="A266" s="845"/>
      <c r="B266" s="852" t="s">
        <v>821</v>
      </c>
      <c r="C266" s="852" t="s">
        <v>822</v>
      </c>
      <c r="D266" s="846"/>
      <c r="E266" s="845"/>
      <c r="F266" s="853" t="s">
        <v>823</v>
      </c>
      <c r="G266" s="846" t="s">
        <v>824</v>
      </c>
      <c r="H266" s="850">
        <f t="shared" si="220"/>
        <v>33015.839999999997</v>
      </c>
      <c r="I266" s="860"/>
      <c r="J266" s="860">
        <v>33015.839999999997</v>
      </c>
      <c r="K266" s="848"/>
      <c r="L266" s="848"/>
      <c r="M266" s="848"/>
      <c r="N266" s="848"/>
      <c r="O266" s="848"/>
      <c r="P266" s="848"/>
      <c r="Q266" s="848"/>
      <c r="R266" s="848"/>
      <c r="S266" s="848"/>
      <c r="T266" s="855">
        <f t="shared" si="167"/>
        <v>2227.1598589999999</v>
      </c>
      <c r="U266" s="848"/>
      <c r="V266" s="848"/>
      <c r="W266" s="855">
        <v>2227.1598589999999</v>
      </c>
      <c r="X266" s="848"/>
      <c r="Y266" s="848"/>
      <c r="Z266" s="848"/>
      <c r="AA266" s="848"/>
      <c r="AB266" s="848"/>
      <c r="AC266" s="848"/>
      <c r="AD266" s="848"/>
      <c r="AE266" s="848"/>
      <c r="AF266" s="848"/>
      <c r="AG266" s="848"/>
      <c r="AH266" s="855"/>
      <c r="AI266" s="855">
        <f>AL266</f>
        <v>2227</v>
      </c>
      <c r="AJ266" s="855"/>
      <c r="AK266" s="855"/>
      <c r="AL266" s="855">
        <v>2227</v>
      </c>
      <c r="AM266" s="855"/>
      <c r="AN266" s="855"/>
      <c r="AO266" s="855"/>
      <c r="AP266" s="855"/>
      <c r="AQ266" s="855"/>
      <c r="AR266" s="855"/>
      <c r="AS266" s="855"/>
      <c r="AT266" s="855"/>
      <c r="AU266" s="855"/>
      <c r="AV266" s="855"/>
      <c r="AW266" s="855"/>
      <c r="AX266" s="855"/>
      <c r="AY266" s="855">
        <f t="shared" ref="AY266" si="229">SUM(AZ266:BN266)</f>
        <v>606.54141600000003</v>
      </c>
      <c r="AZ266" s="855"/>
      <c r="BA266" s="855"/>
      <c r="BB266" s="855"/>
      <c r="BC266" s="850">
        <v>606.54141600000003</v>
      </c>
      <c r="BD266" s="855"/>
      <c r="BE266" s="855"/>
      <c r="BF266" s="855"/>
      <c r="BG266" s="855"/>
      <c r="BH266" s="855"/>
      <c r="BI266" s="855"/>
      <c r="BJ266" s="855"/>
      <c r="BK266" s="855"/>
      <c r="BL266" s="855"/>
      <c r="BM266" s="855"/>
      <c r="BN266" s="855"/>
      <c r="BO266" s="848">
        <f t="shared" si="166"/>
        <v>631.71054800000002</v>
      </c>
      <c r="BP266" s="855"/>
      <c r="BQ266" s="855"/>
      <c r="BR266" s="855"/>
      <c r="BS266" s="855">
        <v>631.71054800000002</v>
      </c>
      <c r="BT266" s="855"/>
      <c r="BU266" s="855"/>
      <c r="BV266" s="855"/>
      <c r="BW266" s="855"/>
      <c r="BX266" s="855"/>
      <c r="BY266" s="855"/>
      <c r="BZ266" s="855"/>
      <c r="CA266" s="855"/>
      <c r="CB266" s="855"/>
      <c r="CC266" s="855"/>
      <c r="CD266" s="855"/>
      <c r="CE266" s="855"/>
      <c r="CF266" s="848">
        <f>BO265/AY265%</f>
        <v>104.14961473958111</v>
      </c>
      <c r="CG266" s="848"/>
      <c r="CH266" s="848"/>
      <c r="CI266" s="848"/>
      <c r="CJ266" s="848">
        <f t="shared" si="182"/>
        <v>104.14961473958111</v>
      </c>
      <c r="CK266" s="848"/>
      <c r="CL266" s="848"/>
      <c r="CM266" s="848"/>
      <c r="CN266" s="848"/>
      <c r="CO266" s="848"/>
      <c r="CP266" s="848"/>
      <c r="CQ266" s="848"/>
      <c r="CR266" s="848"/>
      <c r="CS266" s="848"/>
      <c r="CT266" s="848"/>
      <c r="CU266" s="848"/>
      <c r="CV266" s="848"/>
      <c r="CW266" s="848"/>
    </row>
    <row r="267" spans="1:101" ht="24.75" customHeight="1">
      <c r="A267" s="845" t="s">
        <v>825</v>
      </c>
      <c r="B267" s="845"/>
      <c r="C267" s="857" t="s">
        <v>826</v>
      </c>
      <c r="D267" s="846">
        <f>D268</f>
        <v>0</v>
      </c>
      <c r="E267" s="845">
        <f t="shared" ref="E267:CE268" si="230">E268</f>
        <v>0</v>
      </c>
      <c r="F267" s="847"/>
      <c r="G267" s="845"/>
      <c r="H267" s="850">
        <f t="shared" si="220"/>
        <v>20538</v>
      </c>
      <c r="I267" s="848">
        <f t="shared" ref="I267:BQ268" si="231">I268</f>
        <v>0</v>
      </c>
      <c r="J267" s="848">
        <f t="shared" si="231"/>
        <v>20538</v>
      </c>
      <c r="K267" s="848">
        <f t="shared" si="231"/>
        <v>0</v>
      </c>
      <c r="L267" s="848">
        <f t="shared" si="231"/>
        <v>0</v>
      </c>
      <c r="M267" s="848">
        <f t="shared" si="231"/>
        <v>0</v>
      </c>
      <c r="N267" s="848">
        <f t="shared" si="231"/>
        <v>0</v>
      </c>
      <c r="O267" s="848">
        <f t="shared" si="231"/>
        <v>0</v>
      </c>
      <c r="P267" s="848">
        <f t="shared" si="231"/>
        <v>0</v>
      </c>
      <c r="Q267" s="848">
        <f t="shared" si="231"/>
        <v>0</v>
      </c>
      <c r="R267" s="848">
        <v>0</v>
      </c>
      <c r="S267" s="848">
        <f t="shared" si="231"/>
        <v>0</v>
      </c>
      <c r="T267" s="848">
        <f t="shared" si="231"/>
        <v>4706.5270280000004</v>
      </c>
      <c r="U267" s="848">
        <f t="shared" si="231"/>
        <v>0</v>
      </c>
      <c r="V267" s="848">
        <f t="shared" si="231"/>
        <v>0</v>
      </c>
      <c r="W267" s="848">
        <f t="shared" si="231"/>
        <v>4706.5270280000004</v>
      </c>
      <c r="X267" s="848">
        <f t="shared" si="231"/>
        <v>0</v>
      </c>
      <c r="Y267" s="848">
        <f t="shared" si="231"/>
        <v>0</v>
      </c>
      <c r="Z267" s="848">
        <f t="shared" si="231"/>
        <v>0</v>
      </c>
      <c r="AA267" s="848">
        <f t="shared" si="231"/>
        <v>0</v>
      </c>
      <c r="AB267" s="848">
        <f t="shared" si="231"/>
        <v>0</v>
      </c>
      <c r="AC267" s="848">
        <f t="shared" si="231"/>
        <v>0</v>
      </c>
      <c r="AD267" s="848">
        <f t="shared" si="231"/>
        <v>0</v>
      </c>
      <c r="AE267" s="848">
        <f t="shared" si="231"/>
        <v>0</v>
      </c>
      <c r="AF267" s="848">
        <f t="shared" si="231"/>
        <v>0</v>
      </c>
      <c r="AG267" s="848">
        <f t="shared" si="231"/>
        <v>0</v>
      </c>
      <c r="AH267" s="848">
        <f t="shared" si="231"/>
        <v>0</v>
      </c>
      <c r="AI267" s="848">
        <f t="shared" si="231"/>
        <v>4706</v>
      </c>
      <c r="AJ267" s="848">
        <f t="shared" si="231"/>
        <v>0</v>
      </c>
      <c r="AK267" s="848">
        <f t="shared" si="231"/>
        <v>0</v>
      </c>
      <c r="AL267" s="848">
        <f t="shared" si="231"/>
        <v>4706</v>
      </c>
      <c r="AM267" s="848">
        <f t="shared" si="231"/>
        <v>0</v>
      </c>
      <c r="AN267" s="848">
        <f t="shared" si="231"/>
        <v>0</v>
      </c>
      <c r="AO267" s="848">
        <f t="shared" si="231"/>
        <v>0</v>
      </c>
      <c r="AP267" s="848">
        <f t="shared" si="231"/>
        <v>0</v>
      </c>
      <c r="AQ267" s="848">
        <f t="shared" si="231"/>
        <v>0</v>
      </c>
      <c r="AR267" s="848">
        <f t="shared" si="231"/>
        <v>0</v>
      </c>
      <c r="AS267" s="848"/>
      <c r="AT267" s="848">
        <f t="shared" si="231"/>
        <v>0</v>
      </c>
      <c r="AU267" s="848">
        <f t="shared" si="231"/>
        <v>0</v>
      </c>
      <c r="AV267" s="848">
        <f t="shared" si="231"/>
        <v>0</v>
      </c>
      <c r="AW267" s="848">
        <f t="shared" si="231"/>
        <v>0</v>
      </c>
      <c r="AX267" s="848">
        <f t="shared" si="231"/>
        <v>0</v>
      </c>
      <c r="AY267" s="848">
        <f t="shared" si="231"/>
        <v>2528.8431909999999</v>
      </c>
      <c r="AZ267" s="848">
        <f t="shared" si="231"/>
        <v>0</v>
      </c>
      <c r="BA267" s="848">
        <f t="shared" si="231"/>
        <v>0</v>
      </c>
      <c r="BB267" s="848">
        <f t="shared" si="231"/>
        <v>0</v>
      </c>
      <c r="BC267" s="848">
        <f t="shared" si="231"/>
        <v>2528.8431909999999</v>
      </c>
      <c r="BD267" s="848">
        <f t="shared" si="231"/>
        <v>0</v>
      </c>
      <c r="BE267" s="848">
        <f t="shared" si="231"/>
        <v>0</v>
      </c>
      <c r="BF267" s="848">
        <f t="shared" si="231"/>
        <v>0</v>
      </c>
      <c r="BG267" s="848">
        <f t="shared" si="231"/>
        <v>0</v>
      </c>
      <c r="BH267" s="848">
        <f t="shared" si="231"/>
        <v>0</v>
      </c>
      <c r="BI267" s="848">
        <f t="shared" si="231"/>
        <v>0</v>
      </c>
      <c r="BJ267" s="848">
        <f t="shared" si="231"/>
        <v>0</v>
      </c>
      <c r="BK267" s="848">
        <f t="shared" si="231"/>
        <v>0</v>
      </c>
      <c r="BL267" s="848">
        <f t="shared" si="231"/>
        <v>0</v>
      </c>
      <c r="BM267" s="848">
        <f t="shared" si="231"/>
        <v>0</v>
      </c>
      <c r="BN267" s="848">
        <f t="shared" si="231"/>
        <v>0</v>
      </c>
      <c r="BO267" s="848">
        <f t="shared" ref="BO267:BO330" si="232">SUM(BP267:CE267)</f>
        <v>2491.1184640000001</v>
      </c>
      <c r="BP267" s="848">
        <f t="shared" si="231"/>
        <v>0</v>
      </c>
      <c r="BQ267" s="848">
        <f t="shared" si="231"/>
        <v>0</v>
      </c>
      <c r="BR267" s="848">
        <f t="shared" ref="BR267:CS269" si="233">BR268</f>
        <v>0</v>
      </c>
      <c r="BS267" s="848">
        <f t="shared" si="233"/>
        <v>2491.1184640000001</v>
      </c>
      <c r="BT267" s="848">
        <f t="shared" si="233"/>
        <v>0</v>
      </c>
      <c r="BU267" s="848">
        <f t="shared" si="233"/>
        <v>0</v>
      </c>
      <c r="BV267" s="848">
        <f t="shared" si="233"/>
        <v>0</v>
      </c>
      <c r="BW267" s="848">
        <f t="shared" si="233"/>
        <v>0</v>
      </c>
      <c r="BX267" s="848">
        <f t="shared" si="233"/>
        <v>0</v>
      </c>
      <c r="BY267" s="848">
        <f t="shared" si="233"/>
        <v>0</v>
      </c>
      <c r="BZ267" s="848">
        <f t="shared" si="233"/>
        <v>0</v>
      </c>
      <c r="CA267" s="848">
        <f t="shared" si="233"/>
        <v>0</v>
      </c>
      <c r="CB267" s="848">
        <f t="shared" si="233"/>
        <v>0</v>
      </c>
      <c r="CC267" s="848">
        <f t="shared" si="233"/>
        <v>0</v>
      </c>
      <c r="CD267" s="848">
        <f t="shared" si="233"/>
        <v>0</v>
      </c>
      <c r="CE267" s="848">
        <f t="shared" si="233"/>
        <v>0</v>
      </c>
      <c r="CF267" s="848">
        <f>BO266/AY266%</f>
        <v>104.14961473958111</v>
      </c>
      <c r="CG267" s="848"/>
      <c r="CH267" s="848"/>
      <c r="CI267" s="848"/>
      <c r="CJ267" s="848">
        <f t="shared" si="182"/>
        <v>98.508221975397291</v>
      </c>
      <c r="CK267" s="848"/>
      <c r="CL267" s="848"/>
      <c r="CM267" s="848"/>
      <c r="CN267" s="848"/>
      <c r="CO267" s="848"/>
      <c r="CP267" s="848"/>
      <c r="CQ267" s="848"/>
      <c r="CR267" s="848"/>
      <c r="CS267" s="848"/>
      <c r="CT267" s="848"/>
      <c r="CU267" s="848"/>
      <c r="CV267" s="848"/>
      <c r="CW267" s="848"/>
    </row>
    <row r="268" spans="1:101" ht="35.450000000000003" customHeight="1">
      <c r="A268" s="845"/>
      <c r="B268" s="845"/>
      <c r="C268" s="852" t="s">
        <v>795</v>
      </c>
      <c r="D268" s="846">
        <f>D269</f>
        <v>0</v>
      </c>
      <c r="E268" s="845">
        <f t="shared" si="230"/>
        <v>0</v>
      </c>
      <c r="F268" s="847"/>
      <c r="G268" s="845"/>
      <c r="H268" s="850">
        <f t="shared" si="220"/>
        <v>20538</v>
      </c>
      <c r="I268" s="848">
        <f t="shared" si="230"/>
        <v>0</v>
      </c>
      <c r="J268" s="848">
        <f t="shared" si="230"/>
        <v>20538</v>
      </c>
      <c r="K268" s="848">
        <f t="shared" si="230"/>
        <v>0</v>
      </c>
      <c r="L268" s="848">
        <f t="shared" si="230"/>
        <v>0</v>
      </c>
      <c r="M268" s="848">
        <f t="shared" si="230"/>
        <v>0</v>
      </c>
      <c r="N268" s="848">
        <f t="shared" si="230"/>
        <v>0</v>
      </c>
      <c r="O268" s="848">
        <f t="shared" si="230"/>
        <v>0</v>
      </c>
      <c r="P268" s="848">
        <f t="shared" si="230"/>
        <v>0</v>
      </c>
      <c r="Q268" s="848">
        <f t="shared" si="230"/>
        <v>0</v>
      </c>
      <c r="R268" s="848">
        <v>0</v>
      </c>
      <c r="S268" s="848">
        <f t="shared" si="230"/>
        <v>0</v>
      </c>
      <c r="T268" s="848">
        <f t="shared" si="231"/>
        <v>4706.5270280000004</v>
      </c>
      <c r="U268" s="848">
        <f t="shared" si="231"/>
        <v>0</v>
      </c>
      <c r="V268" s="848">
        <f t="shared" si="231"/>
        <v>0</v>
      </c>
      <c r="W268" s="848">
        <f t="shared" si="231"/>
        <v>4706.5270280000004</v>
      </c>
      <c r="X268" s="848">
        <f t="shared" si="231"/>
        <v>0</v>
      </c>
      <c r="Y268" s="848">
        <f t="shared" si="231"/>
        <v>0</v>
      </c>
      <c r="Z268" s="848">
        <f t="shared" si="231"/>
        <v>0</v>
      </c>
      <c r="AA268" s="848">
        <f t="shared" si="231"/>
        <v>0</v>
      </c>
      <c r="AB268" s="848">
        <f t="shared" si="231"/>
        <v>0</v>
      </c>
      <c r="AC268" s="848">
        <f t="shared" si="231"/>
        <v>0</v>
      </c>
      <c r="AD268" s="848">
        <f t="shared" si="231"/>
        <v>0</v>
      </c>
      <c r="AE268" s="848">
        <f t="shared" si="231"/>
        <v>0</v>
      </c>
      <c r="AF268" s="848">
        <f t="shared" si="231"/>
        <v>0</v>
      </c>
      <c r="AG268" s="848">
        <f t="shared" si="231"/>
        <v>0</v>
      </c>
      <c r="AH268" s="848">
        <f t="shared" si="231"/>
        <v>0</v>
      </c>
      <c r="AI268" s="848">
        <f t="shared" si="230"/>
        <v>4706</v>
      </c>
      <c r="AJ268" s="848">
        <f t="shared" si="230"/>
        <v>0</v>
      </c>
      <c r="AK268" s="848">
        <f t="shared" si="230"/>
        <v>0</v>
      </c>
      <c r="AL268" s="848">
        <f t="shared" si="230"/>
        <v>4706</v>
      </c>
      <c r="AM268" s="848">
        <f t="shared" si="230"/>
        <v>0</v>
      </c>
      <c r="AN268" s="848">
        <f t="shared" si="230"/>
        <v>0</v>
      </c>
      <c r="AO268" s="848">
        <f t="shared" si="230"/>
        <v>0</v>
      </c>
      <c r="AP268" s="848">
        <f t="shared" si="230"/>
        <v>0</v>
      </c>
      <c r="AQ268" s="848">
        <f t="shared" si="230"/>
        <v>0</v>
      </c>
      <c r="AR268" s="848">
        <f t="shared" si="230"/>
        <v>0</v>
      </c>
      <c r="AS268" s="848"/>
      <c r="AT268" s="848">
        <f t="shared" si="230"/>
        <v>0</v>
      </c>
      <c r="AU268" s="848">
        <f t="shared" si="230"/>
        <v>0</v>
      </c>
      <c r="AV268" s="848">
        <f t="shared" si="230"/>
        <v>0</v>
      </c>
      <c r="AW268" s="848">
        <f t="shared" si="230"/>
        <v>0</v>
      </c>
      <c r="AX268" s="848">
        <f t="shared" si="230"/>
        <v>0</v>
      </c>
      <c r="AY268" s="848">
        <f t="shared" si="230"/>
        <v>2528.8431909999999</v>
      </c>
      <c r="AZ268" s="848">
        <f t="shared" si="230"/>
        <v>0</v>
      </c>
      <c r="BA268" s="848">
        <f t="shared" si="230"/>
        <v>0</v>
      </c>
      <c r="BB268" s="848">
        <f t="shared" si="230"/>
        <v>0</v>
      </c>
      <c r="BC268" s="848">
        <f t="shared" si="230"/>
        <v>2528.8431909999999</v>
      </c>
      <c r="BD268" s="848">
        <f t="shared" si="230"/>
        <v>0</v>
      </c>
      <c r="BE268" s="848">
        <f t="shared" si="230"/>
        <v>0</v>
      </c>
      <c r="BF268" s="848">
        <f t="shared" si="230"/>
        <v>0</v>
      </c>
      <c r="BG268" s="848">
        <f t="shared" si="230"/>
        <v>0</v>
      </c>
      <c r="BH268" s="848">
        <f t="shared" si="230"/>
        <v>0</v>
      </c>
      <c r="BI268" s="848">
        <f t="shared" si="230"/>
        <v>0</v>
      </c>
      <c r="BJ268" s="848">
        <f t="shared" si="230"/>
        <v>0</v>
      </c>
      <c r="BK268" s="848">
        <f t="shared" si="230"/>
        <v>0</v>
      </c>
      <c r="BL268" s="848">
        <f t="shared" si="230"/>
        <v>0</v>
      </c>
      <c r="BM268" s="848">
        <f t="shared" si="230"/>
        <v>0</v>
      </c>
      <c r="BN268" s="848">
        <f t="shared" si="230"/>
        <v>0</v>
      </c>
      <c r="BO268" s="848">
        <f t="shared" si="232"/>
        <v>2491.1184640000001</v>
      </c>
      <c r="BP268" s="848">
        <f t="shared" si="230"/>
        <v>0</v>
      </c>
      <c r="BQ268" s="848">
        <f t="shared" si="230"/>
        <v>0</v>
      </c>
      <c r="BR268" s="848">
        <f t="shared" si="230"/>
        <v>0</v>
      </c>
      <c r="BS268" s="848">
        <f t="shared" si="230"/>
        <v>2491.1184640000001</v>
      </c>
      <c r="BT268" s="848">
        <f t="shared" si="230"/>
        <v>0</v>
      </c>
      <c r="BU268" s="848">
        <f t="shared" si="230"/>
        <v>0</v>
      </c>
      <c r="BV268" s="848">
        <f t="shared" si="230"/>
        <v>0</v>
      </c>
      <c r="BW268" s="848">
        <f t="shared" si="230"/>
        <v>0</v>
      </c>
      <c r="BX268" s="848">
        <f t="shared" si="230"/>
        <v>0</v>
      </c>
      <c r="BY268" s="848">
        <f t="shared" si="230"/>
        <v>0</v>
      </c>
      <c r="BZ268" s="848">
        <f t="shared" si="230"/>
        <v>0</v>
      </c>
      <c r="CA268" s="848">
        <f t="shared" si="230"/>
        <v>0</v>
      </c>
      <c r="CB268" s="848">
        <f t="shared" si="230"/>
        <v>0</v>
      </c>
      <c r="CC268" s="848">
        <f t="shared" si="230"/>
        <v>0</v>
      </c>
      <c r="CD268" s="848">
        <f t="shared" si="230"/>
        <v>0</v>
      </c>
      <c r="CE268" s="848">
        <f t="shared" si="230"/>
        <v>0</v>
      </c>
      <c r="CF268" s="848">
        <f t="shared" si="233"/>
        <v>98.508221975397291</v>
      </c>
      <c r="CG268" s="848"/>
      <c r="CH268" s="848"/>
      <c r="CI268" s="848"/>
      <c r="CJ268" s="848">
        <f t="shared" si="182"/>
        <v>98.508221975397291</v>
      </c>
      <c r="CK268" s="848"/>
      <c r="CL268" s="848"/>
      <c r="CM268" s="848"/>
      <c r="CN268" s="848"/>
      <c r="CO268" s="848"/>
      <c r="CP268" s="848"/>
      <c r="CQ268" s="848"/>
      <c r="CR268" s="848"/>
      <c r="CS268" s="848">
        <f t="shared" si="233"/>
        <v>0</v>
      </c>
      <c r="CT268" s="848"/>
      <c r="CU268" s="848"/>
      <c r="CV268" s="848"/>
      <c r="CW268" s="848"/>
    </row>
    <row r="269" spans="1:101" ht="31.9" customHeight="1">
      <c r="A269" s="845"/>
      <c r="B269" s="852" t="s">
        <v>826</v>
      </c>
      <c r="C269" s="852" t="s">
        <v>827</v>
      </c>
      <c r="D269" s="846"/>
      <c r="E269" s="845"/>
      <c r="F269" s="853">
        <v>2016</v>
      </c>
      <c r="G269" s="846" t="s">
        <v>828</v>
      </c>
      <c r="H269" s="850">
        <f t="shared" si="220"/>
        <v>20538</v>
      </c>
      <c r="I269" s="860"/>
      <c r="J269" s="860">
        <v>20538</v>
      </c>
      <c r="K269" s="848"/>
      <c r="L269" s="848"/>
      <c r="M269" s="848"/>
      <c r="N269" s="848"/>
      <c r="O269" s="848"/>
      <c r="P269" s="848"/>
      <c r="Q269" s="848"/>
      <c r="R269" s="848"/>
      <c r="S269" s="848"/>
      <c r="T269" s="855">
        <f t="shared" si="167"/>
        <v>4706.5270280000004</v>
      </c>
      <c r="U269" s="848"/>
      <c r="V269" s="848"/>
      <c r="W269" s="855">
        <v>4706.5270280000004</v>
      </c>
      <c r="X269" s="848"/>
      <c r="Y269" s="848"/>
      <c r="Z269" s="848"/>
      <c r="AA269" s="848"/>
      <c r="AB269" s="848"/>
      <c r="AC269" s="848"/>
      <c r="AD269" s="848"/>
      <c r="AE269" s="848"/>
      <c r="AF269" s="848"/>
      <c r="AG269" s="848"/>
      <c r="AH269" s="855"/>
      <c r="AI269" s="855">
        <f>AL269</f>
        <v>4706</v>
      </c>
      <c r="AJ269" s="855"/>
      <c r="AK269" s="855"/>
      <c r="AL269" s="855">
        <v>4706</v>
      </c>
      <c r="AM269" s="855"/>
      <c r="AN269" s="855"/>
      <c r="AO269" s="855"/>
      <c r="AP269" s="855"/>
      <c r="AQ269" s="855"/>
      <c r="AR269" s="855"/>
      <c r="AS269" s="855"/>
      <c r="AT269" s="855"/>
      <c r="AU269" s="855"/>
      <c r="AV269" s="855"/>
      <c r="AW269" s="855"/>
      <c r="AX269" s="855"/>
      <c r="AY269" s="855">
        <f t="shared" ref="AY269" si="234">SUM(AZ269:BN269)</f>
        <v>2528.8431909999999</v>
      </c>
      <c r="AZ269" s="855"/>
      <c r="BA269" s="855"/>
      <c r="BB269" s="855"/>
      <c r="BC269" s="855">
        <v>2528.8431909999999</v>
      </c>
      <c r="BD269" s="855"/>
      <c r="BE269" s="855"/>
      <c r="BF269" s="855"/>
      <c r="BG269" s="855"/>
      <c r="BH269" s="855"/>
      <c r="BI269" s="855"/>
      <c r="BJ269" s="855"/>
      <c r="BK269" s="855"/>
      <c r="BL269" s="855"/>
      <c r="BM269" s="855"/>
      <c r="BN269" s="855"/>
      <c r="BO269" s="848">
        <f t="shared" si="232"/>
        <v>2491.1184640000001</v>
      </c>
      <c r="BP269" s="855"/>
      <c r="BQ269" s="855"/>
      <c r="BR269" s="855"/>
      <c r="BS269" s="855">
        <v>2491.1184640000001</v>
      </c>
      <c r="BT269" s="855"/>
      <c r="BU269" s="855"/>
      <c r="BV269" s="855"/>
      <c r="BW269" s="855"/>
      <c r="BX269" s="855"/>
      <c r="BY269" s="855"/>
      <c r="BZ269" s="855"/>
      <c r="CA269" s="855"/>
      <c r="CB269" s="855"/>
      <c r="CC269" s="855"/>
      <c r="CD269" s="855"/>
      <c r="CE269" s="855"/>
      <c r="CF269" s="848">
        <f t="shared" si="233"/>
        <v>98.508221975397291</v>
      </c>
      <c r="CG269" s="848"/>
      <c r="CH269" s="848"/>
      <c r="CI269" s="848"/>
      <c r="CJ269" s="848">
        <f t="shared" si="182"/>
        <v>98.508221975397291</v>
      </c>
      <c r="CK269" s="848"/>
      <c r="CL269" s="848"/>
      <c r="CM269" s="848"/>
      <c r="CN269" s="848"/>
      <c r="CO269" s="848"/>
      <c r="CP269" s="848"/>
      <c r="CQ269" s="848"/>
      <c r="CR269" s="848"/>
      <c r="CS269" s="848">
        <f t="shared" si="233"/>
        <v>0</v>
      </c>
      <c r="CT269" s="848"/>
      <c r="CU269" s="848"/>
      <c r="CV269" s="848"/>
      <c r="CW269" s="848"/>
    </row>
    <row r="270" spans="1:101" ht="28.15" customHeight="1">
      <c r="A270" s="845" t="s">
        <v>829</v>
      </c>
      <c r="B270" s="845"/>
      <c r="C270" s="857" t="s">
        <v>830</v>
      </c>
      <c r="D270" s="846">
        <f>D271</f>
        <v>0</v>
      </c>
      <c r="E270" s="845">
        <f t="shared" ref="E270:S271" si="235">E271</f>
        <v>0</v>
      </c>
      <c r="F270" s="847"/>
      <c r="G270" s="845"/>
      <c r="H270" s="850">
        <f t="shared" si="220"/>
        <v>53181.61</v>
      </c>
      <c r="I270" s="848">
        <f t="shared" ref="I270:BQ271" si="236">I271</f>
        <v>0</v>
      </c>
      <c r="J270" s="848">
        <f t="shared" si="236"/>
        <v>53181.61</v>
      </c>
      <c r="K270" s="848">
        <f t="shared" si="236"/>
        <v>0</v>
      </c>
      <c r="L270" s="848">
        <f t="shared" si="236"/>
        <v>0</v>
      </c>
      <c r="M270" s="848">
        <f t="shared" si="236"/>
        <v>0</v>
      </c>
      <c r="N270" s="848">
        <f t="shared" si="236"/>
        <v>0</v>
      </c>
      <c r="O270" s="848">
        <f t="shared" si="236"/>
        <v>0</v>
      </c>
      <c r="P270" s="848">
        <f t="shared" si="236"/>
        <v>0</v>
      </c>
      <c r="Q270" s="848">
        <f t="shared" si="236"/>
        <v>0</v>
      </c>
      <c r="R270" s="848">
        <v>0</v>
      </c>
      <c r="S270" s="848">
        <f t="shared" si="236"/>
        <v>0</v>
      </c>
      <c r="T270" s="848">
        <f t="shared" si="236"/>
        <v>18870.91</v>
      </c>
      <c r="U270" s="848">
        <f t="shared" si="236"/>
        <v>0</v>
      </c>
      <c r="V270" s="848">
        <f t="shared" si="236"/>
        <v>0</v>
      </c>
      <c r="W270" s="848">
        <f t="shared" si="236"/>
        <v>18870.91</v>
      </c>
      <c r="X270" s="848">
        <f t="shared" si="236"/>
        <v>0</v>
      </c>
      <c r="Y270" s="848">
        <f t="shared" si="236"/>
        <v>0</v>
      </c>
      <c r="Z270" s="848">
        <f t="shared" si="236"/>
        <v>0</v>
      </c>
      <c r="AA270" s="848">
        <f t="shared" si="236"/>
        <v>0</v>
      </c>
      <c r="AB270" s="848">
        <f t="shared" si="236"/>
        <v>0</v>
      </c>
      <c r="AC270" s="848">
        <f t="shared" si="236"/>
        <v>0</v>
      </c>
      <c r="AD270" s="848">
        <f t="shared" si="236"/>
        <v>0</v>
      </c>
      <c r="AE270" s="848">
        <f t="shared" si="236"/>
        <v>0</v>
      </c>
      <c r="AF270" s="848">
        <f t="shared" si="236"/>
        <v>0</v>
      </c>
      <c r="AG270" s="848">
        <f t="shared" si="236"/>
        <v>0</v>
      </c>
      <c r="AH270" s="848">
        <f t="shared" si="236"/>
        <v>0</v>
      </c>
      <c r="AI270" s="848">
        <f t="shared" si="236"/>
        <v>18061.580000000002</v>
      </c>
      <c r="AJ270" s="848">
        <f t="shared" si="236"/>
        <v>0</v>
      </c>
      <c r="AK270" s="848">
        <f t="shared" si="236"/>
        <v>0</v>
      </c>
      <c r="AL270" s="848">
        <f t="shared" si="236"/>
        <v>18061.580000000002</v>
      </c>
      <c r="AM270" s="848">
        <f t="shared" si="236"/>
        <v>0</v>
      </c>
      <c r="AN270" s="848">
        <f t="shared" si="236"/>
        <v>0</v>
      </c>
      <c r="AO270" s="848">
        <f t="shared" si="236"/>
        <v>0</v>
      </c>
      <c r="AP270" s="848">
        <f t="shared" si="236"/>
        <v>0</v>
      </c>
      <c r="AQ270" s="848">
        <f t="shared" si="236"/>
        <v>0</v>
      </c>
      <c r="AR270" s="848">
        <f t="shared" si="236"/>
        <v>0</v>
      </c>
      <c r="AS270" s="848"/>
      <c r="AT270" s="848">
        <f t="shared" si="236"/>
        <v>0</v>
      </c>
      <c r="AU270" s="848">
        <f t="shared" si="236"/>
        <v>0</v>
      </c>
      <c r="AV270" s="848">
        <f t="shared" si="236"/>
        <v>0</v>
      </c>
      <c r="AW270" s="848">
        <f t="shared" si="236"/>
        <v>0</v>
      </c>
      <c r="AX270" s="848">
        <f t="shared" si="236"/>
        <v>0</v>
      </c>
      <c r="AY270" s="848">
        <f t="shared" si="236"/>
        <v>8399.6690729999991</v>
      </c>
      <c r="AZ270" s="848">
        <f t="shared" si="236"/>
        <v>0</v>
      </c>
      <c r="BA270" s="848">
        <f t="shared" si="236"/>
        <v>0</v>
      </c>
      <c r="BB270" s="848">
        <f t="shared" si="236"/>
        <v>0</v>
      </c>
      <c r="BC270" s="848">
        <f t="shared" si="236"/>
        <v>8399.6690729999991</v>
      </c>
      <c r="BD270" s="848">
        <f t="shared" si="236"/>
        <v>0</v>
      </c>
      <c r="BE270" s="848">
        <f t="shared" si="236"/>
        <v>0</v>
      </c>
      <c r="BF270" s="848">
        <f t="shared" si="236"/>
        <v>0</v>
      </c>
      <c r="BG270" s="848">
        <f t="shared" si="236"/>
        <v>0</v>
      </c>
      <c r="BH270" s="848">
        <f t="shared" si="236"/>
        <v>0</v>
      </c>
      <c r="BI270" s="848">
        <f t="shared" si="236"/>
        <v>0</v>
      </c>
      <c r="BJ270" s="848">
        <f t="shared" si="236"/>
        <v>0</v>
      </c>
      <c r="BK270" s="848">
        <f t="shared" si="236"/>
        <v>0</v>
      </c>
      <c r="BL270" s="848">
        <f t="shared" si="236"/>
        <v>0</v>
      </c>
      <c r="BM270" s="848">
        <f t="shared" si="236"/>
        <v>0</v>
      </c>
      <c r="BN270" s="848">
        <f t="shared" si="236"/>
        <v>0</v>
      </c>
      <c r="BO270" s="848">
        <f t="shared" si="232"/>
        <v>10487.189073</v>
      </c>
      <c r="BP270" s="848">
        <f t="shared" si="236"/>
        <v>0</v>
      </c>
      <c r="BQ270" s="848">
        <f t="shared" si="236"/>
        <v>0</v>
      </c>
      <c r="BR270" s="848">
        <f t="shared" ref="BR270:CS271" si="237">BR271</f>
        <v>0</v>
      </c>
      <c r="BS270" s="848">
        <f t="shared" si="237"/>
        <v>10487.189073</v>
      </c>
      <c r="BT270" s="848">
        <f t="shared" si="237"/>
        <v>0</v>
      </c>
      <c r="BU270" s="848">
        <f t="shared" si="237"/>
        <v>0</v>
      </c>
      <c r="BV270" s="848">
        <f t="shared" si="237"/>
        <v>0</v>
      </c>
      <c r="BW270" s="848">
        <f t="shared" si="237"/>
        <v>0</v>
      </c>
      <c r="BX270" s="848">
        <f t="shared" si="237"/>
        <v>0</v>
      </c>
      <c r="BY270" s="848">
        <f t="shared" si="237"/>
        <v>0</v>
      </c>
      <c r="BZ270" s="848">
        <f t="shared" si="237"/>
        <v>0</v>
      </c>
      <c r="CA270" s="848">
        <f t="shared" si="237"/>
        <v>0</v>
      </c>
      <c r="CB270" s="848">
        <f t="shared" si="237"/>
        <v>0</v>
      </c>
      <c r="CC270" s="848">
        <f t="shared" si="237"/>
        <v>0</v>
      </c>
      <c r="CD270" s="848">
        <f t="shared" si="237"/>
        <v>0</v>
      </c>
      <c r="CE270" s="848">
        <f t="shared" si="237"/>
        <v>0</v>
      </c>
      <c r="CF270" s="848">
        <f>BO269/AY269%</f>
        <v>98.508221975397291</v>
      </c>
      <c r="CG270" s="848"/>
      <c r="CH270" s="848"/>
      <c r="CI270" s="848"/>
      <c r="CJ270" s="848">
        <f t="shared" si="182"/>
        <v>124.85240765865586</v>
      </c>
      <c r="CK270" s="848"/>
      <c r="CL270" s="848"/>
      <c r="CM270" s="848"/>
      <c r="CN270" s="848"/>
      <c r="CO270" s="848"/>
      <c r="CP270" s="848"/>
      <c r="CQ270" s="848"/>
      <c r="CR270" s="848"/>
      <c r="CS270" s="848"/>
      <c r="CT270" s="848"/>
      <c r="CU270" s="848"/>
      <c r="CV270" s="848"/>
      <c r="CW270" s="848"/>
    </row>
    <row r="271" spans="1:101" ht="24.75" customHeight="1">
      <c r="A271" s="845"/>
      <c r="B271" s="845"/>
      <c r="C271" s="852" t="s">
        <v>795</v>
      </c>
      <c r="D271" s="846">
        <f>D272</f>
        <v>0</v>
      </c>
      <c r="E271" s="845">
        <f t="shared" si="235"/>
        <v>0</v>
      </c>
      <c r="F271" s="847"/>
      <c r="G271" s="845"/>
      <c r="H271" s="850">
        <f t="shared" si="220"/>
        <v>53181.61</v>
      </c>
      <c r="I271" s="848">
        <f t="shared" si="235"/>
        <v>0</v>
      </c>
      <c r="J271" s="848">
        <f t="shared" si="235"/>
        <v>53181.61</v>
      </c>
      <c r="K271" s="848">
        <f t="shared" si="235"/>
        <v>0</v>
      </c>
      <c r="L271" s="848">
        <f t="shared" si="235"/>
        <v>0</v>
      </c>
      <c r="M271" s="848">
        <f t="shared" si="235"/>
        <v>0</v>
      </c>
      <c r="N271" s="848">
        <f t="shared" si="235"/>
        <v>0</v>
      </c>
      <c r="O271" s="848">
        <f t="shared" si="235"/>
        <v>0</v>
      </c>
      <c r="P271" s="848">
        <f t="shared" si="235"/>
        <v>0</v>
      </c>
      <c r="Q271" s="848">
        <f t="shared" si="235"/>
        <v>0</v>
      </c>
      <c r="R271" s="848">
        <v>0</v>
      </c>
      <c r="S271" s="848">
        <f t="shared" si="235"/>
        <v>0</v>
      </c>
      <c r="T271" s="848">
        <f t="shared" si="236"/>
        <v>18870.91</v>
      </c>
      <c r="U271" s="848">
        <f t="shared" si="236"/>
        <v>0</v>
      </c>
      <c r="V271" s="848">
        <f t="shared" si="236"/>
        <v>0</v>
      </c>
      <c r="W271" s="848">
        <f t="shared" si="236"/>
        <v>18870.91</v>
      </c>
      <c r="X271" s="848">
        <f t="shared" si="236"/>
        <v>0</v>
      </c>
      <c r="Y271" s="848">
        <f t="shared" si="236"/>
        <v>0</v>
      </c>
      <c r="Z271" s="848">
        <f t="shared" si="236"/>
        <v>0</v>
      </c>
      <c r="AA271" s="848">
        <f t="shared" si="236"/>
        <v>0</v>
      </c>
      <c r="AB271" s="848">
        <f t="shared" si="236"/>
        <v>0</v>
      </c>
      <c r="AC271" s="848">
        <f t="shared" si="236"/>
        <v>0</v>
      </c>
      <c r="AD271" s="848">
        <f t="shared" si="236"/>
        <v>0</v>
      </c>
      <c r="AE271" s="848">
        <f t="shared" si="236"/>
        <v>0</v>
      </c>
      <c r="AF271" s="848">
        <f t="shared" si="236"/>
        <v>0</v>
      </c>
      <c r="AG271" s="848">
        <f t="shared" si="236"/>
        <v>0</v>
      </c>
      <c r="AH271" s="848">
        <f t="shared" si="236"/>
        <v>0</v>
      </c>
      <c r="AI271" s="848">
        <f t="shared" si="236"/>
        <v>18061.580000000002</v>
      </c>
      <c r="AJ271" s="848">
        <f t="shared" si="236"/>
        <v>0</v>
      </c>
      <c r="AK271" s="848">
        <f t="shared" si="236"/>
        <v>0</v>
      </c>
      <c r="AL271" s="848">
        <f t="shared" si="236"/>
        <v>18061.580000000002</v>
      </c>
      <c r="AM271" s="848">
        <f t="shared" si="236"/>
        <v>0</v>
      </c>
      <c r="AN271" s="848">
        <f t="shared" si="236"/>
        <v>0</v>
      </c>
      <c r="AO271" s="848">
        <f t="shared" si="236"/>
        <v>0</v>
      </c>
      <c r="AP271" s="848">
        <f t="shared" si="236"/>
        <v>0</v>
      </c>
      <c r="AQ271" s="848">
        <f t="shared" si="236"/>
        <v>0</v>
      </c>
      <c r="AR271" s="848">
        <f t="shared" si="236"/>
        <v>0</v>
      </c>
      <c r="AS271" s="848"/>
      <c r="AT271" s="848">
        <f t="shared" si="236"/>
        <v>0</v>
      </c>
      <c r="AU271" s="848">
        <f t="shared" si="236"/>
        <v>0</v>
      </c>
      <c r="AV271" s="848">
        <f t="shared" si="236"/>
        <v>0</v>
      </c>
      <c r="AW271" s="848">
        <f t="shared" si="236"/>
        <v>0</v>
      </c>
      <c r="AX271" s="848">
        <f t="shared" si="236"/>
        <v>0</v>
      </c>
      <c r="AY271" s="848">
        <f t="shared" si="236"/>
        <v>8399.6690729999991</v>
      </c>
      <c r="AZ271" s="848">
        <f t="shared" si="236"/>
        <v>0</v>
      </c>
      <c r="BA271" s="848">
        <f t="shared" si="236"/>
        <v>0</v>
      </c>
      <c r="BB271" s="848">
        <f t="shared" si="236"/>
        <v>0</v>
      </c>
      <c r="BC271" s="848">
        <f t="shared" si="236"/>
        <v>8399.6690729999991</v>
      </c>
      <c r="BD271" s="848">
        <f t="shared" si="236"/>
        <v>0</v>
      </c>
      <c r="BE271" s="848">
        <f t="shared" si="236"/>
        <v>0</v>
      </c>
      <c r="BF271" s="848">
        <f t="shared" si="236"/>
        <v>0</v>
      </c>
      <c r="BG271" s="848">
        <f t="shared" si="236"/>
        <v>0</v>
      </c>
      <c r="BH271" s="848">
        <f t="shared" si="236"/>
        <v>0</v>
      </c>
      <c r="BI271" s="848">
        <f t="shared" si="236"/>
        <v>0</v>
      </c>
      <c r="BJ271" s="848">
        <f t="shared" si="236"/>
        <v>0</v>
      </c>
      <c r="BK271" s="848">
        <f t="shared" si="236"/>
        <v>0</v>
      </c>
      <c r="BL271" s="848">
        <f t="shared" si="236"/>
        <v>0</v>
      </c>
      <c r="BM271" s="848">
        <f t="shared" si="236"/>
        <v>0</v>
      </c>
      <c r="BN271" s="848">
        <f t="shared" si="236"/>
        <v>0</v>
      </c>
      <c r="BO271" s="848">
        <f t="shared" si="232"/>
        <v>10487.189073</v>
      </c>
      <c r="BP271" s="848">
        <f t="shared" si="236"/>
        <v>0</v>
      </c>
      <c r="BQ271" s="848">
        <f t="shared" si="236"/>
        <v>0</v>
      </c>
      <c r="BR271" s="848">
        <f t="shared" si="237"/>
        <v>0</v>
      </c>
      <c r="BS271" s="848">
        <f t="shared" si="237"/>
        <v>10487.189073</v>
      </c>
      <c r="BT271" s="848">
        <f t="shared" si="237"/>
        <v>0</v>
      </c>
      <c r="BU271" s="848">
        <f t="shared" si="237"/>
        <v>0</v>
      </c>
      <c r="BV271" s="848">
        <f t="shared" si="237"/>
        <v>0</v>
      </c>
      <c r="BW271" s="848">
        <f t="shared" si="237"/>
        <v>0</v>
      </c>
      <c r="BX271" s="848">
        <f t="shared" si="237"/>
        <v>0</v>
      </c>
      <c r="BY271" s="848">
        <f t="shared" si="237"/>
        <v>0</v>
      </c>
      <c r="BZ271" s="848">
        <f t="shared" si="237"/>
        <v>0</v>
      </c>
      <c r="CA271" s="848">
        <f t="shared" si="237"/>
        <v>0</v>
      </c>
      <c r="CB271" s="848">
        <f t="shared" si="237"/>
        <v>0</v>
      </c>
      <c r="CC271" s="848">
        <f t="shared" si="237"/>
        <v>0</v>
      </c>
      <c r="CD271" s="848">
        <f t="shared" si="237"/>
        <v>0</v>
      </c>
      <c r="CE271" s="848">
        <f t="shared" si="237"/>
        <v>0</v>
      </c>
      <c r="CF271" s="848">
        <f t="shared" si="237"/>
        <v>124.85240765865586</v>
      </c>
      <c r="CG271" s="848"/>
      <c r="CH271" s="848"/>
      <c r="CI271" s="848"/>
      <c r="CJ271" s="848">
        <f t="shared" si="182"/>
        <v>124.85240765865586</v>
      </c>
      <c r="CK271" s="848"/>
      <c r="CL271" s="848"/>
      <c r="CM271" s="848"/>
      <c r="CN271" s="848"/>
      <c r="CO271" s="848"/>
      <c r="CP271" s="848"/>
      <c r="CQ271" s="848"/>
      <c r="CR271" s="848"/>
      <c r="CS271" s="848">
        <f t="shared" si="237"/>
        <v>0</v>
      </c>
      <c r="CT271" s="848"/>
      <c r="CU271" s="848"/>
      <c r="CV271" s="848"/>
      <c r="CW271" s="848"/>
    </row>
    <row r="272" spans="1:101" ht="24.75" customHeight="1">
      <c r="A272" s="845"/>
      <c r="B272" s="852" t="s">
        <v>830</v>
      </c>
      <c r="C272" s="852" t="s">
        <v>831</v>
      </c>
      <c r="D272" s="846"/>
      <c r="E272" s="845"/>
      <c r="F272" s="853" t="s">
        <v>802</v>
      </c>
      <c r="G272" s="846" t="s">
        <v>832</v>
      </c>
      <c r="H272" s="850">
        <f t="shared" si="220"/>
        <v>53181.61</v>
      </c>
      <c r="I272" s="876"/>
      <c r="J272" s="876">
        <v>53181.61</v>
      </c>
      <c r="K272" s="848"/>
      <c r="L272" s="848"/>
      <c r="M272" s="848"/>
      <c r="N272" s="848"/>
      <c r="O272" s="848"/>
      <c r="P272" s="848"/>
      <c r="Q272" s="848"/>
      <c r="R272" s="848"/>
      <c r="S272" s="848"/>
      <c r="T272" s="855">
        <f t="shared" ref="T272:T336" si="238">SUM(U272:AH272)</f>
        <v>18870.91</v>
      </c>
      <c r="U272" s="848"/>
      <c r="V272" s="848"/>
      <c r="W272" s="855">
        <v>18870.91</v>
      </c>
      <c r="X272" s="848"/>
      <c r="Y272" s="848"/>
      <c r="Z272" s="848"/>
      <c r="AA272" s="848"/>
      <c r="AB272" s="848"/>
      <c r="AC272" s="848"/>
      <c r="AD272" s="848"/>
      <c r="AE272" s="848"/>
      <c r="AF272" s="848"/>
      <c r="AG272" s="848"/>
      <c r="AH272" s="855"/>
      <c r="AI272" s="855">
        <f>AL272</f>
        <v>18061.580000000002</v>
      </c>
      <c r="AJ272" s="855"/>
      <c r="AK272" s="855"/>
      <c r="AL272" s="855">
        <v>18061.580000000002</v>
      </c>
      <c r="AM272" s="855"/>
      <c r="AN272" s="855"/>
      <c r="AO272" s="855"/>
      <c r="AP272" s="855"/>
      <c r="AQ272" s="855"/>
      <c r="AR272" s="855"/>
      <c r="AS272" s="855"/>
      <c r="AT272" s="855"/>
      <c r="AU272" s="855"/>
      <c r="AV272" s="855"/>
      <c r="AW272" s="855"/>
      <c r="AX272" s="855"/>
      <c r="AY272" s="855">
        <f t="shared" ref="AY272" si="239">SUM(AZ272:BN272)</f>
        <v>8399.6690729999991</v>
      </c>
      <c r="AZ272" s="855"/>
      <c r="BA272" s="855"/>
      <c r="BB272" s="855"/>
      <c r="BC272" s="855">
        <f>'[10]bieu cu'!H280</f>
        <v>8399.6690729999991</v>
      </c>
      <c r="BD272" s="855"/>
      <c r="BE272" s="855"/>
      <c r="BF272" s="855"/>
      <c r="BG272" s="855"/>
      <c r="BH272" s="855"/>
      <c r="BI272" s="855"/>
      <c r="BJ272" s="855"/>
      <c r="BK272" s="855"/>
      <c r="BL272" s="855"/>
      <c r="BM272" s="855"/>
      <c r="BN272" s="855"/>
      <c r="BO272" s="848">
        <f t="shared" si="232"/>
        <v>10487.189073</v>
      </c>
      <c r="BP272" s="855"/>
      <c r="BQ272" s="855"/>
      <c r="BR272" s="855"/>
      <c r="BS272" s="855">
        <v>10487.189073</v>
      </c>
      <c r="BT272" s="855"/>
      <c r="BU272" s="855"/>
      <c r="BV272" s="855"/>
      <c r="BW272" s="855"/>
      <c r="BX272" s="855"/>
      <c r="BY272" s="855"/>
      <c r="BZ272" s="855"/>
      <c r="CA272" s="855"/>
      <c r="CB272" s="855"/>
      <c r="CC272" s="855"/>
      <c r="CD272" s="855"/>
      <c r="CE272" s="855"/>
      <c r="CF272" s="848">
        <f>BO271/AY271%</f>
        <v>124.85240765865586</v>
      </c>
      <c r="CG272" s="848"/>
      <c r="CH272" s="848"/>
      <c r="CI272" s="848"/>
      <c r="CJ272" s="848">
        <f t="shared" si="182"/>
        <v>124.85240765865586</v>
      </c>
      <c r="CK272" s="848"/>
      <c r="CL272" s="848"/>
      <c r="CM272" s="848"/>
      <c r="CN272" s="848"/>
      <c r="CO272" s="848"/>
      <c r="CP272" s="848"/>
      <c r="CQ272" s="848"/>
      <c r="CR272" s="848"/>
      <c r="CS272" s="848"/>
      <c r="CT272" s="848"/>
      <c r="CU272" s="848"/>
      <c r="CV272" s="848"/>
      <c r="CW272" s="848"/>
    </row>
    <row r="273" spans="1:101" ht="24.75" customHeight="1">
      <c r="A273" s="845" t="s">
        <v>833</v>
      </c>
      <c r="B273" s="845"/>
      <c r="C273" s="857" t="s">
        <v>834</v>
      </c>
      <c r="D273" s="846">
        <f>D274</f>
        <v>0</v>
      </c>
      <c r="E273" s="845">
        <f t="shared" ref="E273" si="240">E274</f>
        <v>0</v>
      </c>
      <c r="F273" s="847"/>
      <c r="G273" s="845"/>
      <c r="H273" s="850">
        <f t="shared" si="220"/>
        <v>56005.279999999999</v>
      </c>
      <c r="I273" s="848">
        <f t="shared" ref="I273:BT273" si="241">I274</f>
        <v>10015</v>
      </c>
      <c r="J273" s="848">
        <f t="shared" si="241"/>
        <v>0</v>
      </c>
      <c r="K273" s="848">
        <f t="shared" si="241"/>
        <v>0</v>
      </c>
      <c r="L273" s="848">
        <f t="shared" si="241"/>
        <v>0</v>
      </c>
      <c r="M273" s="848">
        <f t="shared" si="241"/>
        <v>0</v>
      </c>
      <c r="N273" s="848">
        <f t="shared" si="241"/>
        <v>0</v>
      </c>
      <c r="O273" s="848">
        <f t="shared" si="241"/>
        <v>29640.28</v>
      </c>
      <c r="P273" s="848">
        <f t="shared" si="241"/>
        <v>0</v>
      </c>
      <c r="Q273" s="848">
        <f t="shared" si="241"/>
        <v>0</v>
      </c>
      <c r="R273" s="848">
        <v>0</v>
      </c>
      <c r="S273" s="848">
        <f t="shared" si="241"/>
        <v>16350</v>
      </c>
      <c r="T273" s="848">
        <f t="shared" si="241"/>
        <v>49312.238000000005</v>
      </c>
      <c r="U273" s="848">
        <f t="shared" si="241"/>
        <v>4078.8429999999998</v>
      </c>
      <c r="V273" s="848">
        <f t="shared" si="241"/>
        <v>0</v>
      </c>
      <c r="W273" s="848">
        <f t="shared" si="241"/>
        <v>10137.419</v>
      </c>
      <c r="X273" s="848">
        <f t="shared" si="241"/>
        <v>0</v>
      </c>
      <c r="Y273" s="848">
        <f t="shared" si="241"/>
        <v>0</v>
      </c>
      <c r="Z273" s="848">
        <f t="shared" si="241"/>
        <v>0</v>
      </c>
      <c r="AA273" s="848">
        <f t="shared" si="241"/>
        <v>0</v>
      </c>
      <c r="AB273" s="848">
        <f t="shared" si="241"/>
        <v>102.6</v>
      </c>
      <c r="AC273" s="848">
        <f t="shared" si="241"/>
        <v>0</v>
      </c>
      <c r="AD273" s="848">
        <f t="shared" si="241"/>
        <v>0</v>
      </c>
      <c r="AE273" s="848">
        <f t="shared" si="241"/>
        <v>7387.1660000000002</v>
      </c>
      <c r="AF273" s="848">
        <f t="shared" si="241"/>
        <v>19485.241000000002</v>
      </c>
      <c r="AG273" s="848">
        <f t="shared" si="241"/>
        <v>0</v>
      </c>
      <c r="AH273" s="848">
        <f t="shared" si="241"/>
        <v>8120.9690000000001</v>
      </c>
      <c r="AI273" s="848">
        <f t="shared" si="241"/>
        <v>38122</v>
      </c>
      <c r="AJ273" s="848">
        <f t="shared" si="241"/>
        <v>13506</v>
      </c>
      <c r="AK273" s="848">
        <f t="shared" si="241"/>
        <v>0</v>
      </c>
      <c r="AL273" s="848">
        <f t="shared" si="241"/>
        <v>0</v>
      </c>
      <c r="AM273" s="848">
        <f t="shared" si="241"/>
        <v>0</v>
      </c>
      <c r="AN273" s="848">
        <f t="shared" si="241"/>
        <v>0</v>
      </c>
      <c r="AO273" s="848">
        <f t="shared" si="241"/>
        <v>0</v>
      </c>
      <c r="AP273" s="848">
        <f t="shared" si="241"/>
        <v>0</v>
      </c>
      <c r="AQ273" s="848">
        <f t="shared" si="241"/>
        <v>103</v>
      </c>
      <c r="AR273" s="848">
        <f t="shared" si="241"/>
        <v>0</v>
      </c>
      <c r="AS273" s="848">
        <f t="shared" si="241"/>
        <v>4513</v>
      </c>
      <c r="AT273" s="848">
        <f t="shared" si="241"/>
        <v>20000</v>
      </c>
      <c r="AU273" s="848">
        <f t="shared" si="241"/>
        <v>0</v>
      </c>
      <c r="AV273" s="848">
        <f t="shared" si="241"/>
        <v>0</v>
      </c>
      <c r="AW273" s="848">
        <f t="shared" si="241"/>
        <v>0</v>
      </c>
      <c r="AX273" s="848">
        <f t="shared" si="241"/>
        <v>0</v>
      </c>
      <c r="AY273" s="848">
        <f t="shared" si="241"/>
        <v>615</v>
      </c>
      <c r="AZ273" s="848">
        <f t="shared" si="241"/>
        <v>0</v>
      </c>
      <c r="BA273" s="848">
        <f t="shared" si="241"/>
        <v>0</v>
      </c>
      <c r="BB273" s="848">
        <f t="shared" si="241"/>
        <v>0</v>
      </c>
      <c r="BC273" s="848">
        <f t="shared" si="241"/>
        <v>0</v>
      </c>
      <c r="BD273" s="848">
        <f t="shared" si="241"/>
        <v>0</v>
      </c>
      <c r="BE273" s="848">
        <f t="shared" si="241"/>
        <v>0</v>
      </c>
      <c r="BF273" s="848">
        <f t="shared" si="241"/>
        <v>0</v>
      </c>
      <c r="BG273" s="848">
        <f t="shared" si="241"/>
        <v>0</v>
      </c>
      <c r="BH273" s="848">
        <f t="shared" si="241"/>
        <v>0</v>
      </c>
      <c r="BI273" s="848">
        <f t="shared" si="241"/>
        <v>0</v>
      </c>
      <c r="BJ273" s="848">
        <f t="shared" si="241"/>
        <v>0</v>
      </c>
      <c r="BK273" s="848">
        <f t="shared" si="241"/>
        <v>0</v>
      </c>
      <c r="BL273" s="848">
        <f t="shared" si="241"/>
        <v>0</v>
      </c>
      <c r="BM273" s="848">
        <f t="shared" si="241"/>
        <v>0</v>
      </c>
      <c r="BN273" s="848">
        <f t="shared" si="241"/>
        <v>615</v>
      </c>
      <c r="BO273" s="848">
        <f t="shared" si="232"/>
        <v>19899.039386</v>
      </c>
      <c r="BP273" s="848">
        <f t="shared" si="241"/>
        <v>10630.804386</v>
      </c>
      <c r="BQ273" s="848">
        <f t="shared" si="241"/>
        <v>0</v>
      </c>
      <c r="BR273" s="848">
        <f t="shared" si="241"/>
        <v>0</v>
      </c>
      <c r="BS273" s="848">
        <f t="shared" si="241"/>
        <v>0</v>
      </c>
      <c r="BT273" s="848">
        <f t="shared" si="241"/>
        <v>0</v>
      </c>
      <c r="BU273" s="848">
        <f t="shared" ref="BU273:CS274" si="242">BU274</f>
        <v>0</v>
      </c>
      <c r="BV273" s="848">
        <f t="shared" si="242"/>
        <v>0</v>
      </c>
      <c r="BW273" s="848">
        <f t="shared" si="242"/>
        <v>0</v>
      </c>
      <c r="BX273" s="848">
        <f t="shared" si="242"/>
        <v>0</v>
      </c>
      <c r="BY273" s="848">
        <f t="shared" si="242"/>
        <v>0</v>
      </c>
      <c r="BZ273" s="848">
        <f t="shared" si="242"/>
        <v>0</v>
      </c>
      <c r="CA273" s="848">
        <f t="shared" si="242"/>
        <v>0</v>
      </c>
      <c r="CB273" s="848">
        <f t="shared" si="242"/>
        <v>7927.6</v>
      </c>
      <c r="CC273" s="848">
        <f t="shared" si="242"/>
        <v>0</v>
      </c>
      <c r="CD273" s="848">
        <f t="shared" si="242"/>
        <v>0</v>
      </c>
      <c r="CE273" s="848">
        <f t="shared" si="242"/>
        <v>1340.635</v>
      </c>
      <c r="CF273" s="848">
        <f>BO272/AY272%</f>
        <v>124.85240765865586</v>
      </c>
      <c r="CG273" s="848"/>
      <c r="CH273" s="848"/>
      <c r="CI273" s="848"/>
      <c r="CJ273" s="848"/>
      <c r="CK273" s="848"/>
      <c r="CL273" s="848"/>
      <c r="CM273" s="848"/>
      <c r="CN273" s="848"/>
      <c r="CO273" s="848"/>
      <c r="CP273" s="848"/>
      <c r="CQ273" s="848"/>
      <c r="CR273" s="848"/>
      <c r="CS273" s="848"/>
      <c r="CT273" s="848"/>
      <c r="CU273" s="848"/>
      <c r="CV273" s="848"/>
      <c r="CW273" s="848">
        <f t="shared" ref="CW273:CW333" si="243">CE273/BN273*100</f>
        <v>217.98943089430892</v>
      </c>
    </row>
    <row r="274" spans="1:101" s="851" customFormat="1" ht="24.75" customHeight="1">
      <c r="A274" s="845"/>
      <c r="B274" s="845"/>
      <c r="C274" s="857" t="s">
        <v>358</v>
      </c>
      <c r="D274" s="846">
        <f t="shared" ref="D274:E274" si="244">D277+D278</f>
        <v>0</v>
      </c>
      <c r="E274" s="845">
        <f t="shared" si="244"/>
        <v>0</v>
      </c>
      <c r="F274" s="847"/>
      <c r="G274" s="845"/>
      <c r="H274" s="850">
        <f t="shared" si="220"/>
        <v>56005.279999999999</v>
      </c>
      <c r="I274" s="848">
        <f t="shared" ref="I274:BQ274" si="245">SUM(I275:I317)</f>
        <v>10015</v>
      </c>
      <c r="J274" s="848">
        <f t="shared" si="245"/>
        <v>0</v>
      </c>
      <c r="K274" s="848">
        <f t="shared" si="245"/>
        <v>0</v>
      </c>
      <c r="L274" s="848">
        <f t="shared" si="245"/>
        <v>0</v>
      </c>
      <c r="M274" s="848">
        <f t="shared" si="245"/>
        <v>0</v>
      </c>
      <c r="N274" s="848">
        <f t="shared" si="245"/>
        <v>0</v>
      </c>
      <c r="O274" s="848">
        <f t="shared" si="245"/>
        <v>29640.28</v>
      </c>
      <c r="P274" s="848">
        <f t="shared" si="245"/>
        <v>0</v>
      </c>
      <c r="Q274" s="848">
        <f t="shared" si="245"/>
        <v>0</v>
      </c>
      <c r="R274" s="848">
        <v>0</v>
      </c>
      <c r="S274" s="848">
        <f t="shared" si="245"/>
        <v>16350</v>
      </c>
      <c r="T274" s="848">
        <f t="shared" si="245"/>
        <v>49312.238000000005</v>
      </c>
      <c r="U274" s="848">
        <f t="shared" si="245"/>
        <v>4078.8429999999998</v>
      </c>
      <c r="V274" s="848">
        <f t="shared" si="245"/>
        <v>0</v>
      </c>
      <c r="W274" s="848">
        <f t="shared" si="245"/>
        <v>10137.419</v>
      </c>
      <c r="X274" s="848">
        <f t="shared" si="245"/>
        <v>0</v>
      </c>
      <c r="Y274" s="848">
        <f t="shared" si="245"/>
        <v>0</v>
      </c>
      <c r="Z274" s="848">
        <f t="shared" si="245"/>
        <v>0</v>
      </c>
      <c r="AA274" s="848">
        <f t="shared" si="245"/>
        <v>0</v>
      </c>
      <c r="AB274" s="848">
        <f t="shared" si="245"/>
        <v>102.6</v>
      </c>
      <c r="AC274" s="848">
        <f t="shared" si="245"/>
        <v>0</v>
      </c>
      <c r="AD274" s="848">
        <f t="shared" si="245"/>
        <v>0</v>
      </c>
      <c r="AE274" s="848">
        <f t="shared" si="245"/>
        <v>7387.1660000000002</v>
      </c>
      <c r="AF274" s="848">
        <f t="shared" si="245"/>
        <v>19485.241000000002</v>
      </c>
      <c r="AG274" s="848">
        <f t="shared" si="245"/>
        <v>0</v>
      </c>
      <c r="AH274" s="848">
        <f t="shared" si="245"/>
        <v>8120.9690000000001</v>
      </c>
      <c r="AI274" s="848">
        <f t="shared" si="245"/>
        <v>38122</v>
      </c>
      <c r="AJ274" s="848">
        <f t="shared" si="245"/>
        <v>13506</v>
      </c>
      <c r="AK274" s="848">
        <f t="shared" si="245"/>
        <v>0</v>
      </c>
      <c r="AL274" s="848">
        <f t="shared" si="245"/>
        <v>0</v>
      </c>
      <c r="AM274" s="848">
        <f t="shared" si="245"/>
        <v>0</v>
      </c>
      <c r="AN274" s="848">
        <f t="shared" si="245"/>
        <v>0</v>
      </c>
      <c r="AO274" s="848">
        <f t="shared" si="245"/>
        <v>0</v>
      </c>
      <c r="AP274" s="848">
        <f t="shared" si="245"/>
        <v>0</v>
      </c>
      <c r="AQ274" s="848">
        <f t="shared" si="245"/>
        <v>103</v>
      </c>
      <c r="AR274" s="848">
        <f t="shared" si="245"/>
        <v>0</v>
      </c>
      <c r="AS274" s="848">
        <f t="shared" si="245"/>
        <v>4513</v>
      </c>
      <c r="AT274" s="848">
        <f t="shared" si="245"/>
        <v>20000</v>
      </c>
      <c r="AU274" s="848">
        <f t="shared" si="245"/>
        <v>0</v>
      </c>
      <c r="AV274" s="848">
        <f t="shared" si="245"/>
        <v>0</v>
      </c>
      <c r="AW274" s="848">
        <f t="shared" si="245"/>
        <v>0</v>
      </c>
      <c r="AX274" s="848">
        <f t="shared" si="245"/>
        <v>0</v>
      </c>
      <c r="AY274" s="848">
        <f t="shared" si="245"/>
        <v>615</v>
      </c>
      <c r="AZ274" s="848">
        <f t="shared" si="245"/>
        <v>0</v>
      </c>
      <c r="BA274" s="848">
        <f t="shared" si="245"/>
        <v>0</v>
      </c>
      <c r="BB274" s="848">
        <f t="shared" si="245"/>
        <v>0</v>
      </c>
      <c r="BC274" s="848">
        <f t="shared" si="245"/>
        <v>0</v>
      </c>
      <c r="BD274" s="848">
        <f t="shared" si="245"/>
        <v>0</v>
      </c>
      <c r="BE274" s="848">
        <f t="shared" si="245"/>
        <v>0</v>
      </c>
      <c r="BF274" s="848">
        <f t="shared" si="245"/>
        <v>0</v>
      </c>
      <c r="BG274" s="848">
        <f t="shared" si="245"/>
        <v>0</v>
      </c>
      <c r="BH274" s="848">
        <f t="shared" si="245"/>
        <v>0</v>
      </c>
      <c r="BI274" s="848">
        <f t="shared" si="245"/>
        <v>0</v>
      </c>
      <c r="BJ274" s="848">
        <f t="shared" si="245"/>
        <v>0</v>
      </c>
      <c r="BK274" s="848">
        <f t="shared" si="245"/>
        <v>0</v>
      </c>
      <c r="BL274" s="848">
        <f t="shared" si="245"/>
        <v>0</v>
      </c>
      <c r="BM274" s="848">
        <f t="shared" si="245"/>
        <v>0</v>
      </c>
      <c r="BN274" s="848">
        <f t="shared" si="245"/>
        <v>615</v>
      </c>
      <c r="BO274" s="848">
        <f t="shared" si="232"/>
        <v>19899.039386</v>
      </c>
      <c r="BP274" s="848">
        <f t="shared" si="245"/>
        <v>10630.804386</v>
      </c>
      <c r="BQ274" s="848">
        <f t="shared" si="245"/>
        <v>0</v>
      </c>
      <c r="BR274" s="848">
        <f t="shared" ref="BR274:CS275" si="246">SUM(BR275:BR317)</f>
        <v>0</v>
      </c>
      <c r="BS274" s="848">
        <f t="shared" si="246"/>
        <v>0</v>
      </c>
      <c r="BT274" s="848">
        <f t="shared" si="246"/>
        <v>0</v>
      </c>
      <c r="BU274" s="848">
        <f t="shared" si="246"/>
        <v>0</v>
      </c>
      <c r="BV274" s="848">
        <f t="shared" si="246"/>
        <v>0</v>
      </c>
      <c r="BW274" s="848">
        <f t="shared" si="246"/>
        <v>0</v>
      </c>
      <c r="BX274" s="848">
        <f t="shared" si="246"/>
        <v>0</v>
      </c>
      <c r="BY274" s="848">
        <f t="shared" si="246"/>
        <v>0</v>
      </c>
      <c r="BZ274" s="848">
        <f t="shared" si="246"/>
        <v>0</v>
      </c>
      <c r="CA274" s="848">
        <f t="shared" si="246"/>
        <v>0</v>
      </c>
      <c r="CB274" s="848">
        <f t="shared" si="246"/>
        <v>7927.6</v>
      </c>
      <c r="CC274" s="848">
        <f t="shared" si="246"/>
        <v>0</v>
      </c>
      <c r="CD274" s="848">
        <f t="shared" si="246"/>
        <v>0</v>
      </c>
      <c r="CE274" s="848">
        <f t="shared" si="246"/>
        <v>1340.635</v>
      </c>
      <c r="CF274" s="848">
        <f t="shared" si="242"/>
        <v>200</v>
      </c>
      <c r="CG274" s="848"/>
      <c r="CH274" s="848"/>
      <c r="CI274" s="848"/>
      <c r="CJ274" s="848"/>
      <c r="CK274" s="848"/>
      <c r="CL274" s="848"/>
      <c r="CM274" s="848"/>
      <c r="CN274" s="848"/>
      <c r="CO274" s="848"/>
      <c r="CP274" s="848"/>
      <c r="CQ274" s="848"/>
      <c r="CR274" s="848"/>
      <c r="CS274" s="848">
        <f t="shared" si="242"/>
        <v>0</v>
      </c>
      <c r="CT274" s="848"/>
      <c r="CU274" s="848"/>
      <c r="CV274" s="848"/>
      <c r="CW274" s="848">
        <f t="shared" si="243"/>
        <v>217.98943089430892</v>
      </c>
    </row>
    <row r="275" spans="1:101" s="851" customFormat="1" ht="39.6" customHeight="1">
      <c r="A275" s="845"/>
      <c r="B275" s="852" t="s">
        <v>834</v>
      </c>
      <c r="C275" s="852" t="s">
        <v>835</v>
      </c>
      <c r="D275" s="846"/>
      <c r="E275" s="845"/>
      <c r="F275" s="853" t="s">
        <v>544</v>
      </c>
      <c r="G275" s="846" t="s">
        <v>836</v>
      </c>
      <c r="H275" s="850">
        <f t="shared" si="220"/>
        <v>29640.28</v>
      </c>
      <c r="I275" s="855"/>
      <c r="J275" s="848"/>
      <c r="K275" s="848"/>
      <c r="L275" s="848"/>
      <c r="M275" s="848"/>
      <c r="N275" s="848"/>
      <c r="O275" s="855">
        <v>29640.28</v>
      </c>
      <c r="P275" s="848"/>
      <c r="Q275" s="848"/>
      <c r="R275" s="848"/>
      <c r="S275" s="848"/>
      <c r="T275" s="855">
        <f t="shared" si="238"/>
        <v>19485.241000000002</v>
      </c>
      <c r="U275" s="848"/>
      <c r="V275" s="848"/>
      <c r="W275" s="848"/>
      <c r="X275" s="848"/>
      <c r="Y275" s="848"/>
      <c r="Z275" s="848"/>
      <c r="AA275" s="848"/>
      <c r="AB275" s="848"/>
      <c r="AC275" s="848"/>
      <c r="AD275" s="848"/>
      <c r="AE275" s="848"/>
      <c r="AF275" s="855">
        <v>19485.241000000002</v>
      </c>
      <c r="AG275" s="848"/>
      <c r="AH275" s="848"/>
      <c r="AI275" s="855">
        <f>AT275</f>
        <v>20000</v>
      </c>
      <c r="AJ275" s="848"/>
      <c r="AK275" s="848"/>
      <c r="AL275" s="848"/>
      <c r="AM275" s="848"/>
      <c r="AN275" s="848"/>
      <c r="AO275" s="848"/>
      <c r="AP275" s="848"/>
      <c r="AQ275" s="848"/>
      <c r="AR275" s="848"/>
      <c r="AS275" s="848"/>
      <c r="AT275" s="855">
        <v>20000</v>
      </c>
      <c r="AU275" s="848"/>
      <c r="AV275" s="848"/>
      <c r="AW275" s="848"/>
      <c r="AX275" s="855"/>
      <c r="AY275" s="855">
        <f t="shared" ref="AY275:AY317" si="247">SUM(AZ275:BN275)</f>
        <v>0</v>
      </c>
      <c r="AZ275" s="848"/>
      <c r="BA275" s="848"/>
      <c r="BB275" s="848"/>
      <c r="BC275" s="848"/>
      <c r="BD275" s="848"/>
      <c r="BE275" s="848"/>
      <c r="BF275" s="848"/>
      <c r="BG275" s="848"/>
      <c r="BH275" s="848"/>
      <c r="BI275" s="848"/>
      <c r="BJ275" s="848"/>
      <c r="BK275" s="848"/>
      <c r="BL275" s="848"/>
      <c r="BM275" s="848"/>
      <c r="BN275" s="848"/>
      <c r="BO275" s="848">
        <f t="shared" si="232"/>
        <v>7927.6</v>
      </c>
      <c r="BP275" s="848"/>
      <c r="BQ275" s="848"/>
      <c r="BR275" s="848"/>
      <c r="BS275" s="848"/>
      <c r="BT275" s="848"/>
      <c r="BU275" s="848"/>
      <c r="BV275" s="848"/>
      <c r="BW275" s="848"/>
      <c r="BX275" s="848"/>
      <c r="BY275" s="848"/>
      <c r="BZ275" s="848"/>
      <c r="CA275" s="848"/>
      <c r="CB275" s="848">
        <v>7927.6</v>
      </c>
      <c r="CC275" s="848"/>
      <c r="CD275" s="848"/>
      <c r="CE275" s="848"/>
      <c r="CF275" s="848">
        <f t="shared" si="246"/>
        <v>200</v>
      </c>
      <c r="CG275" s="848"/>
      <c r="CH275" s="848"/>
      <c r="CI275" s="848"/>
      <c r="CJ275" s="848"/>
      <c r="CK275" s="848"/>
      <c r="CL275" s="848"/>
      <c r="CM275" s="848"/>
      <c r="CN275" s="848"/>
      <c r="CO275" s="848"/>
      <c r="CP275" s="848"/>
      <c r="CQ275" s="848"/>
      <c r="CR275" s="848"/>
      <c r="CS275" s="848">
        <f t="shared" si="246"/>
        <v>0</v>
      </c>
      <c r="CT275" s="848"/>
      <c r="CU275" s="848"/>
      <c r="CV275" s="848"/>
      <c r="CW275" s="848"/>
    </row>
    <row r="276" spans="1:101" s="851" customFormat="1" ht="24" customHeight="1">
      <c r="A276" s="845"/>
      <c r="B276" s="852" t="s">
        <v>834</v>
      </c>
      <c r="C276" s="852" t="s">
        <v>837</v>
      </c>
      <c r="D276" s="846"/>
      <c r="E276" s="845"/>
      <c r="F276" s="853"/>
      <c r="G276" s="846"/>
      <c r="H276" s="850">
        <f t="shared" si="220"/>
        <v>0</v>
      </c>
      <c r="I276" s="855"/>
      <c r="J276" s="848"/>
      <c r="K276" s="848"/>
      <c r="L276" s="848"/>
      <c r="M276" s="848"/>
      <c r="N276" s="848"/>
      <c r="O276" s="848"/>
      <c r="P276" s="848"/>
      <c r="Q276" s="848"/>
      <c r="R276" s="848"/>
      <c r="S276" s="848"/>
      <c r="T276" s="855">
        <f t="shared" si="238"/>
        <v>5620.9690000000001</v>
      </c>
      <c r="U276" s="848"/>
      <c r="V276" s="848"/>
      <c r="W276" s="848"/>
      <c r="X276" s="848"/>
      <c r="Y276" s="848"/>
      <c r="Z276" s="848"/>
      <c r="AA276" s="848"/>
      <c r="AB276" s="848"/>
      <c r="AC276" s="848"/>
      <c r="AD276" s="848"/>
      <c r="AE276" s="855"/>
      <c r="AF276" s="848"/>
      <c r="AG276" s="848"/>
      <c r="AH276" s="855">
        <v>5620.9690000000001</v>
      </c>
      <c r="AI276" s="848">
        <f>AS276</f>
        <v>0</v>
      </c>
      <c r="AJ276" s="848"/>
      <c r="AK276" s="848"/>
      <c r="AL276" s="848"/>
      <c r="AM276" s="848"/>
      <c r="AN276" s="848"/>
      <c r="AO276" s="848"/>
      <c r="AP276" s="848"/>
      <c r="AQ276" s="848"/>
      <c r="AR276" s="848"/>
      <c r="AS276" s="855"/>
      <c r="AT276" s="848"/>
      <c r="AU276" s="848"/>
      <c r="AV276" s="848"/>
      <c r="AW276" s="848"/>
      <c r="AX276" s="855"/>
      <c r="AY276" s="855"/>
      <c r="AZ276" s="848"/>
      <c r="BA276" s="848"/>
      <c r="BB276" s="848"/>
      <c r="BC276" s="848"/>
      <c r="BD276" s="848"/>
      <c r="BE276" s="848"/>
      <c r="BF276" s="848"/>
      <c r="BG276" s="848"/>
      <c r="BH276" s="848"/>
      <c r="BI276" s="848"/>
      <c r="BJ276" s="848"/>
      <c r="BK276" s="848"/>
      <c r="BL276" s="848"/>
      <c r="BM276" s="848"/>
      <c r="BN276" s="848"/>
      <c r="BO276" s="848">
        <f t="shared" si="232"/>
        <v>725.63499999999999</v>
      </c>
      <c r="BP276" s="848"/>
      <c r="BQ276" s="848"/>
      <c r="BR276" s="848"/>
      <c r="BS276" s="848"/>
      <c r="BT276" s="848"/>
      <c r="BU276" s="848"/>
      <c r="BV276" s="848"/>
      <c r="BW276" s="848"/>
      <c r="BX276" s="848"/>
      <c r="BY276" s="848"/>
      <c r="BZ276" s="848"/>
      <c r="CA276" s="848"/>
      <c r="CB276" s="848"/>
      <c r="CC276" s="848"/>
      <c r="CD276" s="848"/>
      <c r="CE276" s="855">
        <v>725.63499999999999</v>
      </c>
      <c r="CF276" s="848"/>
      <c r="CG276" s="848"/>
      <c r="CH276" s="848"/>
      <c r="CI276" s="848"/>
      <c r="CJ276" s="848"/>
      <c r="CK276" s="848"/>
      <c r="CL276" s="848"/>
      <c r="CM276" s="848"/>
      <c r="CN276" s="848"/>
      <c r="CO276" s="848"/>
      <c r="CP276" s="848"/>
      <c r="CQ276" s="848"/>
      <c r="CR276" s="848"/>
      <c r="CS276" s="848"/>
      <c r="CT276" s="848"/>
      <c r="CU276" s="848"/>
      <c r="CV276" s="848"/>
      <c r="CW276" s="848"/>
    </row>
    <row r="277" spans="1:101" s="851" customFormat="1" ht="20.45" customHeight="1">
      <c r="A277" s="845"/>
      <c r="B277" s="852" t="s">
        <v>834</v>
      </c>
      <c r="C277" s="852" t="s">
        <v>838</v>
      </c>
      <c r="D277" s="846"/>
      <c r="E277" s="845"/>
      <c r="F277" s="853" t="s">
        <v>521</v>
      </c>
      <c r="G277" s="846" t="s">
        <v>839</v>
      </c>
      <c r="H277" s="850">
        <f t="shared" si="220"/>
        <v>6989</v>
      </c>
      <c r="I277" s="860"/>
      <c r="J277" s="848"/>
      <c r="K277" s="848"/>
      <c r="L277" s="848"/>
      <c r="M277" s="848"/>
      <c r="N277" s="848"/>
      <c r="O277" s="848"/>
      <c r="P277" s="848"/>
      <c r="Q277" s="848"/>
      <c r="R277" s="848"/>
      <c r="S277" s="855">
        <v>6989</v>
      </c>
      <c r="T277" s="855">
        <f t="shared" si="238"/>
        <v>9250.2530000000006</v>
      </c>
      <c r="U277" s="848"/>
      <c r="V277" s="848"/>
      <c r="W277" s="855">
        <v>4750.2529999999997</v>
      </c>
      <c r="X277" s="848"/>
      <c r="Y277" s="848"/>
      <c r="Z277" s="848"/>
      <c r="AA277" s="848"/>
      <c r="AB277" s="848"/>
      <c r="AC277" s="848"/>
      <c r="AD277" s="848"/>
      <c r="AE277" s="855">
        <v>2000</v>
      </c>
      <c r="AF277" s="848"/>
      <c r="AG277" s="848"/>
      <c r="AH277" s="855">
        <v>2500</v>
      </c>
      <c r="AI277" s="848">
        <f>AS277</f>
        <v>2500</v>
      </c>
      <c r="AJ277" s="855"/>
      <c r="AK277" s="855"/>
      <c r="AL277" s="855"/>
      <c r="AM277" s="855"/>
      <c r="AN277" s="855"/>
      <c r="AO277" s="855"/>
      <c r="AP277" s="855"/>
      <c r="AQ277" s="855"/>
      <c r="AR277" s="855"/>
      <c r="AS277" s="855">
        <v>2500</v>
      </c>
      <c r="AT277" s="855"/>
      <c r="AU277" s="855"/>
      <c r="AV277" s="855"/>
      <c r="AW277" s="855"/>
      <c r="AX277" s="855"/>
      <c r="AY277" s="855">
        <f t="shared" si="247"/>
        <v>115</v>
      </c>
      <c r="AZ277" s="855"/>
      <c r="BA277" s="855"/>
      <c r="BB277" s="855"/>
      <c r="BC277" s="855"/>
      <c r="BD277" s="855"/>
      <c r="BE277" s="855"/>
      <c r="BF277" s="855"/>
      <c r="BG277" s="855"/>
      <c r="BH277" s="855"/>
      <c r="BI277" s="855"/>
      <c r="BJ277" s="855"/>
      <c r="BK277" s="855"/>
      <c r="BL277" s="855"/>
      <c r="BM277" s="855"/>
      <c r="BN277" s="855">
        <f>'[10]bieu cu'!H77</f>
        <v>115</v>
      </c>
      <c r="BO277" s="848">
        <f t="shared" si="232"/>
        <v>115</v>
      </c>
      <c r="BP277" s="855"/>
      <c r="BQ277" s="855"/>
      <c r="BR277" s="855"/>
      <c r="BS277" s="855"/>
      <c r="BT277" s="855"/>
      <c r="BU277" s="855"/>
      <c r="BV277" s="855"/>
      <c r="BW277" s="855"/>
      <c r="BX277" s="855"/>
      <c r="BY277" s="855"/>
      <c r="BZ277" s="855"/>
      <c r="CA277" s="855"/>
      <c r="CB277" s="855"/>
      <c r="CC277" s="855"/>
      <c r="CD277" s="855"/>
      <c r="CE277" s="855">
        <f>'[10]bieu cu'!M77</f>
        <v>115</v>
      </c>
      <c r="CF277" s="848"/>
      <c r="CG277" s="848"/>
      <c r="CH277" s="848"/>
      <c r="CI277" s="848"/>
      <c r="CJ277" s="848"/>
      <c r="CK277" s="848"/>
      <c r="CL277" s="848"/>
      <c r="CM277" s="848"/>
      <c r="CN277" s="848"/>
      <c r="CO277" s="848"/>
      <c r="CP277" s="848"/>
      <c r="CQ277" s="848"/>
      <c r="CR277" s="848"/>
      <c r="CS277" s="848"/>
      <c r="CT277" s="848"/>
      <c r="CU277" s="848"/>
      <c r="CV277" s="848"/>
      <c r="CW277" s="848">
        <f t="shared" si="243"/>
        <v>100</v>
      </c>
    </row>
    <row r="278" spans="1:101" ht="34.15" customHeight="1">
      <c r="A278" s="845"/>
      <c r="B278" s="852" t="s">
        <v>834</v>
      </c>
      <c r="C278" s="852" t="s">
        <v>840</v>
      </c>
      <c r="D278" s="846"/>
      <c r="E278" s="845"/>
      <c r="F278" s="853" t="s">
        <v>515</v>
      </c>
      <c r="G278" s="846" t="s">
        <v>841</v>
      </c>
      <c r="H278" s="850">
        <f t="shared" si="220"/>
        <v>9361</v>
      </c>
      <c r="I278" s="860"/>
      <c r="J278" s="848"/>
      <c r="K278" s="848"/>
      <c r="L278" s="848"/>
      <c r="M278" s="848"/>
      <c r="N278" s="848"/>
      <c r="O278" s="848"/>
      <c r="P278" s="848"/>
      <c r="Q278" s="848"/>
      <c r="R278" s="848"/>
      <c r="S278" s="855">
        <v>9361</v>
      </c>
      <c r="T278" s="855">
        <f t="shared" si="238"/>
        <v>10774.332</v>
      </c>
      <c r="U278" s="848"/>
      <c r="V278" s="848"/>
      <c r="W278" s="855">
        <v>5387.1660000000002</v>
      </c>
      <c r="X278" s="848"/>
      <c r="Y278" s="848"/>
      <c r="Z278" s="848"/>
      <c r="AA278" s="848"/>
      <c r="AB278" s="848"/>
      <c r="AC278" s="848"/>
      <c r="AD278" s="848"/>
      <c r="AE278" s="855">
        <v>5387.1660000000002</v>
      </c>
      <c r="AF278" s="848"/>
      <c r="AG278" s="848"/>
      <c r="AH278" s="855"/>
      <c r="AI278" s="855">
        <f>AS278</f>
        <v>2013</v>
      </c>
      <c r="AJ278" s="855"/>
      <c r="AK278" s="855"/>
      <c r="AL278" s="855"/>
      <c r="AM278" s="855"/>
      <c r="AN278" s="855"/>
      <c r="AO278" s="855"/>
      <c r="AP278" s="855"/>
      <c r="AQ278" s="855"/>
      <c r="AR278" s="855"/>
      <c r="AS278" s="855">
        <v>2013</v>
      </c>
      <c r="AT278" s="855"/>
      <c r="AU278" s="855"/>
      <c r="AV278" s="855"/>
      <c r="AW278" s="855"/>
      <c r="AX278" s="855"/>
      <c r="AY278" s="855">
        <f t="shared" si="247"/>
        <v>500</v>
      </c>
      <c r="AZ278" s="855"/>
      <c r="BA278" s="855"/>
      <c r="BB278" s="855"/>
      <c r="BC278" s="855"/>
      <c r="BD278" s="855"/>
      <c r="BE278" s="855"/>
      <c r="BF278" s="855"/>
      <c r="BG278" s="855"/>
      <c r="BH278" s="855"/>
      <c r="BI278" s="855"/>
      <c r="BJ278" s="855"/>
      <c r="BK278" s="855"/>
      <c r="BL278" s="855"/>
      <c r="BM278" s="855"/>
      <c r="BN278" s="855">
        <f>'[10]bieu cu'!H84</f>
        <v>500</v>
      </c>
      <c r="BO278" s="848">
        <f t="shared" si="232"/>
        <v>500</v>
      </c>
      <c r="BP278" s="855"/>
      <c r="BQ278" s="855"/>
      <c r="BR278" s="855"/>
      <c r="BS278" s="855"/>
      <c r="BT278" s="855"/>
      <c r="BU278" s="855"/>
      <c r="BV278" s="855"/>
      <c r="BW278" s="855"/>
      <c r="BX278" s="855"/>
      <c r="BY278" s="855"/>
      <c r="BZ278" s="855"/>
      <c r="CA278" s="855"/>
      <c r="CB278" s="855"/>
      <c r="CC278" s="855"/>
      <c r="CD278" s="855"/>
      <c r="CE278" s="855">
        <f>'[10]bieu cu'!M84</f>
        <v>500</v>
      </c>
      <c r="CF278" s="848">
        <f>BO277/AY277%</f>
        <v>100.00000000000001</v>
      </c>
      <c r="CG278" s="848"/>
      <c r="CH278" s="848"/>
      <c r="CI278" s="848"/>
      <c r="CJ278" s="848"/>
      <c r="CK278" s="848"/>
      <c r="CL278" s="848"/>
      <c r="CM278" s="848"/>
      <c r="CN278" s="848"/>
      <c r="CO278" s="848"/>
      <c r="CP278" s="848"/>
      <c r="CQ278" s="848"/>
      <c r="CR278" s="848"/>
      <c r="CS278" s="848"/>
      <c r="CT278" s="848"/>
      <c r="CU278" s="848"/>
      <c r="CV278" s="848"/>
      <c r="CW278" s="848">
        <f t="shared" si="243"/>
        <v>100</v>
      </c>
    </row>
    <row r="279" spans="1:101" ht="49.9" customHeight="1">
      <c r="A279" s="845"/>
      <c r="B279" s="852" t="s">
        <v>834</v>
      </c>
      <c r="C279" s="852" t="s">
        <v>842</v>
      </c>
      <c r="D279" s="846"/>
      <c r="E279" s="845"/>
      <c r="F279" s="847"/>
      <c r="G279" s="845"/>
      <c r="H279" s="850">
        <f t="shared" si="220"/>
        <v>0</v>
      </c>
      <c r="I279" s="848"/>
      <c r="J279" s="848"/>
      <c r="K279" s="848"/>
      <c r="L279" s="848"/>
      <c r="M279" s="848"/>
      <c r="N279" s="848"/>
      <c r="O279" s="848"/>
      <c r="P279" s="848"/>
      <c r="Q279" s="848"/>
      <c r="R279" s="848"/>
      <c r="S279" s="848"/>
      <c r="T279" s="855">
        <f t="shared" si="238"/>
        <v>102.6</v>
      </c>
      <c r="U279" s="848"/>
      <c r="V279" s="848"/>
      <c r="W279" s="848"/>
      <c r="X279" s="848"/>
      <c r="Y279" s="848"/>
      <c r="Z279" s="848"/>
      <c r="AA279" s="848"/>
      <c r="AB279" s="855">
        <v>102.6</v>
      </c>
      <c r="AC279" s="848"/>
      <c r="AD279" s="848"/>
      <c r="AE279" s="848"/>
      <c r="AF279" s="848"/>
      <c r="AG279" s="848"/>
      <c r="AH279" s="855"/>
      <c r="AI279" s="855">
        <f>AQ279</f>
        <v>103</v>
      </c>
      <c r="AJ279" s="855"/>
      <c r="AK279" s="855"/>
      <c r="AL279" s="855"/>
      <c r="AM279" s="855"/>
      <c r="AN279" s="855"/>
      <c r="AO279" s="855"/>
      <c r="AP279" s="855"/>
      <c r="AQ279" s="855">
        <v>103</v>
      </c>
      <c r="AR279" s="855"/>
      <c r="AS279" s="855"/>
      <c r="AT279" s="855"/>
      <c r="AU279" s="855"/>
      <c r="AV279" s="855"/>
      <c r="AW279" s="855"/>
      <c r="AX279" s="855"/>
      <c r="AY279" s="855">
        <f t="shared" si="247"/>
        <v>0</v>
      </c>
      <c r="AZ279" s="855"/>
      <c r="BA279" s="855"/>
      <c r="BB279" s="855"/>
      <c r="BC279" s="855"/>
      <c r="BD279" s="855"/>
      <c r="BE279" s="855"/>
      <c r="BF279" s="855"/>
      <c r="BG279" s="855"/>
      <c r="BH279" s="855"/>
      <c r="BI279" s="855"/>
      <c r="BJ279" s="855"/>
      <c r="BK279" s="855"/>
      <c r="BL279" s="855"/>
      <c r="BM279" s="855"/>
      <c r="BN279" s="855"/>
      <c r="BO279" s="848">
        <f t="shared" si="232"/>
        <v>741.81221000000005</v>
      </c>
      <c r="BP279" s="855">
        <v>741.81221000000005</v>
      </c>
      <c r="BQ279" s="855"/>
      <c r="BR279" s="855"/>
      <c r="BS279" s="855"/>
      <c r="BT279" s="855"/>
      <c r="BU279" s="855"/>
      <c r="BV279" s="855"/>
      <c r="BW279" s="855"/>
      <c r="BX279" s="855"/>
      <c r="BY279" s="855"/>
      <c r="BZ279" s="855"/>
      <c r="CA279" s="855"/>
      <c r="CB279" s="855"/>
      <c r="CC279" s="855"/>
      <c r="CD279" s="855"/>
      <c r="CE279" s="855"/>
      <c r="CF279" s="848">
        <f>BO278/AY278%</f>
        <v>100</v>
      </c>
      <c r="CG279" s="848"/>
      <c r="CH279" s="848"/>
      <c r="CI279" s="848"/>
      <c r="CJ279" s="848"/>
      <c r="CK279" s="848"/>
      <c r="CL279" s="848"/>
      <c r="CM279" s="848"/>
      <c r="CN279" s="848"/>
      <c r="CO279" s="848"/>
      <c r="CP279" s="848"/>
      <c r="CQ279" s="848"/>
      <c r="CR279" s="848"/>
      <c r="CS279" s="848"/>
      <c r="CT279" s="848"/>
      <c r="CU279" s="848"/>
      <c r="CV279" s="848"/>
      <c r="CW279" s="848"/>
    </row>
    <row r="280" spans="1:101" ht="42" customHeight="1">
      <c r="A280" s="845"/>
      <c r="B280" s="852" t="s">
        <v>834</v>
      </c>
      <c r="C280" s="852" t="s">
        <v>843</v>
      </c>
      <c r="D280" s="846"/>
      <c r="E280" s="845"/>
      <c r="F280" s="853" t="s">
        <v>544</v>
      </c>
      <c r="G280" s="853" t="s">
        <v>844</v>
      </c>
      <c r="H280" s="850">
        <f t="shared" si="220"/>
        <v>643</v>
      </c>
      <c r="I280" s="855">
        <v>643</v>
      </c>
      <c r="J280" s="848"/>
      <c r="K280" s="848"/>
      <c r="L280" s="848"/>
      <c r="M280" s="848"/>
      <c r="N280" s="848"/>
      <c r="O280" s="848"/>
      <c r="P280" s="848"/>
      <c r="Q280" s="848"/>
      <c r="R280" s="848"/>
      <c r="S280" s="848"/>
      <c r="T280" s="855">
        <f t="shared" si="238"/>
        <v>234</v>
      </c>
      <c r="U280" s="855">
        <v>234</v>
      </c>
      <c r="V280" s="848"/>
      <c r="W280" s="848"/>
      <c r="X280" s="848"/>
      <c r="Y280" s="848"/>
      <c r="Z280" s="848"/>
      <c r="AA280" s="848"/>
      <c r="AB280" s="848"/>
      <c r="AC280" s="848"/>
      <c r="AD280" s="848"/>
      <c r="AE280" s="848"/>
      <c r="AF280" s="848"/>
      <c r="AG280" s="848"/>
      <c r="AH280" s="855"/>
      <c r="AI280" s="855">
        <f t="shared" ref="AI280:AI317" si="248">AJ280</f>
        <v>479</v>
      </c>
      <c r="AJ280" s="855">
        <v>479</v>
      </c>
      <c r="AK280" s="855"/>
      <c r="AL280" s="855"/>
      <c r="AM280" s="855"/>
      <c r="AN280" s="855"/>
      <c r="AO280" s="855"/>
      <c r="AP280" s="855"/>
      <c r="AQ280" s="855"/>
      <c r="AR280" s="855"/>
      <c r="AS280" s="855"/>
      <c r="AT280" s="855"/>
      <c r="AU280" s="855"/>
      <c r="AV280" s="855"/>
      <c r="AW280" s="855"/>
      <c r="AX280" s="855"/>
      <c r="AY280" s="855">
        <f t="shared" si="247"/>
        <v>0</v>
      </c>
      <c r="AZ280" s="855"/>
      <c r="BA280" s="855"/>
      <c r="BB280" s="855"/>
      <c r="BC280" s="855"/>
      <c r="BD280" s="855"/>
      <c r="BE280" s="855"/>
      <c r="BF280" s="855"/>
      <c r="BG280" s="855"/>
      <c r="BH280" s="855"/>
      <c r="BI280" s="855"/>
      <c r="BJ280" s="855"/>
      <c r="BK280" s="855"/>
      <c r="BL280" s="855"/>
      <c r="BM280" s="855"/>
      <c r="BN280" s="855"/>
      <c r="BO280" s="848">
        <f t="shared" si="232"/>
        <v>453.541</v>
      </c>
      <c r="BP280" s="855">
        <v>453.541</v>
      </c>
      <c r="BQ280" s="855"/>
      <c r="BR280" s="855"/>
      <c r="BS280" s="855"/>
      <c r="BT280" s="855"/>
      <c r="BU280" s="855"/>
      <c r="BV280" s="855"/>
      <c r="BW280" s="855"/>
      <c r="BX280" s="855"/>
      <c r="BY280" s="855"/>
      <c r="BZ280" s="855"/>
      <c r="CA280" s="855"/>
      <c r="CB280" s="855"/>
      <c r="CC280" s="855"/>
      <c r="CD280" s="855"/>
      <c r="CE280" s="855"/>
      <c r="CF280" s="848"/>
      <c r="CG280" s="848"/>
      <c r="CH280" s="848"/>
      <c r="CI280" s="848"/>
      <c r="CJ280" s="848"/>
      <c r="CK280" s="848"/>
      <c r="CL280" s="848"/>
      <c r="CM280" s="848"/>
      <c r="CN280" s="848"/>
      <c r="CO280" s="848"/>
      <c r="CP280" s="848"/>
      <c r="CQ280" s="848"/>
      <c r="CR280" s="848"/>
      <c r="CS280" s="848"/>
      <c r="CT280" s="848"/>
      <c r="CU280" s="848"/>
      <c r="CV280" s="848"/>
      <c r="CW280" s="848"/>
    </row>
    <row r="281" spans="1:101" ht="45.6" customHeight="1">
      <c r="A281" s="845"/>
      <c r="B281" s="852" t="s">
        <v>834</v>
      </c>
      <c r="C281" s="852" t="s">
        <v>845</v>
      </c>
      <c r="D281" s="846"/>
      <c r="E281" s="845"/>
      <c r="F281" s="853" t="s">
        <v>544</v>
      </c>
      <c r="G281" s="853" t="s">
        <v>846</v>
      </c>
      <c r="H281" s="850">
        <f t="shared" si="220"/>
        <v>344</v>
      </c>
      <c r="I281" s="855">
        <v>344</v>
      </c>
      <c r="J281" s="848"/>
      <c r="K281" s="848"/>
      <c r="L281" s="848"/>
      <c r="M281" s="848"/>
      <c r="N281" s="848"/>
      <c r="O281" s="848"/>
      <c r="P281" s="848"/>
      <c r="Q281" s="848"/>
      <c r="R281" s="848"/>
      <c r="S281" s="848"/>
      <c r="T281" s="855">
        <f t="shared" si="238"/>
        <v>136</v>
      </c>
      <c r="U281" s="855">
        <v>136</v>
      </c>
      <c r="V281" s="848"/>
      <c r="W281" s="848"/>
      <c r="X281" s="848"/>
      <c r="Y281" s="848"/>
      <c r="Z281" s="848"/>
      <c r="AA281" s="848"/>
      <c r="AB281" s="848"/>
      <c r="AC281" s="848"/>
      <c r="AD281" s="848"/>
      <c r="AE281" s="848"/>
      <c r="AF281" s="848"/>
      <c r="AG281" s="848"/>
      <c r="AH281" s="855"/>
      <c r="AI281" s="855">
        <f t="shared" si="248"/>
        <v>136</v>
      </c>
      <c r="AJ281" s="855">
        <v>136</v>
      </c>
      <c r="AK281" s="855"/>
      <c r="AL281" s="855"/>
      <c r="AM281" s="855"/>
      <c r="AN281" s="855"/>
      <c r="AO281" s="855"/>
      <c r="AP281" s="855"/>
      <c r="AQ281" s="855"/>
      <c r="AR281" s="855"/>
      <c r="AS281" s="855"/>
      <c r="AT281" s="855"/>
      <c r="AU281" s="855"/>
      <c r="AV281" s="855"/>
      <c r="AW281" s="855"/>
      <c r="AX281" s="855"/>
      <c r="AY281" s="855">
        <f t="shared" si="247"/>
        <v>0</v>
      </c>
      <c r="AZ281" s="855"/>
      <c r="BA281" s="855"/>
      <c r="BB281" s="855"/>
      <c r="BC281" s="855"/>
      <c r="BD281" s="855"/>
      <c r="BE281" s="855"/>
      <c r="BF281" s="855"/>
      <c r="BG281" s="855"/>
      <c r="BH281" s="855"/>
      <c r="BI281" s="855"/>
      <c r="BJ281" s="855"/>
      <c r="BK281" s="855"/>
      <c r="BL281" s="855"/>
      <c r="BM281" s="855"/>
      <c r="BN281" s="855"/>
      <c r="BO281" s="848">
        <f t="shared" si="232"/>
        <v>278.53252900000001</v>
      </c>
      <c r="BP281" s="855">
        <v>278.53252900000001</v>
      </c>
      <c r="BQ281" s="855"/>
      <c r="BR281" s="855"/>
      <c r="BS281" s="855"/>
      <c r="BT281" s="855"/>
      <c r="BU281" s="855"/>
      <c r="BV281" s="855"/>
      <c r="BW281" s="855"/>
      <c r="BX281" s="855"/>
      <c r="BY281" s="855"/>
      <c r="BZ281" s="855"/>
      <c r="CA281" s="855"/>
      <c r="CB281" s="855"/>
      <c r="CC281" s="855"/>
      <c r="CD281" s="855"/>
      <c r="CE281" s="855"/>
      <c r="CF281" s="848"/>
      <c r="CG281" s="848"/>
      <c r="CH281" s="848"/>
      <c r="CI281" s="848"/>
      <c r="CJ281" s="848"/>
      <c r="CK281" s="848"/>
      <c r="CL281" s="848"/>
      <c r="CM281" s="848"/>
      <c r="CN281" s="848"/>
      <c r="CO281" s="848"/>
      <c r="CP281" s="848"/>
      <c r="CQ281" s="848"/>
      <c r="CR281" s="848"/>
      <c r="CS281" s="848"/>
      <c r="CT281" s="848"/>
      <c r="CU281" s="848"/>
      <c r="CV281" s="848"/>
      <c r="CW281" s="848"/>
    </row>
    <row r="282" spans="1:101" ht="46.15" customHeight="1">
      <c r="A282" s="845"/>
      <c r="B282" s="852" t="s">
        <v>834</v>
      </c>
      <c r="C282" s="852" t="s">
        <v>847</v>
      </c>
      <c r="D282" s="846"/>
      <c r="E282" s="845"/>
      <c r="F282" s="853" t="s">
        <v>544</v>
      </c>
      <c r="G282" s="853" t="s">
        <v>846</v>
      </c>
      <c r="H282" s="850">
        <f t="shared" si="220"/>
        <v>0</v>
      </c>
      <c r="I282" s="848"/>
      <c r="J282" s="848"/>
      <c r="K282" s="848"/>
      <c r="L282" s="848"/>
      <c r="M282" s="848"/>
      <c r="N282" s="848"/>
      <c r="O282" s="848"/>
      <c r="P282" s="848"/>
      <c r="Q282" s="848"/>
      <c r="R282" s="848"/>
      <c r="S282" s="848"/>
      <c r="T282" s="855">
        <f t="shared" si="238"/>
        <v>0</v>
      </c>
      <c r="U282" s="855">
        <v>0</v>
      </c>
      <c r="V282" s="848"/>
      <c r="W282" s="848"/>
      <c r="X282" s="848"/>
      <c r="Y282" s="848"/>
      <c r="Z282" s="848"/>
      <c r="AA282" s="848"/>
      <c r="AB282" s="848"/>
      <c r="AC282" s="848"/>
      <c r="AD282" s="848"/>
      <c r="AE282" s="848"/>
      <c r="AF282" s="848"/>
      <c r="AG282" s="848"/>
      <c r="AH282" s="855"/>
      <c r="AI282" s="855">
        <f t="shared" si="248"/>
        <v>600</v>
      </c>
      <c r="AJ282" s="855">
        <v>600</v>
      </c>
      <c r="AK282" s="855"/>
      <c r="AL282" s="855"/>
      <c r="AM282" s="855"/>
      <c r="AN282" s="855"/>
      <c r="AO282" s="855"/>
      <c r="AP282" s="855"/>
      <c r="AQ282" s="855"/>
      <c r="AR282" s="855"/>
      <c r="AS282" s="855"/>
      <c r="AT282" s="855"/>
      <c r="AU282" s="855"/>
      <c r="AV282" s="855"/>
      <c r="AW282" s="855"/>
      <c r="AX282" s="855"/>
      <c r="AY282" s="855">
        <f t="shared" si="247"/>
        <v>0</v>
      </c>
      <c r="AZ282" s="855"/>
      <c r="BA282" s="855"/>
      <c r="BB282" s="855"/>
      <c r="BC282" s="855"/>
      <c r="BD282" s="855"/>
      <c r="BE282" s="855"/>
      <c r="BF282" s="855"/>
      <c r="BG282" s="855"/>
      <c r="BH282" s="855"/>
      <c r="BI282" s="855"/>
      <c r="BJ282" s="855"/>
      <c r="BK282" s="855"/>
      <c r="BL282" s="855"/>
      <c r="BM282" s="855"/>
      <c r="BN282" s="855"/>
      <c r="BO282" s="848">
        <f t="shared" si="232"/>
        <v>580.18553299999996</v>
      </c>
      <c r="BP282" s="855">
        <v>580.18553299999996</v>
      </c>
      <c r="BQ282" s="855"/>
      <c r="BR282" s="855"/>
      <c r="BS282" s="855"/>
      <c r="BT282" s="855"/>
      <c r="BU282" s="855"/>
      <c r="BV282" s="855"/>
      <c r="BW282" s="855"/>
      <c r="BX282" s="855"/>
      <c r="BY282" s="855"/>
      <c r="BZ282" s="855"/>
      <c r="CA282" s="855"/>
      <c r="CB282" s="855"/>
      <c r="CC282" s="855"/>
      <c r="CD282" s="855"/>
      <c r="CE282" s="855"/>
      <c r="CF282" s="848"/>
      <c r="CG282" s="848"/>
      <c r="CH282" s="848"/>
      <c r="CI282" s="848"/>
      <c r="CJ282" s="848"/>
      <c r="CK282" s="848"/>
      <c r="CL282" s="848"/>
      <c r="CM282" s="848"/>
      <c r="CN282" s="848"/>
      <c r="CO282" s="848"/>
      <c r="CP282" s="848"/>
      <c r="CQ282" s="848"/>
      <c r="CR282" s="848"/>
      <c r="CS282" s="848"/>
      <c r="CT282" s="848"/>
      <c r="CU282" s="848"/>
      <c r="CV282" s="848"/>
      <c r="CW282" s="848"/>
    </row>
    <row r="283" spans="1:101" ht="57" customHeight="1">
      <c r="A283" s="845"/>
      <c r="B283" s="852" t="s">
        <v>834</v>
      </c>
      <c r="C283" s="852" t="s">
        <v>848</v>
      </c>
      <c r="D283" s="846"/>
      <c r="E283" s="845"/>
      <c r="F283" s="853" t="s">
        <v>544</v>
      </c>
      <c r="G283" s="853" t="s">
        <v>849</v>
      </c>
      <c r="H283" s="850">
        <f t="shared" si="220"/>
        <v>1209</v>
      </c>
      <c r="I283" s="855">
        <v>1209</v>
      </c>
      <c r="J283" s="848"/>
      <c r="K283" s="848"/>
      <c r="L283" s="848"/>
      <c r="M283" s="848"/>
      <c r="N283" s="848"/>
      <c r="O283" s="848"/>
      <c r="P283" s="848"/>
      <c r="Q283" s="848"/>
      <c r="R283" s="848"/>
      <c r="S283" s="848"/>
      <c r="T283" s="855">
        <f t="shared" si="238"/>
        <v>400</v>
      </c>
      <c r="U283" s="855">
        <v>400</v>
      </c>
      <c r="V283" s="848"/>
      <c r="W283" s="848"/>
      <c r="X283" s="848"/>
      <c r="Y283" s="848"/>
      <c r="Z283" s="848"/>
      <c r="AA283" s="848"/>
      <c r="AB283" s="848"/>
      <c r="AC283" s="848"/>
      <c r="AD283" s="848"/>
      <c r="AE283" s="848"/>
      <c r="AF283" s="848"/>
      <c r="AG283" s="848"/>
      <c r="AH283" s="855"/>
      <c r="AI283" s="855">
        <f t="shared" si="248"/>
        <v>879</v>
      </c>
      <c r="AJ283" s="855">
        <v>879</v>
      </c>
      <c r="AK283" s="855"/>
      <c r="AL283" s="855"/>
      <c r="AM283" s="855"/>
      <c r="AN283" s="855"/>
      <c r="AO283" s="855"/>
      <c r="AP283" s="855"/>
      <c r="AQ283" s="855"/>
      <c r="AR283" s="855"/>
      <c r="AS283" s="855"/>
      <c r="AT283" s="855"/>
      <c r="AU283" s="855"/>
      <c r="AV283" s="855"/>
      <c r="AW283" s="855"/>
      <c r="AX283" s="855"/>
      <c r="AY283" s="855">
        <f t="shared" si="247"/>
        <v>0</v>
      </c>
      <c r="AZ283" s="855"/>
      <c r="BA283" s="855"/>
      <c r="BB283" s="855"/>
      <c r="BC283" s="855"/>
      <c r="BD283" s="855"/>
      <c r="BE283" s="855"/>
      <c r="BF283" s="855"/>
      <c r="BG283" s="855"/>
      <c r="BH283" s="855"/>
      <c r="BI283" s="855"/>
      <c r="BJ283" s="855"/>
      <c r="BK283" s="855"/>
      <c r="BL283" s="855"/>
      <c r="BM283" s="855"/>
      <c r="BN283" s="855"/>
      <c r="BO283" s="848">
        <f t="shared" si="232"/>
        <v>833.78800000000001</v>
      </c>
      <c r="BP283" s="855">
        <v>833.78800000000001</v>
      </c>
      <c r="BQ283" s="855"/>
      <c r="BR283" s="855"/>
      <c r="BS283" s="855"/>
      <c r="BT283" s="855"/>
      <c r="BU283" s="855"/>
      <c r="BV283" s="855"/>
      <c r="BW283" s="855"/>
      <c r="BX283" s="855"/>
      <c r="BY283" s="855"/>
      <c r="BZ283" s="855"/>
      <c r="CA283" s="855"/>
      <c r="CB283" s="855"/>
      <c r="CC283" s="855"/>
      <c r="CD283" s="855"/>
      <c r="CE283" s="855"/>
      <c r="CF283" s="848"/>
      <c r="CG283" s="848"/>
      <c r="CH283" s="848"/>
      <c r="CI283" s="848"/>
      <c r="CJ283" s="848"/>
      <c r="CK283" s="848"/>
      <c r="CL283" s="848"/>
      <c r="CM283" s="848"/>
      <c r="CN283" s="848"/>
      <c r="CO283" s="848"/>
      <c r="CP283" s="848"/>
      <c r="CQ283" s="848"/>
      <c r="CR283" s="848"/>
      <c r="CS283" s="848"/>
      <c r="CT283" s="848"/>
      <c r="CU283" s="848"/>
      <c r="CV283" s="848"/>
      <c r="CW283" s="848"/>
    </row>
    <row r="284" spans="1:101" ht="46.15" customHeight="1">
      <c r="A284" s="845"/>
      <c r="B284" s="852" t="s">
        <v>834</v>
      </c>
      <c r="C284" s="852" t="s">
        <v>850</v>
      </c>
      <c r="D284" s="846"/>
      <c r="E284" s="845"/>
      <c r="F284" s="853" t="s">
        <v>544</v>
      </c>
      <c r="G284" s="853" t="s">
        <v>851</v>
      </c>
      <c r="H284" s="850">
        <f t="shared" si="220"/>
        <v>1108</v>
      </c>
      <c r="I284" s="855">
        <v>1108</v>
      </c>
      <c r="J284" s="848"/>
      <c r="K284" s="848"/>
      <c r="L284" s="848"/>
      <c r="M284" s="848"/>
      <c r="N284" s="848"/>
      <c r="O284" s="848"/>
      <c r="P284" s="848"/>
      <c r="Q284" s="848"/>
      <c r="R284" s="848"/>
      <c r="S284" s="848"/>
      <c r="T284" s="855">
        <f t="shared" si="238"/>
        <v>850</v>
      </c>
      <c r="U284" s="855">
        <v>850</v>
      </c>
      <c r="V284" s="848"/>
      <c r="W284" s="848"/>
      <c r="X284" s="848"/>
      <c r="Y284" s="848"/>
      <c r="Z284" s="848"/>
      <c r="AA284" s="848"/>
      <c r="AB284" s="848"/>
      <c r="AC284" s="848"/>
      <c r="AD284" s="848"/>
      <c r="AE284" s="848"/>
      <c r="AF284" s="848"/>
      <c r="AG284" s="848"/>
      <c r="AH284" s="855"/>
      <c r="AI284" s="855">
        <f t="shared" si="248"/>
        <v>879</v>
      </c>
      <c r="AJ284" s="855">
        <v>879</v>
      </c>
      <c r="AK284" s="855"/>
      <c r="AL284" s="855"/>
      <c r="AM284" s="855"/>
      <c r="AN284" s="855"/>
      <c r="AO284" s="855"/>
      <c r="AP284" s="855"/>
      <c r="AQ284" s="855"/>
      <c r="AR284" s="855"/>
      <c r="AS284" s="855"/>
      <c r="AT284" s="855"/>
      <c r="AU284" s="855"/>
      <c r="AV284" s="855"/>
      <c r="AW284" s="855"/>
      <c r="AX284" s="855"/>
      <c r="AY284" s="855">
        <f t="shared" si="247"/>
        <v>0</v>
      </c>
      <c r="AZ284" s="855"/>
      <c r="BA284" s="855"/>
      <c r="BB284" s="855"/>
      <c r="BC284" s="855"/>
      <c r="BD284" s="855"/>
      <c r="BE284" s="855"/>
      <c r="BF284" s="855"/>
      <c r="BG284" s="855"/>
      <c r="BH284" s="855"/>
      <c r="BI284" s="855"/>
      <c r="BJ284" s="855"/>
      <c r="BK284" s="855"/>
      <c r="BL284" s="855"/>
      <c r="BM284" s="855"/>
      <c r="BN284" s="855"/>
      <c r="BO284" s="848">
        <f t="shared" si="232"/>
        <v>17</v>
      </c>
      <c r="BP284" s="855">
        <v>17</v>
      </c>
      <c r="BQ284" s="855"/>
      <c r="BR284" s="855"/>
      <c r="BS284" s="855"/>
      <c r="BT284" s="855"/>
      <c r="BU284" s="855"/>
      <c r="BV284" s="855"/>
      <c r="BW284" s="855"/>
      <c r="BX284" s="855"/>
      <c r="BY284" s="855"/>
      <c r="BZ284" s="855"/>
      <c r="CA284" s="855"/>
      <c r="CB284" s="855"/>
      <c r="CC284" s="855"/>
      <c r="CD284" s="855"/>
      <c r="CE284" s="855"/>
      <c r="CF284" s="848"/>
      <c r="CG284" s="848"/>
      <c r="CH284" s="848"/>
      <c r="CI284" s="848"/>
      <c r="CJ284" s="848"/>
      <c r="CK284" s="848"/>
      <c r="CL284" s="848"/>
      <c r="CM284" s="848"/>
      <c r="CN284" s="848"/>
      <c r="CO284" s="848"/>
      <c r="CP284" s="848"/>
      <c r="CQ284" s="848"/>
      <c r="CR284" s="848"/>
      <c r="CS284" s="848"/>
      <c r="CT284" s="848"/>
      <c r="CU284" s="848"/>
      <c r="CV284" s="848"/>
      <c r="CW284" s="848"/>
    </row>
    <row r="285" spans="1:101" ht="42" customHeight="1">
      <c r="A285" s="845"/>
      <c r="B285" s="852" t="s">
        <v>834</v>
      </c>
      <c r="C285" s="852" t="s">
        <v>852</v>
      </c>
      <c r="D285" s="846"/>
      <c r="E285" s="845"/>
      <c r="F285" s="853" t="s">
        <v>544</v>
      </c>
      <c r="G285" s="853" t="s">
        <v>853</v>
      </c>
      <c r="H285" s="850">
        <f t="shared" si="220"/>
        <v>526</v>
      </c>
      <c r="I285" s="855">
        <v>526</v>
      </c>
      <c r="J285" s="848"/>
      <c r="K285" s="848"/>
      <c r="L285" s="848"/>
      <c r="M285" s="848"/>
      <c r="N285" s="848"/>
      <c r="O285" s="848"/>
      <c r="P285" s="848"/>
      <c r="Q285" s="848"/>
      <c r="R285" s="848"/>
      <c r="S285" s="848"/>
      <c r="T285" s="855">
        <f t="shared" si="238"/>
        <v>0</v>
      </c>
      <c r="U285" s="855"/>
      <c r="V285" s="848"/>
      <c r="W285" s="848"/>
      <c r="X285" s="848"/>
      <c r="Y285" s="848"/>
      <c r="Z285" s="848"/>
      <c r="AA285" s="848"/>
      <c r="AB285" s="848"/>
      <c r="AC285" s="848"/>
      <c r="AD285" s="848"/>
      <c r="AE285" s="848"/>
      <c r="AF285" s="848"/>
      <c r="AG285" s="848"/>
      <c r="AH285" s="855"/>
      <c r="AI285" s="855">
        <f t="shared" si="248"/>
        <v>879</v>
      </c>
      <c r="AJ285" s="855">
        <v>879</v>
      </c>
      <c r="AK285" s="855"/>
      <c r="AL285" s="855"/>
      <c r="AM285" s="855"/>
      <c r="AN285" s="855"/>
      <c r="AO285" s="855"/>
      <c r="AP285" s="855"/>
      <c r="AQ285" s="855"/>
      <c r="AR285" s="855"/>
      <c r="AS285" s="855"/>
      <c r="AT285" s="855"/>
      <c r="AU285" s="855"/>
      <c r="AV285" s="855"/>
      <c r="AW285" s="855"/>
      <c r="AX285" s="855"/>
      <c r="AY285" s="855">
        <f t="shared" si="247"/>
        <v>0</v>
      </c>
      <c r="AZ285" s="855"/>
      <c r="BA285" s="855"/>
      <c r="BB285" s="855"/>
      <c r="BC285" s="855"/>
      <c r="BD285" s="855"/>
      <c r="BE285" s="855"/>
      <c r="BF285" s="855"/>
      <c r="BG285" s="855"/>
      <c r="BH285" s="855"/>
      <c r="BI285" s="855"/>
      <c r="BJ285" s="855"/>
      <c r="BK285" s="855"/>
      <c r="BL285" s="855"/>
      <c r="BM285" s="855"/>
      <c r="BN285" s="855"/>
      <c r="BO285" s="848">
        <f t="shared" si="232"/>
        <v>290.21614499999998</v>
      </c>
      <c r="BP285" s="855">
        <v>290.21614499999998</v>
      </c>
      <c r="BQ285" s="855"/>
      <c r="BR285" s="855"/>
      <c r="BS285" s="855"/>
      <c r="BT285" s="855"/>
      <c r="BU285" s="855"/>
      <c r="BV285" s="855"/>
      <c r="BW285" s="855"/>
      <c r="BX285" s="855"/>
      <c r="BY285" s="855"/>
      <c r="BZ285" s="855"/>
      <c r="CA285" s="855"/>
      <c r="CB285" s="855"/>
      <c r="CC285" s="855"/>
      <c r="CD285" s="855"/>
      <c r="CE285" s="855"/>
      <c r="CF285" s="848"/>
      <c r="CG285" s="848"/>
      <c r="CH285" s="848"/>
      <c r="CI285" s="848"/>
      <c r="CJ285" s="848"/>
      <c r="CK285" s="848"/>
      <c r="CL285" s="848"/>
      <c r="CM285" s="848"/>
      <c r="CN285" s="848"/>
      <c r="CO285" s="848"/>
      <c r="CP285" s="848"/>
      <c r="CQ285" s="848"/>
      <c r="CR285" s="848"/>
      <c r="CS285" s="848"/>
      <c r="CT285" s="848"/>
      <c r="CU285" s="848"/>
      <c r="CV285" s="848"/>
      <c r="CW285" s="848"/>
    </row>
    <row r="286" spans="1:101" ht="49.9" customHeight="1">
      <c r="A286" s="845"/>
      <c r="B286" s="852" t="s">
        <v>834</v>
      </c>
      <c r="C286" s="852" t="s">
        <v>854</v>
      </c>
      <c r="D286" s="846"/>
      <c r="E286" s="845"/>
      <c r="F286" s="853" t="s">
        <v>544</v>
      </c>
      <c r="G286" s="853" t="s">
        <v>855</v>
      </c>
      <c r="H286" s="850">
        <f t="shared" si="220"/>
        <v>179</v>
      </c>
      <c r="I286" s="855">
        <v>179</v>
      </c>
      <c r="J286" s="848"/>
      <c r="K286" s="848"/>
      <c r="L286" s="848"/>
      <c r="M286" s="848"/>
      <c r="N286" s="848"/>
      <c r="O286" s="848"/>
      <c r="P286" s="848"/>
      <c r="Q286" s="848"/>
      <c r="R286" s="848"/>
      <c r="S286" s="848"/>
      <c r="T286" s="855">
        <f t="shared" si="238"/>
        <v>0</v>
      </c>
      <c r="U286" s="848">
        <v>0</v>
      </c>
      <c r="V286" s="848"/>
      <c r="W286" s="848"/>
      <c r="X286" s="848"/>
      <c r="Y286" s="848"/>
      <c r="Z286" s="848"/>
      <c r="AA286" s="848"/>
      <c r="AB286" s="848"/>
      <c r="AC286" s="848"/>
      <c r="AD286" s="848"/>
      <c r="AE286" s="848"/>
      <c r="AF286" s="848"/>
      <c r="AG286" s="848"/>
      <c r="AH286" s="855"/>
      <c r="AI286" s="855">
        <f t="shared" si="248"/>
        <v>179</v>
      </c>
      <c r="AJ286" s="855">
        <v>179</v>
      </c>
      <c r="AK286" s="855"/>
      <c r="AL286" s="855"/>
      <c r="AM286" s="855"/>
      <c r="AN286" s="855"/>
      <c r="AO286" s="855"/>
      <c r="AP286" s="855"/>
      <c r="AQ286" s="855"/>
      <c r="AR286" s="855"/>
      <c r="AS286" s="855"/>
      <c r="AT286" s="855"/>
      <c r="AU286" s="855"/>
      <c r="AV286" s="855"/>
      <c r="AW286" s="855"/>
      <c r="AX286" s="855"/>
      <c r="AY286" s="855">
        <f t="shared" si="247"/>
        <v>0</v>
      </c>
      <c r="AZ286" s="855"/>
      <c r="BA286" s="855"/>
      <c r="BB286" s="855"/>
      <c r="BC286" s="855"/>
      <c r="BD286" s="855"/>
      <c r="BE286" s="855"/>
      <c r="BF286" s="855"/>
      <c r="BG286" s="855"/>
      <c r="BH286" s="855"/>
      <c r="BI286" s="855"/>
      <c r="BJ286" s="855"/>
      <c r="BK286" s="855"/>
      <c r="BL286" s="855"/>
      <c r="BM286" s="855"/>
      <c r="BN286" s="855"/>
      <c r="BO286" s="848">
        <f t="shared" si="232"/>
        <v>160.665931</v>
      </c>
      <c r="BP286" s="855">
        <v>160.665931</v>
      </c>
      <c r="BQ286" s="855"/>
      <c r="BR286" s="855"/>
      <c r="BS286" s="855"/>
      <c r="BT286" s="855"/>
      <c r="BU286" s="855"/>
      <c r="BV286" s="855"/>
      <c r="BW286" s="855"/>
      <c r="BX286" s="855"/>
      <c r="BY286" s="855"/>
      <c r="BZ286" s="855"/>
      <c r="CA286" s="855"/>
      <c r="CB286" s="855"/>
      <c r="CC286" s="855"/>
      <c r="CD286" s="855"/>
      <c r="CE286" s="855"/>
      <c r="CF286" s="848"/>
      <c r="CG286" s="848"/>
      <c r="CH286" s="848"/>
      <c r="CI286" s="848"/>
      <c r="CJ286" s="848"/>
      <c r="CK286" s="848"/>
      <c r="CL286" s="848"/>
      <c r="CM286" s="848"/>
      <c r="CN286" s="848"/>
      <c r="CO286" s="848"/>
      <c r="CP286" s="848"/>
      <c r="CQ286" s="848"/>
      <c r="CR286" s="848"/>
      <c r="CS286" s="848"/>
      <c r="CT286" s="848"/>
      <c r="CU286" s="848"/>
      <c r="CV286" s="848"/>
      <c r="CW286" s="848"/>
    </row>
    <row r="287" spans="1:101" ht="42" customHeight="1">
      <c r="A287" s="845"/>
      <c r="B287" s="852" t="s">
        <v>834</v>
      </c>
      <c r="C287" s="852" t="s">
        <v>856</v>
      </c>
      <c r="D287" s="846"/>
      <c r="E287" s="845"/>
      <c r="F287" s="853" t="s">
        <v>544</v>
      </c>
      <c r="G287" s="853" t="s">
        <v>857</v>
      </c>
      <c r="H287" s="850">
        <f t="shared" si="220"/>
        <v>400</v>
      </c>
      <c r="I287" s="855">
        <v>400</v>
      </c>
      <c r="J287" s="848"/>
      <c r="K287" s="848"/>
      <c r="L287" s="848"/>
      <c r="M287" s="848"/>
      <c r="N287" s="848"/>
      <c r="O287" s="848"/>
      <c r="P287" s="848"/>
      <c r="Q287" s="848"/>
      <c r="R287" s="848"/>
      <c r="S287" s="848"/>
      <c r="T287" s="855">
        <f t="shared" si="238"/>
        <v>0</v>
      </c>
      <c r="U287" s="848">
        <v>0</v>
      </c>
      <c r="V287" s="848"/>
      <c r="W287" s="848"/>
      <c r="X287" s="848"/>
      <c r="Y287" s="848"/>
      <c r="Z287" s="848"/>
      <c r="AA287" s="848"/>
      <c r="AB287" s="848"/>
      <c r="AC287" s="848"/>
      <c r="AD287" s="848"/>
      <c r="AE287" s="848"/>
      <c r="AF287" s="848"/>
      <c r="AG287" s="848"/>
      <c r="AH287" s="855"/>
      <c r="AI287" s="855">
        <f t="shared" si="248"/>
        <v>400</v>
      </c>
      <c r="AJ287" s="855">
        <v>400</v>
      </c>
      <c r="AK287" s="855"/>
      <c r="AL287" s="855"/>
      <c r="AM287" s="855"/>
      <c r="AN287" s="855"/>
      <c r="AO287" s="855"/>
      <c r="AP287" s="855"/>
      <c r="AQ287" s="855"/>
      <c r="AR287" s="855"/>
      <c r="AS287" s="855"/>
      <c r="AT287" s="855"/>
      <c r="AU287" s="855"/>
      <c r="AV287" s="855"/>
      <c r="AW287" s="855"/>
      <c r="AX287" s="855"/>
      <c r="AY287" s="855">
        <f t="shared" si="247"/>
        <v>0</v>
      </c>
      <c r="AZ287" s="855"/>
      <c r="BA287" s="855"/>
      <c r="BB287" s="855"/>
      <c r="BC287" s="855"/>
      <c r="BD287" s="855"/>
      <c r="BE287" s="855"/>
      <c r="BF287" s="855"/>
      <c r="BG287" s="855"/>
      <c r="BH287" s="855"/>
      <c r="BI287" s="855"/>
      <c r="BJ287" s="855"/>
      <c r="BK287" s="855"/>
      <c r="BL287" s="855"/>
      <c r="BM287" s="855"/>
      <c r="BN287" s="855"/>
      <c r="BO287" s="848">
        <f t="shared" si="232"/>
        <v>387.68910499999998</v>
      </c>
      <c r="BP287" s="855">
        <v>387.68910499999998</v>
      </c>
      <c r="BQ287" s="855"/>
      <c r="BR287" s="855"/>
      <c r="BS287" s="855"/>
      <c r="BT287" s="855"/>
      <c r="BU287" s="855"/>
      <c r="BV287" s="855"/>
      <c r="BW287" s="855"/>
      <c r="BX287" s="855"/>
      <c r="BY287" s="855"/>
      <c r="BZ287" s="855"/>
      <c r="CA287" s="855"/>
      <c r="CB287" s="855"/>
      <c r="CC287" s="855"/>
      <c r="CD287" s="855"/>
      <c r="CE287" s="855"/>
      <c r="CF287" s="848"/>
      <c r="CG287" s="848"/>
      <c r="CH287" s="848"/>
      <c r="CI287" s="848"/>
      <c r="CJ287" s="848"/>
      <c r="CK287" s="848"/>
      <c r="CL287" s="848"/>
      <c r="CM287" s="848"/>
      <c r="CN287" s="848"/>
      <c r="CO287" s="848"/>
      <c r="CP287" s="848"/>
      <c r="CQ287" s="848"/>
      <c r="CR287" s="848"/>
      <c r="CS287" s="848"/>
      <c r="CT287" s="848"/>
      <c r="CU287" s="848"/>
      <c r="CV287" s="848"/>
      <c r="CW287" s="848"/>
    </row>
    <row r="288" spans="1:101" ht="57" customHeight="1">
      <c r="A288" s="845"/>
      <c r="B288" s="852" t="s">
        <v>834</v>
      </c>
      <c r="C288" s="852" t="s">
        <v>858</v>
      </c>
      <c r="D288" s="846"/>
      <c r="E288" s="845"/>
      <c r="F288" s="853" t="s">
        <v>544</v>
      </c>
      <c r="G288" s="853" t="s">
        <v>859</v>
      </c>
      <c r="H288" s="850">
        <f t="shared" si="220"/>
        <v>1061</v>
      </c>
      <c r="I288" s="855">
        <v>1061</v>
      </c>
      <c r="J288" s="848"/>
      <c r="K288" s="848"/>
      <c r="L288" s="848"/>
      <c r="M288" s="848"/>
      <c r="N288" s="848"/>
      <c r="O288" s="848"/>
      <c r="P288" s="848"/>
      <c r="Q288" s="848"/>
      <c r="R288" s="848"/>
      <c r="S288" s="848"/>
      <c r="T288" s="855">
        <f t="shared" si="238"/>
        <v>849.58199999999999</v>
      </c>
      <c r="U288" s="855">
        <v>849.58199999999999</v>
      </c>
      <c r="V288" s="848"/>
      <c r="W288" s="848"/>
      <c r="X288" s="848"/>
      <c r="Y288" s="848"/>
      <c r="Z288" s="848"/>
      <c r="AA288" s="848"/>
      <c r="AB288" s="848"/>
      <c r="AC288" s="848"/>
      <c r="AD288" s="848"/>
      <c r="AE288" s="848"/>
      <c r="AF288" s="848"/>
      <c r="AG288" s="848"/>
      <c r="AH288" s="855"/>
      <c r="AI288" s="855">
        <f t="shared" si="248"/>
        <v>879</v>
      </c>
      <c r="AJ288" s="855">
        <v>879</v>
      </c>
      <c r="AK288" s="855"/>
      <c r="AL288" s="855"/>
      <c r="AM288" s="855"/>
      <c r="AN288" s="855"/>
      <c r="AO288" s="855"/>
      <c r="AP288" s="855"/>
      <c r="AQ288" s="855"/>
      <c r="AR288" s="855"/>
      <c r="AS288" s="855"/>
      <c r="AT288" s="855"/>
      <c r="AU288" s="855"/>
      <c r="AV288" s="855"/>
      <c r="AW288" s="855"/>
      <c r="AX288" s="855"/>
      <c r="AY288" s="855">
        <f t="shared" si="247"/>
        <v>0</v>
      </c>
      <c r="AZ288" s="855"/>
      <c r="BA288" s="855"/>
      <c r="BB288" s="855"/>
      <c r="BC288" s="855"/>
      <c r="BD288" s="855"/>
      <c r="BE288" s="855"/>
      <c r="BF288" s="855"/>
      <c r="BG288" s="855"/>
      <c r="BH288" s="855"/>
      <c r="BI288" s="855"/>
      <c r="BJ288" s="855"/>
      <c r="BK288" s="855"/>
      <c r="BL288" s="855"/>
      <c r="BM288" s="855"/>
      <c r="BN288" s="855"/>
      <c r="BO288" s="848">
        <f t="shared" si="232"/>
        <v>20.127958</v>
      </c>
      <c r="BP288" s="855">
        <v>20.127958</v>
      </c>
      <c r="BQ288" s="855"/>
      <c r="BR288" s="855"/>
      <c r="BS288" s="855"/>
      <c r="BT288" s="855"/>
      <c r="BU288" s="855"/>
      <c r="BV288" s="855"/>
      <c r="BW288" s="855"/>
      <c r="BX288" s="855"/>
      <c r="BY288" s="855"/>
      <c r="BZ288" s="855"/>
      <c r="CA288" s="855"/>
      <c r="CB288" s="855"/>
      <c r="CC288" s="855"/>
      <c r="CD288" s="855"/>
      <c r="CE288" s="855"/>
      <c r="CF288" s="848"/>
      <c r="CG288" s="848"/>
      <c r="CH288" s="848"/>
      <c r="CI288" s="848"/>
      <c r="CJ288" s="848"/>
      <c r="CK288" s="848"/>
      <c r="CL288" s="848"/>
      <c r="CM288" s="848"/>
      <c r="CN288" s="848"/>
      <c r="CO288" s="848"/>
      <c r="CP288" s="848"/>
      <c r="CQ288" s="848"/>
      <c r="CR288" s="848"/>
      <c r="CS288" s="848"/>
      <c r="CT288" s="848"/>
      <c r="CU288" s="848"/>
      <c r="CV288" s="848"/>
      <c r="CW288" s="848"/>
    </row>
    <row r="289" spans="1:101" ht="57" customHeight="1">
      <c r="A289" s="845"/>
      <c r="B289" s="852" t="s">
        <v>834</v>
      </c>
      <c r="C289" s="852" t="s">
        <v>860</v>
      </c>
      <c r="D289" s="846"/>
      <c r="E289" s="845"/>
      <c r="F289" s="853" t="s">
        <v>544</v>
      </c>
      <c r="G289" s="853" t="s">
        <v>861</v>
      </c>
      <c r="H289" s="850">
        <f t="shared" si="220"/>
        <v>1108</v>
      </c>
      <c r="I289" s="855">
        <v>1108</v>
      </c>
      <c r="J289" s="848"/>
      <c r="K289" s="848"/>
      <c r="L289" s="848"/>
      <c r="M289" s="848"/>
      <c r="N289" s="848"/>
      <c r="O289" s="848"/>
      <c r="P289" s="848"/>
      <c r="Q289" s="848"/>
      <c r="R289" s="848"/>
      <c r="S289" s="848"/>
      <c r="T289" s="855">
        <f t="shared" si="238"/>
        <v>0</v>
      </c>
      <c r="U289" s="855"/>
      <c r="V289" s="848"/>
      <c r="W289" s="848"/>
      <c r="X289" s="848"/>
      <c r="Y289" s="848"/>
      <c r="Z289" s="848"/>
      <c r="AA289" s="848"/>
      <c r="AB289" s="848"/>
      <c r="AC289" s="848"/>
      <c r="AD289" s="848"/>
      <c r="AE289" s="848"/>
      <c r="AF289" s="848"/>
      <c r="AG289" s="848"/>
      <c r="AH289" s="855"/>
      <c r="AI289" s="855">
        <f t="shared" si="248"/>
        <v>479</v>
      </c>
      <c r="AJ289" s="855">
        <v>479</v>
      </c>
      <c r="AK289" s="855"/>
      <c r="AL289" s="855"/>
      <c r="AM289" s="855"/>
      <c r="AN289" s="855"/>
      <c r="AO289" s="855"/>
      <c r="AP289" s="855"/>
      <c r="AQ289" s="855"/>
      <c r="AR289" s="855"/>
      <c r="AS289" s="855"/>
      <c r="AT289" s="855"/>
      <c r="AU289" s="855"/>
      <c r="AV289" s="855"/>
      <c r="AW289" s="855"/>
      <c r="AX289" s="855"/>
      <c r="AY289" s="855">
        <f t="shared" si="247"/>
        <v>0</v>
      </c>
      <c r="AZ289" s="855"/>
      <c r="BA289" s="855"/>
      <c r="BB289" s="855"/>
      <c r="BC289" s="855"/>
      <c r="BD289" s="855"/>
      <c r="BE289" s="855"/>
      <c r="BF289" s="855"/>
      <c r="BG289" s="855"/>
      <c r="BH289" s="855"/>
      <c r="BI289" s="855"/>
      <c r="BJ289" s="855"/>
      <c r="BK289" s="855"/>
      <c r="BL289" s="855"/>
      <c r="BM289" s="855"/>
      <c r="BN289" s="855"/>
      <c r="BO289" s="848">
        <f t="shared" si="232"/>
        <v>459.04335099999997</v>
      </c>
      <c r="BP289" s="855">
        <v>459.04335099999997</v>
      </c>
      <c r="BQ289" s="855"/>
      <c r="BR289" s="855"/>
      <c r="BS289" s="855"/>
      <c r="BT289" s="855"/>
      <c r="BU289" s="855"/>
      <c r="BV289" s="855"/>
      <c r="BW289" s="855"/>
      <c r="BX289" s="855"/>
      <c r="BY289" s="855"/>
      <c r="BZ289" s="855"/>
      <c r="CA289" s="855"/>
      <c r="CB289" s="855"/>
      <c r="CC289" s="855"/>
      <c r="CD289" s="855"/>
      <c r="CE289" s="855"/>
      <c r="CF289" s="848"/>
      <c r="CG289" s="848"/>
      <c r="CH289" s="848"/>
      <c r="CI289" s="848"/>
      <c r="CJ289" s="848"/>
      <c r="CK289" s="848"/>
      <c r="CL289" s="848"/>
      <c r="CM289" s="848"/>
      <c r="CN289" s="848"/>
      <c r="CO289" s="848"/>
      <c r="CP289" s="848"/>
      <c r="CQ289" s="848"/>
      <c r="CR289" s="848"/>
      <c r="CS289" s="848"/>
      <c r="CT289" s="848"/>
      <c r="CU289" s="848"/>
      <c r="CV289" s="848"/>
      <c r="CW289" s="848"/>
    </row>
    <row r="290" spans="1:101" ht="37.15" customHeight="1">
      <c r="A290" s="845"/>
      <c r="B290" s="852" t="s">
        <v>834</v>
      </c>
      <c r="C290" s="852" t="s">
        <v>862</v>
      </c>
      <c r="D290" s="846"/>
      <c r="E290" s="845"/>
      <c r="F290" s="853" t="s">
        <v>544</v>
      </c>
      <c r="G290" s="853" t="s">
        <v>863</v>
      </c>
      <c r="H290" s="850">
        <f t="shared" si="220"/>
        <v>500</v>
      </c>
      <c r="I290" s="855">
        <v>500</v>
      </c>
      <c r="J290" s="848"/>
      <c r="K290" s="848"/>
      <c r="L290" s="848"/>
      <c r="M290" s="848"/>
      <c r="N290" s="848"/>
      <c r="O290" s="848"/>
      <c r="P290" s="848"/>
      <c r="Q290" s="848"/>
      <c r="R290" s="848"/>
      <c r="S290" s="848"/>
      <c r="T290" s="855">
        <f t="shared" si="238"/>
        <v>387.26100000000002</v>
      </c>
      <c r="U290" s="855">
        <v>387.26100000000002</v>
      </c>
      <c r="V290" s="848"/>
      <c r="W290" s="848"/>
      <c r="X290" s="848"/>
      <c r="Y290" s="848"/>
      <c r="Z290" s="848"/>
      <c r="AA290" s="848"/>
      <c r="AB290" s="848"/>
      <c r="AC290" s="848"/>
      <c r="AD290" s="848"/>
      <c r="AE290" s="848"/>
      <c r="AF290" s="848"/>
      <c r="AG290" s="848"/>
      <c r="AH290" s="855"/>
      <c r="AI290" s="855">
        <f t="shared" si="248"/>
        <v>400</v>
      </c>
      <c r="AJ290" s="855">
        <v>400</v>
      </c>
      <c r="AK290" s="855"/>
      <c r="AL290" s="855"/>
      <c r="AM290" s="855"/>
      <c r="AN290" s="855"/>
      <c r="AO290" s="855"/>
      <c r="AP290" s="855"/>
      <c r="AQ290" s="855"/>
      <c r="AR290" s="855"/>
      <c r="AS290" s="855"/>
      <c r="AT290" s="855"/>
      <c r="AU290" s="855"/>
      <c r="AV290" s="855"/>
      <c r="AW290" s="855"/>
      <c r="AX290" s="855"/>
      <c r="AY290" s="855">
        <f t="shared" si="247"/>
        <v>0</v>
      </c>
      <c r="AZ290" s="855"/>
      <c r="BA290" s="855"/>
      <c r="BB290" s="855"/>
      <c r="BC290" s="855"/>
      <c r="BD290" s="855"/>
      <c r="BE290" s="855"/>
      <c r="BF290" s="855"/>
      <c r="BG290" s="855"/>
      <c r="BH290" s="855"/>
      <c r="BI290" s="855"/>
      <c r="BJ290" s="855"/>
      <c r="BK290" s="855"/>
      <c r="BL290" s="855"/>
      <c r="BM290" s="855"/>
      <c r="BN290" s="855"/>
      <c r="BO290" s="848">
        <f t="shared" si="232"/>
        <v>8.8000000000000007</v>
      </c>
      <c r="BP290" s="855">
        <v>8.8000000000000007</v>
      </c>
      <c r="BQ290" s="855"/>
      <c r="BR290" s="855"/>
      <c r="BS290" s="855"/>
      <c r="BT290" s="855"/>
      <c r="BU290" s="855"/>
      <c r="BV290" s="855"/>
      <c r="BW290" s="855"/>
      <c r="BX290" s="855"/>
      <c r="BY290" s="855"/>
      <c r="BZ290" s="855"/>
      <c r="CA290" s="855"/>
      <c r="CB290" s="855"/>
      <c r="CC290" s="855"/>
      <c r="CD290" s="855"/>
      <c r="CE290" s="855"/>
      <c r="CF290" s="848"/>
      <c r="CG290" s="848"/>
      <c r="CH290" s="848"/>
      <c r="CI290" s="848"/>
      <c r="CJ290" s="848"/>
      <c r="CK290" s="848"/>
      <c r="CL290" s="848"/>
      <c r="CM290" s="848"/>
      <c r="CN290" s="848"/>
      <c r="CO290" s="848"/>
      <c r="CP290" s="848"/>
      <c r="CQ290" s="848"/>
      <c r="CR290" s="848"/>
      <c r="CS290" s="848"/>
      <c r="CT290" s="848"/>
      <c r="CU290" s="848"/>
      <c r="CV290" s="848"/>
      <c r="CW290" s="848"/>
    </row>
    <row r="291" spans="1:101" ht="39" customHeight="1">
      <c r="A291" s="845"/>
      <c r="B291" s="852" t="s">
        <v>834</v>
      </c>
      <c r="C291" s="852" t="s">
        <v>864</v>
      </c>
      <c r="D291" s="846"/>
      <c r="E291" s="845"/>
      <c r="F291" s="853" t="s">
        <v>544</v>
      </c>
      <c r="G291" s="853" t="s">
        <v>865</v>
      </c>
      <c r="H291" s="850">
        <f t="shared" si="220"/>
        <v>150</v>
      </c>
      <c r="I291" s="855">
        <v>150</v>
      </c>
      <c r="J291" s="848"/>
      <c r="K291" s="848"/>
      <c r="L291" s="848"/>
      <c r="M291" s="848"/>
      <c r="N291" s="848"/>
      <c r="O291" s="848"/>
      <c r="P291" s="848"/>
      <c r="Q291" s="848"/>
      <c r="R291" s="848"/>
      <c r="S291" s="848"/>
      <c r="T291" s="855">
        <f t="shared" si="238"/>
        <v>0</v>
      </c>
      <c r="U291" s="848">
        <v>0</v>
      </c>
      <c r="V291" s="848"/>
      <c r="W291" s="848"/>
      <c r="X291" s="848"/>
      <c r="Y291" s="848"/>
      <c r="Z291" s="848"/>
      <c r="AA291" s="848"/>
      <c r="AB291" s="848"/>
      <c r="AC291" s="848"/>
      <c r="AD291" s="848"/>
      <c r="AE291" s="848"/>
      <c r="AF291" s="848"/>
      <c r="AG291" s="848"/>
      <c r="AH291" s="855"/>
      <c r="AI291" s="855">
        <f t="shared" si="248"/>
        <v>150</v>
      </c>
      <c r="AJ291" s="855">
        <v>150</v>
      </c>
      <c r="AK291" s="855"/>
      <c r="AL291" s="855"/>
      <c r="AM291" s="855"/>
      <c r="AN291" s="855"/>
      <c r="AO291" s="855"/>
      <c r="AP291" s="855"/>
      <c r="AQ291" s="855"/>
      <c r="AR291" s="855"/>
      <c r="AS291" s="855"/>
      <c r="AT291" s="855"/>
      <c r="AU291" s="855"/>
      <c r="AV291" s="855"/>
      <c r="AW291" s="855"/>
      <c r="AX291" s="855"/>
      <c r="AY291" s="855">
        <f t="shared" si="247"/>
        <v>0</v>
      </c>
      <c r="AZ291" s="855"/>
      <c r="BA291" s="855"/>
      <c r="BB291" s="855"/>
      <c r="BC291" s="855"/>
      <c r="BD291" s="855"/>
      <c r="BE291" s="855"/>
      <c r="BF291" s="855"/>
      <c r="BG291" s="855"/>
      <c r="BH291" s="855"/>
      <c r="BI291" s="855"/>
      <c r="BJ291" s="855"/>
      <c r="BK291" s="855"/>
      <c r="BL291" s="855"/>
      <c r="BM291" s="855"/>
      <c r="BN291" s="855"/>
      <c r="BO291" s="848">
        <f t="shared" si="232"/>
        <v>150</v>
      </c>
      <c r="BP291" s="855">
        <v>150</v>
      </c>
      <c r="BQ291" s="855"/>
      <c r="BR291" s="855"/>
      <c r="BS291" s="855"/>
      <c r="BT291" s="855"/>
      <c r="BU291" s="855"/>
      <c r="BV291" s="855"/>
      <c r="BW291" s="855"/>
      <c r="BX291" s="855"/>
      <c r="BY291" s="855"/>
      <c r="BZ291" s="855"/>
      <c r="CA291" s="855"/>
      <c r="CB291" s="855"/>
      <c r="CC291" s="855"/>
      <c r="CD291" s="855"/>
      <c r="CE291" s="855"/>
      <c r="CF291" s="848"/>
      <c r="CG291" s="848"/>
      <c r="CH291" s="848"/>
      <c r="CI291" s="848"/>
      <c r="CJ291" s="848"/>
      <c r="CK291" s="848"/>
      <c r="CL291" s="848"/>
      <c r="CM291" s="848"/>
      <c r="CN291" s="848"/>
      <c r="CO291" s="848"/>
      <c r="CP291" s="848"/>
      <c r="CQ291" s="848"/>
      <c r="CR291" s="848"/>
      <c r="CS291" s="848"/>
      <c r="CT291" s="848"/>
      <c r="CU291" s="848"/>
      <c r="CV291" s="848"/>
      <c r="CW291" s="848"/>
    </row>
    <row r="292" spans="1:101" ht="31.9" customHeight="1">
      <c r="A292" s="845"/>
      <c r="B292" s="852" t="s">
        <v>834</v>
      </c>
      <c r="C292" s="852" t="s">
        <v>866</v>
      </c>
      <c r="D292" s="846"/>
      <c r="E292" s="845"/>
      <c r="F292" s="853" t="s">
        <v>544</v>
      </c>
      <c r="G292" s="853" t="s">
        <v>867</v>
      </c>
      <c r="H292" s="850">
        <f t="shared" si="220"/>
        <v>286</v>
      </c>
      <c r="I292" s="855">
        <v>286</v>
      </c>
      <c r="J292" s="848"/>
      <c r="K292" s="848"/>
      <c r="L292" s="848"/>
      <c r="M292" s="848"/>
      <c r="N292" s="848"/>
      <c r="O292" s="848"/>
      <c r="P292" s="848"/>
      <c r="Q292" s="848"/>
      <c r="R292" s="848"/>
      <c r="S292" s="848"/>
      <c r="T292" s="855">
        <f t="shared" si="238"/>
        <v>180</v>
      </c>
      <c r="U292" s="855">
        <v>180</v>
      </c>
      <c r="V292" s="848"/>
      <c r="W292" s="848"/>
      <c r="X292" s="848"/>
      <c r="Y292" s="848"/>
      <c r="Z292" s="848"/>
      <c r="AA292" s="848"/>
      <c r="AB292" s="848"/>
      <c r="AC292" s="848"/>
      <c r="AD292" s="848"/>
      <c r="AE292" s="848"/>
      <c r="AF292" s="848"/>
      <c r="AG292" s="848"/>
      <c r="AH292" s="855"/>
      <c r="AI292" s="855">
        <f t="shared" si="248"/>
        <v>220</v>
      </c>
      <c r="AJ292" s="855">
        <v>220</v>
      </c>
      <c r="AK292" s="855"/>
      <c r="AL292" s="855"/>
      <c r="AM292" s="855"/>
      <c r="AN292" s="855"/>
      <c r="AO292" s="855"/>
      <c r="AP292" s="855"/>
      <c r="AQ292" s="855"/>
      <c r="AR292" s="855"/>
      <c r="AS292" s="855"/>
      <c r="AT292" s="855"/>
      <c r="AU292" s="855"/>
      <c r="AV292" s="855"/>
      <c r="AW292" s="855"/>
      <c r="AX292" s="855"/>
      <c r="AY292" s="855">
        <f t="shared" si="247"/>
        <v>0</v>
      </c>
      <c r="AZ292" s="855"/>
      <c r="BA292" s="855"/>
      <c r="BB292" s="855"/>
      <c r="BC292" s="855"/>
      <c r="BD292" s="855"/>
      <c r="BE292" s="855"/>
      <c r="BF292" s="855"/>
      <c r="BG292" s="855"/>
      <c r="BH292" s="855"/>
      <c r="BI292" s="855"/>
      <c r="BJ292" s="855"/>
      <c r="BK292" s="855"/>
      <c r="BL292" s="855"/>
      <c r="BM292" s="855"/>
      <c r="BN292" s="855"/>
      <c r="BO292" s="848">
        <f t="shared" si="232"/>
        <v>35.304000000000002</v>
      </c>
      <c r="BP292" s="855">
        <v>35.304000000000002</v>
      </c>
      <c r="BQ292" s="855"/>
      <c r="BR292" s="855"/>
      <c r="BS292" s="855"/>
      <c r="BT292" s="855"/>
      <c r="BU292" s="855"/>
      <c r="BV292" s="855"/>
      <c r="BW292" s="855"/>
      <c r="BX292" s="855"/>
      <c r="BY292" s="855"/>
      <c r="BZ292" s="855"/>
      <c r="CA292" s="855"/>
      <c r="CB292" s="855"/>
      <c r="CC292" s="855"/>
      <c r="CD292" s="855"/>
      <c r="CE292" s="855"/>
      <c r="CF292" s="848"/>
      <c r="CG292" s="848"/>
      <c r="CH292" s="848"/>
      <c r="CI292" s="848"/>
      <c r="CJ292" s="848"/>
      <c r="CK292" s="848"/>
      <c r="CL292" s="848"/>
      <c r="CM292" s="848"/>
      <c r="CN292" s="848"/>
      <c r="CO292" s="848"/>
      <c r="CP292" s="848"/>
      <c r="CQ292" s="848"/>
      <c r="CR292" s="848"/>
      <c r="CS292" s="848"/>
      <c r="CT292" s="848"/>
      <c r="CU292" s="848"/>
      <c r="CV292" s="848"/>
      <c r="CW292" s="848"/>
    </row>
    <row r="293" spans="1:101" ht="34.15" customHeight="1">
      <c r="A293" s="845"/>
      <c r="B293" s="852" t="s">
        <v>834</v>
      </c>
      <c r="C293" s="852" t="s">
        <v>868</v>
      </c>
      <c r="D293" s="846"/>
      <c r="E293" s="845"/>
      <c r="F293" s="853" t="s">
        <v>544</v>
      </c>
      <c r="G293" s="853" t="s">
        <v>869</v>
      </c>
      <c r="H293" s="850">
        <f t="shared" si="220"/>
        <v>287</v>
      </c>
      <c r="I293" s="855">
        <v>287</v>
      </c>
      <c r="J293" s="848"/>
      <c r="K293" s="848"/>
      <c r="L293" s="848"/>
      <c r="M293" s="848"/>
      <c r="N293" s="848"/>
      <c r="O293" s="848"/>
      <c r="P293" s="848"/>
      <c r="Q293" s="848"/>
      <c r="R293" s="848"/>
      <c r="S293" s="848"/>
      <c r="T293" s="855">
        <f t="shared" si="238"/>
        <v>180</v>
      </c>
      <c r="U293" s="855">
        <v>180</v>
      </c>
      <c r="V293" s="848"/>
      <c r="W293" s="848"/>
      <c r="X293" s="848"/>
      <c r="Y293" s="848"/>
      <c r="Z293" s="848"/>
      <c r="AA293" s="848"/>
      <c r="AB293" s="848"/>
      <c r="AC293" s="848"/>
      <c r="AD293" s="848"/>
      <c r="AE293" s="848"/>
      <c r="AF293" s="848"/>
      <c r="AG293" s="848"/>
      <c r="AH293" s="855"/>
      <c r="AI293" s="855">
        <f t="shared" si="248"/>
        <v>220</v>
      </c>
      <c r="AJ293" s="855">
        <v>220</v>
      </c>
      <c r="AK293" s="855"/>
      <c r="AL293" s="855"/>
      <c r="AM293" s="855"/>
      <c r="AN293" s="855"/>
      <c r="AO293" s="855"/>
      <c r="AP293" s="855"/>
      <c r="AQ293" s="855"/>
      <c r="AR293" s="855"/>
      <c r="AS293" s="855"/>
      <c r="AT293" s="855"/>
      <c r="AU293" s="855"/>
      <c r="AV293" s="855"/>
      <c r="AW293" s="855"/>
      <c r="AX293" s="855"/>
      <c r="AY293" s="855">
        <f t="shared" si="247"/>
        <v>0</v>
      </c>
      <c r="AZ293" s="855"/>
      <c r="BA293" s="855"/>
      <c r="BB293" s="855"/>
      <c r="BC293" s="855"/>
      <c r="BD293" s="855"/>
      <c r="BE293" s="855"/>
      <c r="BF293" s="855"/>
      <c r="BG293" s="855"/>
      <c r="BH293" s="855"/>
      <c r="BI293" s="855"/>
      <c r="BJ293" s="855"/>
      <c r="BK293" s="855"/>
      <c r="BL293" s="855"/>
      <c r="BM293" s="855"/>
      <c r="BN293" s="855"/>
      <c r="BO293" s="848">
        <f t="shared" si="232"/>
        <v>33.613140000000001</v>
      </c>
      <c r="BP293" s="855">
        <v>33.613140000000001</v>
      </c>
      <c r="BQ293" s="855"/>
      <c r="BR293" s="855"/>
      <c r="BS293" s="855"/>
      <c r="BT293" s="855"/>
      <c r="BU293" s="855"/>
      <c r="BV293" s="855"/>
      <c r="BW293" s="855"/>
      <c r="BX293" s="855"/>
      <c r="BY293" s="855"/>
      <c r="BZ293" s="855"/>
      <c r="CA293" s="855"/>
      <c r="CB293" s="855"/>
      <c r="CC293" s="855"/>
      <c r="CD293" s="855"/>
      <c r="CE293" s="855"/>
      <c r="CF293" s="848"/>
      <c r="CG293" s="848"/>
      <c r="CH293" s="848"/>
      <c r="CI293" s="848"/>
      <c r="CJ293" s="848"/>
      <c r="CK293" s="848"/>
      <c r="CL293" s="848"/>
      <c r="CM293" s="848"/>
      <c r="CN293" s="848"/>
      <c r="CO293" s="848"/>
      <c r="CP293" s="848"/>
      <c r="CQ293" s="848"/>
      <c r="CR293" s="848"/>
      <c r="CS293" s="848"/>
      <c r="CT293" s="848"/>
      <c r="CU293" s="848"/>
      <c r="CV293" s="848"/>
      <c r="CW293" s="848"/>
    </row>
    <row r="294" spans="1:101" ht="57" customHeight="1">
      <c r="A294" s="845"/>
      <c r="B294" s="852" t="s">
        <v>834</v>
      </c>
      <c r="C294" s="852" t="s">
        <v>870</v>
      </c>
      <c r="D294" s="846"/>
      <c r="E294" s="845"/>
      <c r="F294" s="853" t="s">
        <v>544</v>
      </c>
      <c r="G294" s="853" t="s">
        <v>871</v>
      </c>
      <c r="H294" s="850">
        <f t="shared" si="220"/>
        <v>370</v>
      </c>
      <c r="I294" s="855">
        <v>370</v>
      </c>
      <c r="J294" s="848"/>
      <c r="K294" s="848"/>
      <c r="L294" s="848"/>
      <c r="M294" s="848"/>
      <c r="N294" s="848"/>
      <c r="O294" s="848"/>
      <c r="P294" s="848"/>
      <c r="Q294" s="848"/>
      <c r="R294" s="848"/>
      <c r="S294" s="848"/>
      <c r="T294" s="855">
        <f t="shared" si="238"/>
        <v>226</v>
      </c>
      <c r="U294" s="855">
        <v>226</v>
      </c>
      <c r="V294" s="848"/>
      <c r="W294" s="848"/>
      <c r="X294" s="848"/>
      <c r="Y294" s="848"/>
      <c r="Z294" s="848"/>
      <c r="AA294" s="848"/>
      <c r="AB294" s="848"/>
      <c r="AC294" s="848"/>
      <c r="AD294" s="848"/>
      <c r="AE294" s="848"/>
      <c r="AF294" s="848"/>
      <c r="AG294" s="848"/>
      <c r="AH294" s="855"/>
      <c r="AI294" s="855">
        <f t="shared" si="248"/>
        <v>289</v>
      </c>
      <c r="AJ294" s="855">
        <v>289</v>
      </c>
      <c r="AK294" s="855"/>
      <c r="AL294" s="855"/>
      <c r="AM294" s="855"/>
      <c r="AN294" s="855"/>
      <c r="AO294" s="855"/>
      <c r="AP294" s="855"/>
      <c r="AQ294" s="855"/>
      <c r="AR294" s="855"/>
      <c r="AS294" s="855"/>
      <c r="AT294" s="855"/>
      <c r="AU294" s="855"/>
      <c r="AV294" s="855"/>
      <c r="AW294" s="855"/>
      <c r="AX294" s="855"/>
      <c r="AY294" s="855">
        <f t="shared" si="247"/>
        <v>0</v>
      </c>
      <c r="AZ294" s="855"/>
      <c r="BA294" s="855"/>
      <c r="BB294" s="855"/>
      <c r="BC294" s="855"/>
      <c r="BD294" s="855"/>
      <c r="BE294" s="855"/>
      <c r="BF294" s="855"/>
      <c r="BG294" s="855"/>
      <c r="BH294" s="855"/>
      <c r="BI294" s="855"/>
      <c r="BJ294" s="855"/>
      <c r="BK294" s="855"/>
      <c r="BL294" s="855"/>
      <c r="BM294" s="855"/>
      <c r="BN294" s="855"/>
      <c r="BO294" s="848">
        <f t="shared" si="232"/>
        <v>63</v>
      </c>
      <c r="BP294" s="855">
        <v>63</v>
      </c>
      <c r="BQ294" s="855"/>
      <c r="BR294" s="855"/>
      <c r="BS294" s="855"/>
      <c r="BT294" s="855"/>
      <c r="BU294" s="855"/>
      <c r="BV294" s="855"/>
      <c r="BW294" s="855"/>
      <c r="BX294" s="855"/>
      <c r="BY294" s="855"/>
      <c r="BZ294" s="855"/>
      <c r="CA294" s="855"/>
      <c r="CB294" s="855"/>
      <c r="CC294" s="855"/>
      <c r="CD294" s="855"/>
      <c r="CE294" s="855"/>
      <c r="CF294" s="848"/>
      <c r="CG294" s="848"/>
      <c r="CH294" s="848"/>
      <c r="CI294" s="848"/>
      <c r="CJ294" s="848"/>
      <c r="CK294" s="848"/>
      <c r="CL294" s="848"/>
      <c r="CM294" s="848"/>
      <c r="CN294" s="848"/>
      <c r="CO294" s="848"/>
      <c r="CP294" s="848"/>
      <c r="CQ294" s="848"/>
      <c r="CR294" s="848"/>
      <c r="CS294" s="848"/>
      <c r="CT294" s="848"/>
      <c r="CU294" s="848"/>
      <c r="CV294" s="848"/>
      <c r="CW294" s="848"/>
    </row>
    <row r="295" spans="1:101" ht="66" customHeight="1">
      <c r="A295" s="845"/>
      <c r="B295" s="852" t="s">
        <v>834</v>
      </c>
      <c r="C295" s="852" t="s">
        <v>872</v>
      </c>
      <c r="D295" s="846"/>
      <c r="E295" s="845"/>
      <c r="F295" s="853" t="s">
        <v>544</v>
      </c>
      <c r="G295" s="853" t="s">
        <v>873</v>
      </c>
      <c r="H295" s="850">
        <f t="shared" si="220"/>
        <v>0</v>
      </c>
      <c r="I295" s="848"/>
      <c r="J295" s="848"/>
      <c r="K295" s="848"/>
      <c r="L295" s="848"/>
      <c r="M295" s="848"/>
      <c r="N295" s="848"/>
      <c r="O295" s="848"/>
      <c r="P295" s="848"/>
      <c r="Q295" s="848"/>
      <c r="R295" s="848"/>
      <c r="S295" s="848"/>
      <c r="T295" s="855">
        <f t="shared" si="238"/>
        <v>0</v>
      </c>
      <c r="U295" s="848">
        <v>0</v>
      </c>
      <c r="V295" s="848"/>
      <c r="W295" s="848"/>
      <c r="X295" s="848"/>
      <c r="Y295" s="848"/>
      <c r="Z295" s="848"/>
      <c r="AA295" s="848"/>
      <c r="AB295" s="848"/>
      <c r="AC295" s="848"/>
      <c r="AD295" s="848"/>
      <c r="AE295" s="848"/>
      <c r="AF295" s="848"/>
      <c r="AG295" s="848"/>
      <c r="AH295" s="855"/>
      <c r="AI295" s="855">
        <f t="shared" si="248"/>
        <v>879</v>
      </c>
      <c r="AJ295" s="855">
        <v>879</v>
      </c>
      <c r="AK295" s="855"/>
      <c r="AL295" s="855"/>
      <c r="AM295" s="855"/>
      <c r="AN295" s="855"/>
      <c r="AO295" s="855"/>
      <c r="AP295" s="855"/>
      <c r="AQ295" s="855"/>
      <c r="AR295" s="855"/>
      <c r="AS295" s="855"/>
      <c r="AT295" s="855"/>
      <c r="AU295" s="855"/>
      <c r="AV295" s="855"/>
      <c r="AW295" s="855"/>
      <c r="AX295" s="855"/>
      <c r="AY295" s="855">
        <f t="shared" si="247"/>
        <v>0</v>
      </c>
      <c r="AZ295" s="855"/>
      <c r="BA295" s="855"/>
      <c r="BB295" s="855"/>
      <c r="BC295" s="855"/>
      <c r="BD295" s="855"/>
      <c r="BE295" s="855"/>
      <c r="BF295" s="855"/>
      <c r="BG295" s="855"/>
      <c r="BH295" s="855"/>
      <c r="BI295" s="855"/>
      <c r="BJ295" s="855"/>
      <c r="BK295" s="855"/>
      <c r="BL295" s="855"/>
      <c r="BM295" s="855"/>
      <c r="BN295" s="855"/>
      <c r="BO295" s="848">
        <f t="shared" si="232"/>
        <v>879</v>
      </c>
      <c r="BP295" s="855">
        <v>879</v>
      </c>
      <c r="BQ295" s="855"/>
      <c r="BR295" s="855"/>
      <c r="BS295" s="855"/>
      <c r="BT295" s="855"/>
      <c r="BU295" s="855"/>
      <c r="BV295" s="855"/>
      <c r="BW295" s="855"/>
      <c r="BX295" s="855"/>
      <c r="BY295" s="855"/>
      <c r="BZ295" s="855"/>
      <c r="CA295" s="855"/>
      <c r="CB295" s="855"/>
      <c r="CC295" s="855"/>
      <c r="CD295" s="855"/>
      <c r="CE295" s="855"/>
      <c r="CF295" s="848"/>
      <c r="CG295" s="848"/>
      <c r="CH295" s="848"/>
      <c r="CI295" s="848"/>
      <c r="CJ295" s="848"/>
      <c r="CK295" s="848"/>
      <c r="CL295" s="848"/>
      <c r="CM295" s="848"/>
      <c r="CN295" s="848"/>
      <c r="CO295" s="848"/>
      <c r="CP295" s="848"/>
      <c r="CQ295" s="848"/>
      <c r="CR295" s="848"/>
      <c r="CS295" s="848"/>
      <c r="CT295" s="848"/>
      <c r="CU295" s="848"/>
      <c r="CV295" s="848"/>
      <c r="CW295" s="848"/>
    </row>
    <row r="296" spans="1:101" ht="51" customHeight="1">
      <c r="A296" s="845"/>
      <c r="B296" s="852" t="s">
        <v>834</v>
      </c>
      <c r="C296" s="852" t="s">
        <v>874</v>
      </c>
      <c r="D296" s="846"/>
      <c r="E296" s="845"/>
      <c r="F296" s="853" t="s">
        <v>544</v>
      </c>
      <c r="G296" s="853" t="s">
        <v>849</v>
      </c>
      <c r="H296" s="850">
        <f t="shared" si="220"/>
        <v>0</v>
      </c>
      <c r="I296" s="848"/>
      <c r="J296" s="848"/>
      <c r="K296" s="848"/>
      <c r="L296" s="848"/>
      <c r="M296" s="848"/>
      <c r="N296" s="848"/>
      <c r="O296" s="848"/>
      <c r="P296" s="848"/>
      <c r="Q296" s="848"/>
      <c r="R296" s="848"/>
      <c r="S296" s="848"/>
      <c r="T296" s="855">
        <f t="shared" si="238"/>
        <v>0</v>
      </c>
      <c r="U296" s="848">
        <v>0</v>
      </c>
      <c r="V296" s="848"/>
      <c r="W296" s="848"/>
      <c r="X296" s="848"/>
      <c r="Y296" s="848"/>
      <c r="Z296" s="848"/>
      <c r="AA296" s="848"/>
      <c r="AB296" s="848"/>
      <c r="AC296" s="848"/>
      <c r="AD296" s="848"/>
      <c r="AE296" s="848"/>
      <c r="AF296" s="848"/>
      <c r="AG296" s="848"/>
      <c r="AH296" s="855"/>
      <c r="AI296" s="855">
        <f t="shared" si="248"/>
        <v>879</v>
      </c>
      <c r="AJ296" s="855">
        <v>879</v>
      </c>
      <c r="AK296" s="855"/>
      <c r="AL296" s="855"/>
      <c r="AM296" s="855"/>
      <c r="AN296" s="855"/>
      <c r="AO296" s="855"/>
      <c r="AP296" s="855"/>
      <c r="AQ296" s="855"/>
      <c r="AR296" s="855"/>
      <c r="AS296" s="855"/>
      <c r="AT296" s="855"/>
      <c r="AU296" s="855"/>
      <c r="AV296" s="855"/>
      <c r="AW296" s="855"/>
      <c r="AX296" s="855"/>
      <c r="AY296" s="855">
        <f t="shared" si="247"/>
        <v>0</v>
      </c>
      <c r="AZ296" s="855"/>
      <c r="BA296" s="855"/>
      <c r="BB296" s="855"/>
      <c r="BC296" s="855"/>
      <c r="BD296" s="855"/>
      <c r="BE296" s="855"/>
      <c r="BF296" s="855"/>
      <c r="BG296" s="855"/>
      <c r="BH296" s="855"/>
      <c r="BI296" s="855"/>
      <c r="BJ296" s="855"/>
      <c r="BK296" s="855"/>
      <c r="BL296" s="855"/>
      <c r="BM296" s="855"/>
      <c r="BN296" s="855"/>
      <c r="BO296" s="848">
        <f t="shared" si="232"/>
        <v>866.18200000000002</v>
      </c>
      <c r="BP296" s="855">
        <v>866.18200000000002</v>
      </c>
      <c r="BQ296" s="855"/>
      <c r="BR296" s="855"/>
      <c r="BS296" s="855"/>
      <c r="BT296" s="855"/>
      <c r="BU296" s="855"/>
      <c r="BV296" s="855"/>
      <c r="BW296" s="855"/>
      <c r="BX296" s="855"/>
      <c r="BY296" s="855"/>
      <c r="BZ296" s="855"/>
      <c r="CA296" s="855"/>
      <c r="CB296" s="855"/>
      <c r="CC296" s="855"/>
      <c r="CD296" s="855"/>
      <c r="CE296" s="855"/>
      <c r="CF296" s="848"/>
      <c r="CG296" s="848"/>
      <c r="CH296" s="848"/>
      <c r="CI296" s="848"/>
      <c r="CJ296" s="848"/>
      <c r="CK296" s="848"/>
      <c r="CL296" s="848"/>
      <c r="CM296" s="848"/>
      <c r="CN296" s="848"/>
      <c r="CO296" s="848"/>
      <c r="CP296" s="848"/>
      <c r="CQ296" s="848"/>
      <c r="CR296" s="848"/>
      <c r="CS296" s="848"/>
      <c r="CT296" s="848"/>
      <c r="CU296" s="848"/>
      <c r="CV296" s="848"/>
      <c r="CW296" s="848"/>
    </row>
    <row r="297" spans="1:101" ht="41.45" customHeight="1">
      <c r="A297" s="845"/>
      <c r="B297" s="852" t="s">
        <v>834</v>
      </c>
      <c r="C297" s="852" t="s">
        <v>875</v>
      </c>
      <c r="D297" s="846"/>
      <c r="E297" s="845"/>
      <c r="F297" s="853" t="s">
        <v>544</v>
      </c>
      <c r="G297" s="853" t="s">
        <v>876</v>
      </c>
      <c r="H297" s="850">
        <f t="shared" si="220"/>
        <v>0</v>
      </c>
      <c r="I297" s="848"/>
      <c r="J297" s="848"/>
      <c r="K297" s="848"/>
      <c r="L297" s="848"/>
      <c r="M297" s="848"/>
      <c r="N297" s="848"/>
      <c r="O297" s="848"/>
      <c r="P297" s="848"/>
      <c r="Q297" s="848"/>
      <c r="R297" s="848"/>
      <c r="S297" s="848"/>
      <c r="T297" s="855">
        <f t="shared" si="238"/>
        <v>0</v>
      </c>
      <c r="U297" s="848">
        <v>0</v>
      </c>
      <c r="V297" s="848"/>
      <c r="W297" s="848"/>
      <c r="X297" s="848"/>
      <c r="Y297" s="848"/>
      <c r="Z297" s="848"/>
      <c r="AA297" s="848"/>
      <c r="AB297" s="848"/>
      <c r="AC297" s="848"/>
      <c r="AD297" s="848"/>
      <c r="AE297" s="848"/>
      <c r="AF297" s="848"/>
      <c r="AG297" s="848"/>
      <c r="AH297" s="855"/>
      <c r="AI297" s="855">
        <f t="shared" si="248"/>
        <v>150</v>
      </c>
      <c r="AJ297" s="855">
        <v>150</v>
      </c>
      <c r="AK297" s="855"/>
      <c r="AL297" s="855"/>
      <c r="AM297" s="855"/>
      <c r="AN297" s="855"/>
      <c r="AO297" s="855"/>
      <c r="AP297" s="855"/>
      <c r="AQ297" s="855"/>
      <c r="AR297" s="855"/>
      <c r="AS297" s="855"/>
      <c r="AT297" s="855"/>
      <c r="AU297" s="855"/>
      <c r="AV297" s="855"/>
      <c r="AW297" s="855"/>
      <c r="AX297" s="855"/>
      <c r="AY297" s="855">
        <f t="shared" si="247"/>
        <v>0</v>
      </c>
      <c r="AZ297" s="855"/>
      <c r="BA297" s="855"/>
      <c r="BB297" s="855"/>
      <c r="BC297" s="855"/>
      <c r="BD297" s="855"/>
      <c r="BE297" s="855"/>
      <c r="BF297" s="855"/>
      <c r="BG297" s="855"/>
      <c r="BH297" s="855"/>
      <c r="BI297" s="855"/>
      <c r="BJ297" s="855"/>
      <c r="BK297" s="855"/>
      <c r="BL297" s="855"/>
      <c r="BM297" s="855"/>
      <c r="BN297" s="855"/>
      <c r="BO297" s="848">
        <f t="shared" si="232"/>
        <v>144.88999999999999</v>
      </c>
      <c r="BP297" s="855">
        <v>144.88999999999999</v>
      </c>
      <c r="BQ297" s="855"/>
      <c r="BR297" s="855"/>
      <c r="BS297" s="855"/>
      <c r="BT297" s="855"/>
      <c r="BU297" s="855"/>
      <c r="BV297" s="855"/>
      <c r="BW297" s="855"/>
      <c r="BX297" s="855"/>
      <c r="BY297" s="855"/>
      <c r="BZ297" s="855"/>
      <c r="CA297" s="855"/>
      <c r="CB297" s="855"/>
      <c r="CC297" s="855"/>
      <c r="CD297" s="855"/>
      <c r="CE297" s="855"/>
      <c r="CF297" s="848"/>
      <c r="CG297" s="848"/>
      <c r="CH297" s="848"/>
      <c r="CI297" s="848"/>
      <c r="CJ297" s="848"/>
      <c r="CK297" s="848"/>
      <c r="CL297" s="848"/>
      <c r="CM297" s="848"/>
      <c r="CN297" s="848"/>
      <c r="CO297" s="848"/>
      <c r="CP297" s="848"/>
      <c r="CQ297" s="848"/>
      <c r="CR297" s="848"/>
      <c r="CS297" s="848"/>
      <c r="CT297" s="848"/>
      <c r="CU297" s="848"/>
      <c r="CV297" s="848"/>
      <c r="CW297" s="848"/>
    </row>
    <row r="298" spans="1:101" ht="35.450000000000003" customHeight="1">
      <c r="A298" s="845"/>
      <c r="B298" s="852" t="s">
        <v>834</v>
      </c>
      <c r="C298" s="852" t="s">
        <v>877</v>
      </c>
      <c r="D298" s="846"/>
      <c r="E298" s="845"/>
      <c r="F298" s="853" t="s">
        <v>544</v>
      </c>
      <c r="G298" s="853" t="s">
        <v>878</v>
      </c>
      <c r="H298" s="850">
        <f t="shared" si="220"/>
        <v>150</v>
      </c>
      <c r="I298" s="855">
        <v>150</v>
      </c>
      <c r="J298" s="848"/>
      <c r="K298" s="848"/>
      <c r="L298" s="848"/>
      <c r="M298" s="848"/>
      <c r="N298" s="848"/>
      <c r="O298" s="848"/>
      <c r="P298" s="848"/>
      <c r="Q298" s="848"/>
      <c r="R298" s="848"/>
      <c r="S298" s="848"/>
      <c r="T298" s="855">
        <f t="shared" si="238"/>
        <v>0</v>
      </c>
      <c r="U298" s="848">
        <v>0</v>
      </c>
      <c r="V298" s="848"/>
      <c r="W298" s="848"/>
      <c r="X298" s="848"/>
      <c r="Y298" s="848"/>
      <c r="Z298" s="848"/>
      <c r="AA298" s="848"/>
      <c r="AB298" s="848"/>
      <c r="AC298" s="848"/>
      <c r="AD298" s="848"/>
      <c r="AE298" s="848"/>
      <c r="AF298" s="848"/>
      <c r="AG298" s="848"/>
      <c r="AH298" s="855"/>
      <c r="AI298" s="855">
        <f t="shared" si="248"/>
        <v>150</v>
      </c>
      <c r="AJ298" s="855">
        <v>150</v>
      </c>
      <c r="AK298" s="855"/>
      <c r="AL298" s="855"/>
      <c r="AM298" s="855"/>
      <c r="AN298" s="855"/>
      <c r="AO298" s="855"/>
      <c r="AP298" s="855"/>
      <c r="AQ298" s="855"/>
      <c r="AR298" s="855"/>
      <c r="AS298" s="855"/>
      <c r="AT298" s="855"/>
      <c r="AU298" s="855"/>
      <c r="AV298" s="855"/>
      <c r="AW298" s="855"/>
      <c r="AX298" s="855"/>
      <c r="AY298" s="855">
        <f t="shared" si="247"/>
        <v>0</v>
      </c>
      <c r="AZ298" s="855"/>
      <c r="BA298" s="855"/>
      <c r="BB298" s="855"/>
      <c r="BC298" s="855"/>
      <c r="BD298" s="855"/>
      <c r="BE298" s="855"/>
      <c r="BF298" s="855"/>
      <c r="BG298" s="855"/>
      <c r="BH298" s="855"/>
      <c r="BI298" s="855"/>
      <c r="BJ298" s="855"/>
      <c r="BK298" s="855"/>
      <c r="BL298" s="855"/>
      <c r="BM298" s="855"/>
      <c r="BN298" s="855"/>
      <c r="BO298" s="848">
        <f t="shared" si="232"/>
        <v>143.73099999999999</v>
      </c>
      <c r="BP298" s="855">
        <v>143.73099999999999</v>
      </c>
      <c r="BQ298" s="855"/>
      <c r="BR298" s="855"/>
      <c r="BS298" s="855"/>
      <c r="BT298" s="855"/>
      <c r="BU298" s="855"/>
      <c r="BV298" s="855"/>
      <c r="BW298" s="855"/>
      <c r="BX298" s="855"/>
      <c r="BY298" s="855"/>
      <c r="BZ298" s="855"/>
      <c r="CA298" s="855"/>
      <c r="CB298" s="855"/>
      <c r="CC298" s="855"/>
      <c r="CD298" s="855"/>
      <c r="CE298" s="855"/>
      <c r="CF298" s="848"/>
      <c r="CG298" s="848"/>
      <c r="CH298" s="848"/>
      <c r="CI298" s="848"/>
      <c r="CJ298" s="848"/>
      <c r="CK298" s="848"/>
      <c r="CL298" s="848"/>
      <c r="CM298" s="848"/>
      <c r="CN298" s="848"/>
      <c r="CO298" s="848"/>
      <c r="CP298" s="848"/>
      <c r="CQ298" s="848"/>
      <c r="CR298" s="848"/>
      <c r="CS298" s="848"/>
      <c r="CT298" s="848"/>
      <c r="CU298" s="848"/>
      <c r="CV298" s="848"/>
      <c r="CW298" s="848"/>
    </row>
    <row r="299" spans="1:101" ht="28.9" customHeight="1">
      <c r="A299" s="845"/>
      <c r="B299" s="852" t="s">
        <v>834</v>
      </c>
      <c r="C299" s="852" t="s">
        <v>879</v>
      </c>
      <c r="D299" s="846"/>
      <c r="E299" s="845"/>
      <c r="F299" s="853" t="s">
        <v>544</v>
      </c>
      <c r="G299" s="853" t="s">
        <v>880</v>
      </c>
      <c r="H299" s="850">
        <f t="shared" si="220"/>
        <v>150</v>
      </c>
      <c r="I299" s="855">
        <v>150</v>
      </c>
      <c r="J299" s="848"/>
      <c r="K299" s="848"/>
      <c r="L299" s="848"/>
      <c r="M299" s="848"/>
      <c r="N299" s="848"/>
      <c r="O299" s="848"/>
      <c r="P299" s="848"/>
      <c r="Q299" s="848"/>
      <c r="R299" s="848"/>
      <c r="S299" s="848"/>
      <c r="T299" s="855">
        <f t="shared" si="238"/>
        <v>0</v>
      </c>
      <c r="U299" s="848">
        <v>0</v>
      </c>
      <c r="V299" s="848"/>
      <c r="W299" s="848"/>
      <c r="X299" s="848"/>
      <c r="Y299" s="848"/>
      <c r="Z299" s="848"/>
      <c r="AA299" s="848"/>
      <c r="AB299" s="848"/>
      <c r="AC299" s="848"/>
      <c r="AD299" s="848"/>
      <c r="AE299" s="848"/>
      <c r="AF299" s="848"/>
      <c r="AG299" s="848"/>
      <c r="AH299" s="855"/>
      <c r="AI299" s="855">
        <f t="shared" si="248"/>
        <v>150</v>
      </c>
      <c r="AJ299" s="855">
        <v>150</v>
      </c>
      <c r="AK299" s="855"/>
      <c r="AL299" s="855"/>
      <c r="AM299" s="855"/>
      <c r="AN299" s="855"/>
      <c r="AO299" s="855"/>
      <c r="AP299" s="855"/>
      <c r="AQ299" s="855"/>
      <c r="AR299" s="855"/>
      <c r="AS299" s="855"/>
      <c r="AT299" s="855"/>
      <c r="AU299" s="855"/>
      <c r="AV299" s="855"/>
      <c r="AW299" s="855"/>
      <c r="AX299" s="855"/>
      <c r="AY299" s="855">
        <f t="shared" si="247"/>
        <v>0</v>
      </c>
      <c r="AZ299" s="855"/>
      <c r="BA299" s="855"/>
      <c r="BB299" s="855"/>
      <c r="BC299" s="855"/>
      <c r="BD299" s="855"/>
      <c r="BE299" s="855"/>
      <c r="BF299" s="855"/>
      <c r="BG299" s="855"/>
      <c r="BH299" s="855"/>
      <c r="BI299" s="855"/>
      <c r="BJ299" s="855"/>
      <c r="BK299" s="855"/>
      <c r="BL299" s="855"/>
      <c r="BM299" s="855"/>
      <c r="BN299" s="855"/>
      <c r="BO299" s="848">
        <f t="shared" si="232"/>
        <v>145.29400000000001</v>
      </c>
      <c r="BP299" s="855">
        <v>145.29400000000001</v>
      </c>
      <c r="BQ299" s="855"/>
      <c r="BR299" s="855"/>
      <c r="BS299" s="855"/>
      <c r="BT299" s="855"/>
      <c r="BU299" s="855"/>
      <c r="BV299" s="855"/>
      <c r="BW299" s="855"/>
      <c r="BX299" s="855"/>
      <c r="BY299" s="855"/>
      <c r="BZ299" s="855"/>
      <c r="CA299" s="855"/>
      <c r="CB299" s="855"/>
      <c r="CC299" s="855"/>
      <c r="CD299" s="855"/>
      <c r="CE299" s="855"/>
      <c r="CF299" s="848"/>
      <c r="CG299" s="848"/>
      <c r="CH299" s="848"/>
      <c r="CI299" s="848"/>
      <c r="CJ299" s="848"/>
      <c r="CK299" s="848"/>
      <c r="CL299" s="848"/>
      <c r="CM299" s="848"/>
      <c r="CN299" s="848"/>
      <c r="CO299" s="848"/>
      <c r="CP299" s="848"/>
      <c r="CQ299" s="848"/>
      <c r="CR299" s="848"/>
      <c r="CS299" s="848"/>
      <c r="CT299" s="848"/>
      <c r="CU299" s="848"/>
      <c r="CV299" s="848"/>
      <c r="CW299" s="848"/>
    </row>
    <row r="300" spans="1:101" ht="23.45" customHeight="1">
      <c r="A300" s="845"/>
      <c r="B300" s="852" t="s">
        <v>834</v>
      </c>
      <c r="C300" s="852" t="s">
        <v>881</v>
      </c>
      <c r="D300" s="846"/>
      <c r="E300" s="845"/>
      <c r="F300" s="853" t="s">
        <v>544</v>
      </c>
      <c r="G300" s="853" t="s">
        <v>882</v>
      </c>
      <c r="H300" s="850">
        <f t="shared" si="220"/>
        <v>0</v>
      </c>
      <c r="I300" s="848"/>
      <c r="J300" s="848"/>
      <c r="K300" s="848"/>
      <c r="L300" s="848"/>
      <c r="M300" s="848"/>
      <c r="N300" s="848"/>
      <c r="O300" s="848"/>
      <c r="P300" s="848"/>
      <c r="Q300" s="848"/>
      <c r="R300" s="848"/>
      <c r="S300" s="848"/>
      <c r="T300" s="855">
        <f t="shared" si="238"/>
        <v>0</v>
      </c>
      <c r="U300" s="848"/>
      <c r="V300" s="848"/>
      <c r="W300" s="848"/>
      <c r="X300" s="848"/>
      <c r="Y300" s="848"/>
      <c r="Z300" s="848"/>
      <c r="AA300" s="848"/>
      <c r="AB300" s="848"/>
      <c r="AC300" s="848"/>
      <c r="AD300" s="848"/>
      <c r="AE300" s="848"/>
      <c r="AF300" s="848"/>
      <c r="AG300" s="848"/>
      <c r="AH300" s="855"/>
      <c r="AI300" s="855">
        <f t="shared" si="248"/>
        <v>150</v>
      </c>
      <c r="AJ300" s="855">
        <v>150</v>
      </c>
      <c r="AK300" s="855"/>
      <c r="AL300" s="855"/>
      <c r="AM300" s="855"/>
      <c r="AN300" s="855"/>
      <c r="AO300" s="855"/>
      <c r="AP300" s="855"/>
      <c r="AQ300" s="855"/>
      <c r="AR300" s="855"/>
      <c r="AS300" s="855"/>
      <c r="AT300" s="855"/>
      <c r="AU300" s="855"/>
      <c r="AV300" s="855"/>
      <c r="AW300" s="855"/>
      <c r="AX300" s="855"/>
      <c r="AY300" s="855">
        <f t="shared" si="247"/>
        <v>0</v>
      </c>
      <c r="AZ300" s="855"/>
      <c r="BA300" s="855"/>
      <c r="BB300" s="855"/>
      <c r="BC300" s="855"/>
      <c r="BD300" s="855"/>
      <c r="BE300" s="855"/>
      <c r="BF300" s="855"/>
      <c r="BG300" s="855"/>
      <c r="BH300" s="855"/>
      <c r="BI300" s="855"/>
      <c r="BJ300" s="855"/>
      <c r="BK300" s="855"/>
      <c r="BL300" s="855"/>
      <c r="BM300" s="855"/>
      <c r="BN300" s="855"/>
      <c r="BO300" s="848">
        <f t="shared" si="232"/>
        <v>145.298</v>
      </c>
      <c r="BP300" s="855">
        <v>145.298</v>
      </c>
      <c r="BQ300" s="855"/>
      <c r="BR300" s="855"/>
      <c r="BS300" s="855"/>
      <c r="BT300" s="855"/>
      <c r="BU300" s="855"/>
      <c r="BV300" s="855"/>
      <c r="BW300" s="855"/>
      <c r="BX300" s="855"/>
      <c r="BY300" s="855"/>
      <c r="BZ300" s="855"/>
      <c r="CA300" s="855"/>
      <c r="CB300" s="855"/>
      <c r="CC300" s="855"/>
      <c r="CD300" s="855"/>
      <c r="CE300" s="855"/>
      <c r="CF300" s="848"/>
      <c r="CG300" s="848"/>
      <c r="CH300" s="848"/>
      <c r="CI300" s="848"/>
      <c r="CJ300" s="848"/>
      <c r="CK300" s="848"/>
      <c r="CL300" s="848"/>
      <c r="CM300" s="848"/>
      <c r="CN300" s="848"/>
      <c r="CO300" s="848"/>
      <c r="CP300" s="848"/>
      <c r="CQ300" s="848"/>
      <c r="CR300" s="848"/>
      <c r="CS300" s="848"/>
      <c r="CT300" s="848"/>
      <c r="CU300" s="848"/>
      <c r="CV300" s="848"/>
      <c r="CW300" s="848"/>
    </row>
    <row r="301" spans="1:101" ht="37.9" customHeight="1">
      <c r="A301" s="845"/>
      <c r="B301" s="852" t="s">
        <v>834</v>
      </c>
      <c r="C301" s="852" t="s">
        <v>883</v>
      </c>
      <c r="D301" s="846"/>
      <c r="E301" s="845"/>
      <c r="F301" s="853" t="s">
        <v>544</v>
      </c>
      <c r="G301" s="853" t="s">
        <v>884</v>
      </c>
      <c r="H301" s="850">
        <f t="shared" si="220"/>
        <v>279</v>
      </c>
      <c r="I301" s="855">
        <v>279</v>
      </c>
      <c r="J301" s="848"/>
      <c r="K301" s="848"/>
      <c r="L301" s="848"/>
      <c r="M301" s="848"/>
      <c r="N301" s="848"/>
      <c r="O301" s="848"/>
      <c r="P301" s="848"/>
      <c r="Q301" s="848"/>
      <c r="R301" s="848"/>
      <c r="S301" s="848"/>
      <c r="T301" s="855">
        <f t="shared" si="238"/>
        <v>0</v>
      </c>
      <c r="U301" s="848">
        <v>0</v>
      </c>
      <c r="V301" s="848"/>
      <c r="W301" s="848"/>
      <c r="X301" s="848"/>
      <c r="Y301" s="848"/>
      <c r="Z301" s="848"/>
      <c r="AA301" s="848"/>
      <c r="AB301" s="848"/>
      <c r="AC301" s="848"/>
      <c r="AD301" s="848"/>
      <c r="AE301" s="848"/>
      <c r="AF301" s="848"/>
      <c r="AG301" s="848"/>
      <c r="AH301" s="855"/>
      <c r="AI301" s="855">
        <f t="shared" si="248"/>
        <v>279</v>
      </c>
      <c r="AJ301" s="855">
        <v>279</v>
      </c>
      <c r="AK301" s="855"/>
      <c r="AL301" s="855"/>
      <c r="AM301" s="855"/>
      <c r="AN301" s="855"/>
      <c r="AO301" s="855"/>
      <c r="AP301" s="855"/>
      <c r="AQ301" s="855"/>
      <c r="AR301" s="855"/>
      <c r="AS301" s="855"/>
      <c r="AT301" s="855"/>
      <c r="AU301" s="855"/>
      <c r="AV301" s="855"/>
      <c r="AW301" s="855"/>
      <c r="AX301" s="855"/>
      <c r="AY301" s="855">
        <f t="shared" si="247"/>
        <v>0</v>
      </c>
      <c r="AZ301" s="855"/>
      <c r="BA301" s="855"/>
      <c r="BB301" s="855"/>
      <c r="BC301" s="855"/>
      <c r="BD301" s="855"/>
      <c r="BE301" s="855"/>
      <c r="BF301" s="855"/>
      <c r="BG301" s="855"/>
      <c r="BH301" s="855"/>
      <c r="BI301" s="855"/>
      <c r="BJ301" s="855"/>
      <c r="BK301" s="855"/>
      <c r="BL301" s="855"/>
      <c r="BM301" s="855"/>
      <c r="BN301" s="855"/>
      <c r="BO301" s="848">
        <f t="shared" si="232"/>
        <v>268.851</v>
      </c>
      <c r="BP301" s="855">
        <v>268.851</v>
      </c>
      <c r="BQ301" s="855"/>
      <c r="BR301" s="855"/>
      <c r="BS301" s="855"/>
      <c r="BT301" s="855"/>
      <c r="BU301" s="855"/>
      <c r="BV301" s="855"/>
      <c r="BW301" s="855"/>
      <c r="BX301" s="855"/>
      <c r="BY301" s="855"/>
      <c r="BZ301" s="855"/>
      <c r="CA301" s="855"/>
      <c r="CB301" s="855"/>
      <c r="CC301" s="855"/>
      <c r="CD301" s="855"/>
      <c r="CE301" s="855"/>
      <c r="CF301" s="848"/>
      <c r="CG301" s="848"/>
      <c r="CH301" s="848"/>
      <c r="CI301" s="848"/>
      <c r="CJ301" s="848"/>
      <c r="CK301" s="848"/>
      <c r="CL301" s="848"/>
      <c r="CM301" s="848"/>
      <c r="CN301" s="848"/>
      <c r="CO301" s="848"/>
      <c r="CP301" s="848"/>
      <c r="CQ301" s="848"/>
      <c r="CR301" s="848"/>
      <c r="CS301" s="848"/>
      <c r="CT301" s="848"/>
      <c r="CU301" s="848"/>
      <c r="CV301" s="848"/>
      <c r="CW301" s="848"/>
    </row>
    <row r="302" spans="1:101" ht="57" customHeight="1">
      <c r="A302" s="845"/>
      <c r="B302" s="852" t="s">
        <v>834</v>
      </c>
      <c r="C302" s="852" t="s">
        <v>885</v>
      </c>
      <c r="D302" s="846"/>
      <c r="E302" s="845"/>
      <c r="F302" s="853" t="s">
        <v>544</v>
      </c>
      <c r="G302" s="886" t="s">
        <v>886</v>
      </c>
      <c r="H302" s="850">
        <f t="shared" si="220"/>
        <v>0</v>
      </c>
      <c r="I302" s="848"/>
      <c r="J302" s="848"/>
      <c r="K302" s="848"/>
      <c r="L302" s="848"/>
      <c r="M302" s="848"/>
      <c r="N302" s="848"/>
      <c r="O302" s="848"/>
      <c r="P302" s="848"/>
      <c r="Q302" s="848"/>
      <c r="R302" s="848"/>
      <c r="S302" s="848"/>
      <c r="T302" s="855">
        <f t="shared" si="238"/>
        <v>0</v>
      </c>
      <c r="U302" s="848"/>
      <c r="V302" s="848"/>
      <c r="W302" s="848"/>
      <c r="X302" s="848"/>
      <c r="Y302" s="848"/>
      <c r="Z302" s="848"/>
      <c r="AA302" s="848"/>
      <c r="AB302" s="848"/>
      <c r="AC302" s="848"/>
      <c r="AD302" s="848"/>
      <c r="AE302" s="848"/>
      <c r="AF302" s="848"/>
      <c r="AG302" s="848"/>
      <c r="AH302" s="855"/>
      <c r="AI302" s="855">
        <f t="shared" si="248"/>
        <v>379</v>
      </c>
      <c r="AJ302" s="855">
        <v>379</v>
      </c>
      <c r="AK302" s="855"/>
      <c r="AL302" s="855"/>
      <c r="AM302" s="855"/>
      <c r="AN302" s="855"/>
      <c r="AO302" s="855"/>
      <c r="AP302" s="855"/>
      <c r="AQ302" s="855"/>
      <c r="AR302" s="855"/>
      <c r="AS302" s="855"/>
      <c r="AT302" s="855"/>
      <c r="AU302" s="855"/>
      <c r="AV302" s="855"/>
      <c r="AW302" s="855"/>
      <c r="AX302" s="855"/>
      <c r="AY302" s="855">
        <f t="shared" si="247"/>
        <v>0</v>
      </c>
      <c r="AZ302" s="855"/>
      <c r="BA302" s="855"/>
      <c r="BB302" s="855"/>
      <c r="BC302" s="855"/>
      <c r="BD302" s="855"/>
      <c r="BE302" s="855"/>
      <c r="BF302" s="855"/>
      <c r="BG302" s="855"/>
      <c r="BH302" s="855"/>
      <c r="BI302" s="855"/>
      <c r="BJ302" s="855"/>
      <c r="BK302" s="855"/>
      <c r="BL302" s="855"/>
      <c r="BM302" s="855"/>
      <c r="BN302" s="855"/>
      <c r="BO302" s="848">
        <f t="shared" si="232"/>
        <v>375.20800000000003</v>
      </c>
      <c r="BP302" s="855">
        <v>375.20800000000003</v>
      </c>
      <c r="BQ302" s="855"/>
      <c r="BR302" s="855"/>
      <c r="BS302" s="855"/>
      <c r="BT302" s="855"/>
      <c r="BU302" s="855"/>
      <c r="BV302" s="855"/>
      <c r="BW302" s="855"/>
      <c r="BX302" s="855"/>
      <c r="BY302" s="855"/>
      <c r="BZ302" s="855"/>
      <c r="CA302" s="855"/>
      <c r="CB302" s="855"/>
      <c r="CC302" s="855"/>
      <c r="CD302" s="855"/>
      <c r="CE302" s="855"/>
      <c r="CF302" s="848"/>
      <c r="CG302" s="848"/>
      <c r="CH302" s="848"/>
      <c r="CI302" s="848"/>
      <c r="CJ302" s="848"/>
      <c r="CK302" s="848"/>
      <c r="CL302" s="848"/>
      <c r="CM302" s="848"/>
      <c r="CN302" s="848"/>
      <c r="CO302" s="848"/>
      <c r="CP302" s="848"/>
      <c r="CQ302" s="848"/>
      <c r="CR302" s="848"/>
      <c r="CS302" s="848"/>
      <c r="CT302" s="848"/>
      <c r="CU302" s="848"/>
      <c r="CV302" s="848"/>
      <c r="CW302" s="848"/>
    </row>
    <row r="303" spans="1:101" ht="39" customHeight="1">
      <c r="A303" s="845"/>
      <c r="B303" s="852" t="s">
        <v>834</v>
      </c>
      <c r="C303" s="852" t="s">
        <v>887</v>
      </c>
      <c r="D303" s="846"/>
      <c r="E303" s="845"/>
      <c r="F303" s="853" t="s">
        <v>544</v>
      </c>
      <c r="G303" s="886" t="s">
        <v>888</v>
      </c>
      <c r="H303" s="850">
        <f t="shared" si="220"/>
        <v>0</v>
      </c>
      <c r="I303" s="848"/>
      <c r="J303" s="848"/>
      <c r="K303" s="848"/>
      <c r="L303" s="848"/>
      <c r="M303" s="848"/>
      <c r="N303" s="848"/>
      <c r="O303" s="848"/>
      <c r="P303" s="848"/>
      <c r="Q303" s="848"/>
      <c r="R303" s="848"/>
      <c r="S303" s="848"/>
      <c r="T303" s="855">
        <f t="shared" si="238"/>
        <v>0</v>
      </c>
      <c r="U303" s="848"/>
      <c r="V303" s="848"/>
      <c r="W303" s="848"/>
      <c r="X303" s="848"/>
      <c r="Y303" s="848"/>
      <c r="Z303" s="848"/>
      <c r="AA303" s="848"/>
      <c r="AB303" s="848"/>
      <c r="AC303" s="848"/>
      <c r="AD303" s="848"/>
      <c r="AE303" s="848"/>
      <c r="AF303" s="848"/>
      <c r="AG303" s="848"/>
      <c r="AH303" s="855"/>
      <c r="AI303" s="855">
        <f t="shared" si="248"/>
        <v>150</v>
      </c>
      <c r="AJ303" s="855">
        <v>150</v>
      </c>
      <c r="AK303" s="855"/>
      <c r="AL303" s="855"/>
      <c r="AM303" s="855"/>
      <c r="AN303" s="855"/>
      <c r="AO303" s="855"/>
      <c r="AP303" s="855"/>
      <c r="AQ303" s="855"/>
      <c r="AR303" s="855"/>
      <c r="AS303" s="855"/>
      <c r="AT303" s="855"/>
      <c r="AU303" s="855"/>
      <c r="AV303" s="855"/>
      <c r="AW303" s="855"/>
      <c r="AX303" s="855"/>
      <c r="AY303" s="855">
        <f t="shared" si="247"/>
        <v>0</v>
      </c>
      <c r="AZ303" s="855"/>
      <c r="BA303" s="855"/>
      <c r="BB303" s="855"/>
      <c r="BC303" s="855"/>
      <c r="BD303" s="855"/>
      <c r="BE303" s="855"/>
      <c r="BF303" s="855"/>
      <c r="BG303" s="855"/>
      <c r="BH303" s="855"/>
      <c r="BI303" s="855"/>
      <c r="BJ303" s="855"/>
      <c r="BK303" s="855"/>
      <c r="BL303" s="855"/>
      <c r="BM303" s="855"/>
      <c r="BN303" s="855"/>
      <c r="BO303" s="848">
        <f t="shared" si="232"/>
        <v>148.96600000000001</v>
      </c>
      <c r="BP303" s="855">
        <v>148.96600000000001</v>
      </c>
      <c r="BQ303" s="855"/>
      <c r="BR303" s="855"/>
      <c r="BS303" s="855"/>
      <c r="BT303" s="855"/>
      <c r="BU303" s="855"/>
      <c r="BV303" s="855"/>
      <c r="BW303" s="855"/>
      <c r="BX303" s="855"/>
      <c r="BY303" s="855"/>
      <c r="BZ303" s="855"/>
      <c r="CA303" s="855"/>
      <c r="CB303" s="855"/>
      <c r="CC303" s="855"/>
      <c r="CD303" s="855"/>
      <c r="CE303" s="855"/>
      <c r="CF303" s="848"/>
      <c r="CG303" s="848"/>
      <c r="CH303" s="848"/>
      <c r="CI303" s="848"/>
      <c r="CJ303" s="848"/>
      <c r="CK303" s="848"/>
      <c r="CL303" s="848"/>
      <c r="CM303" s="848"/>
      <c r="CN303" s="848"/>
      <c r="CO303" s="848"/>
      <c r="CP303" s="848"/>
      <c r="CQ303" s="848"/>
      <c r="CR303" s="848"/>
      <c r="CS303" s="848"/>
      <c r="CT303" s="848"/>
      <c r="CU303" s="848"/>
      <c r="CV303" s="848"/>
      <c r="CW303" s="848"/>
    </row>
    <row r="304" spans="1:101" ht="37.15" customHeight="1">
      <c r="A304" s="845"/>
      <c r="B304" s="852" t="s">
        <v>834</v>
      </c>
      <c r="C304" s="852" t="s">
        <v>889</v>
      </c>
      <c r="D304" s="846"/>
      <c r="E304" s="845"/>
      <c r="F304" s="853" t="s">
        <v>544</v>
      </c>
      <c r="G304" s="886" t="s">
        <v>890</v>
      </c>
      <c r="H304" s="850">
        <f t="shared" si="220"/>
        <v>50</v>
      </c>
      <c r="I304" s="855">
        <v>50</v>
      </c>
      <c r="J304" s="848"/>
      <c r="K304" s="848"/>
      <c r="L304" s="848"/>
      <c r="M304" s="848"/>
      <c r="N304" s="848"/>
      <c r="O304" s="848"/>
      <c r="P304" s="848"/>
      <c r="Q304" s="848"/>
      <c r="R304" s="848"/>
      <c r="S304" s="848"/>
      <c r="T304" s="855">
        <f>U304</f>
        <v>0</v>
      </c>
      <c r="U304" s="848">
        <v>0</v>
      </c>
      <c r="V304" s="848"/>
      <c r="W304" s="848"/>
      <c r="X304" s="848"/>
      <c r="Y304" s="848"/>
      <c r="Z304" s="848"/>
      <c r="AA304" s="848"/>
      <c r="AB304" s="848"/>
      <c r="AC304" s="848"/>
      <c r="AD304" s="848"/>
      <c r="AE304" s="848"/>
      <c r="AF304" s="848"/>
      <c r="AG304" s="848"/>
      <c r="AH304" s="855"/>
      <c r="AI304" s="855">
        <f t="shared" si="248"/>
        <v>50</v>
      </c>
      <c r="AJ304" s="855">
        <v>50</v>
      </c>
      <c r="AK304" s="855"/>
      <c r="AL304" s="855"/>
      <c r="AM304" s="855"/>
      <c r="AN304" s="855"/>
      <c r="AO304" s="855"/>
      <c r="AP304" s="855"/>
      <c r="AQ304" s="855"/>
      <c r="AR304" s="855"/>
      <c r="AS304" s="855"/>
      <c r="AT304" s="855"/>
      <c r="AU304" s="855"/>
      <c r="AV304" s="855"/>
      <c r="AW304" s="855"/>
      <c r="AX304" s="855"/>
      <c r="AY304" s="855">
        <f t="shared" si="247"/>
        <v>0</v>
      </c>
      <c r="AZ304" s="855"/>
      <c r="BA304" s="855"/>
      <c r="BB304" s="855"/>
      <c r="BC304" s="855"/>
      <c r="BD304" s="855"/>
      <c r="BE304" s="855"/>
      <c r="BF304" s="855"/>
      <c r="BG304" s="855"/>
      <c r="BH304" s="855"/>
      <c r="BI304" s="855"/>
      <c r="BJ304" s="855"/>
      <c r="BK304" s="855"/>
      <c r="BL304" s="855"/>
      <c r="BM304" s="855"/>
      <c r="BN304" s="855"/>
      <c r="BO304" s="848">
        <f t="shared" si="232"/>
        <v>48.983449</v>
      </c>
      <c r="BP304" s="855">
        <v>48.983449</v>
      </c>
      <c r="BQ304" s="855"/>
      <c r="BR304" s="855"/>
      <c r="BS304" s="855"/>
      <c r="BT304" s="855"/>
      <c r="BU304" s="855"/>
      <c r="BV304" s="855"/>
      <c r="BW304" s="855"/>
      <c r="BX304" s="855"/>
      <c r="BY304" s="855"/>
      <c r="BZ304" s="855"/>
      <c r="CA304" s="855"/>
      <c r="CB304" s="855"/>
      <c r="CC304" s="855"/>
      <c r="CD304" s="855"/>
      <c r="CE304" s="855"/>
      <c r="CF304" s="848"/>
      <c r="CG304" s="848"/>
      <c r="CH304" s="848"/>
      <c r="CI304" s="848"/>
      <c r="CJ304" s="848"/>
      <c r="CK304" s="848"/>
      <c r="CL304" s="848"/>
      <c r="CM304" s="848"/>
      <c r="CN304" s="848"/>
      <c r="CO304" s="848"/>
      <c r="CP304" s="848"/>
      <c r="CQ304" s="848"/>
      <c r="CR304" s="848"/>
      <c r="CS304" s="848"/>
      <c r="CT304" s="848"/>
      <c r="CU304" s="848"/>
      <c r="CV304" s="848"/>
      <c r="CW304" s="848"/>
    </row>
    <row r="305" spans="1:101" ht="31.15" customHeight="1">
      <c r="A305" s="845"/>
      <c r="B305" s="852" t="s">
        <v>834</v>
      </c>
      <c r="C305" s="852" t="s">
        <v>891</v>
      </c>
      <c r="D305" s="846"/>
      <c r="E305" s="845"/>
      <c r="F305" s="853" t="s">
        <v>544</v>
      </c>
      <c r="G305" s="886" t="s">
        <v>892</v>
      </c>
      <c r="H305" s="850">
        <f t="shared" si="220"/>
        <v>372</v>
      </c>
      <c r="I305" s="855">
        <v>372</v>
      </c>
      <c r="J305" s="848"/>
      <c r="K305" s="848"/>
      <c r="L305" s="848"/>
      <c r="M305" s="848"/>
      <c r="N305" s="848"/>
      <c r="O305" s="848"/>
      <c r="P305" s="848"/>
      <c r="Q305" s="848"/>
      <c r="R305" s="848"/>
      <c r="S305" s="848"/>
      <c r="T305" s="855">
        <f t="shared" si="238"/>
        <v>0</v>
      </c>
      <c r="U305" s="855"/>
      <c r="V305" s="848"/>
      <c r="W305" s="848"/>
      <c r="X305" s="848"/>
      <c r="Y305" s="848"/>
      <c r="Z305" s="848"/>
      <c r="AA305" s="848"/>
      <c r="AB305" s="848"/>
      <c r="AC305" s="848"/>
      <c r="AD305" s="848"/>
      <c r="AE305" s="848"/>
      <c r="AF305" s="848"/>
      <c r="AG305" s="848"/>
      <c r="AH305" s="855"/>
      <c r="AI305" s="855">
        <f t="shared" si="248"/>
        <v>35</v>
      </c>
      <c r="AJ305" s="855">
        <v>35</v>
      </c>
      <c r="AK305" s="855"/>
      <c r="AL305" s="855"/>
      <c r="AM305" s="855"/>
      <c r="AN305" s="855"/>
      <c r="AO305" s="855"/>
      <c r="AP305" s="855"/>
      <c r="AQ305" s="855"/>
      <c r="AR305" s="855"/>
      <c r="AS305" s="855"/>
      <c r="AT305" s="855"/>
      <c r="AU305" s="855"/>
      <c r="AV305" s="855"/>
      <c r="AW305" s="855"/>
      <c r="AX305" s="855"/>
      <c r="AY305" s="855">
        <f t="shared" si="247"/>
        <v>0</v>
      </c>
      <c r="AZ305" s="855"/>
      <c r="BA305" s="855"/>
      <c r="BB305" s="855"/>
      <c r="BC305" s="855"/>
      <c r="BD305" s="855"/>
      <c r="BE305" s="855"/>
      <c r="BF305" s="855"/>
      <c r="BG305" s="855"/>
      <c r="BH305" s="855"/>
      <c r="BI305" s="855"/>
      <c r="BJ305" s="855"/>
      <c r="BK305" s="855"/>
      <c r="BL305" s="855"/>
      <c r="BM305" s="855"/>
      <c r="BN305" s="855"/>
      <c r="BO305" s="848">
        <f t="shared" si="232"/>
        <v>149.15199999999999</v>
      </c>
      <c r="BP305" s="855">
        <v>149.15199999999999</v>
      </c>
      <c r="BQ305" s="855"/>
      <c r="BR305" s="855"/>
      <c r="BS305" s="855"/>
      <c r="BT305" s="855"/>
      <c r="BU305" s="855"/>
      <c r="BV305" s="855"/>
      <c r="BW305" s="855"/>
      <c r="BX305" s="855"/>
      <c r="BY305" s="855"/>
      <c r="BZ305" s="855"/>
      <c r="CA305" s="855"/>
      <c r="CB305" s="855"/>
      <c r="CC305" s="855"/>
      <c r="CD305" s="855"/>
      <c r="CE305" s="855"/>
      <c r="CF305" s="848"/>
      <c r="CG305" s="848"/>
      <c r="CH305" s="848"/>
      <c r="CI305" s="848"/>
      <c r="CJ305" s="848"/>
      <c r="CK305" s="848"/>
      <c r="CL305" s="848"/>
      <c r="CM305" s="848"/>
      <c r="CN305" s="848"/>
      <c r="CO305" s="848"/>
      <c r="CP305" s="848"/>
      <c r="CQ305" s="848"/>
      <c r="CR305" s="848"/>
      <c r="CS305" s="848"/>
      <c r="CT305" s="848"/>
      <c r="CU305" s="848"/>
      <c r="CV305" s="848"/>
      <c r="CW305" s="848"/>
    </row>
    <row r="306" spans="1:101" ht="27.6" customHeight="1">
      <c r="A306" s="845"/>
      <c r="B306" s="852" t="s">
        <v>834</v>
      </c>
      <c r="C306" s="852" t="s">
        <v>893</v>
      </c>
      <c r="D306" s="846"/>
      <c r="E306" s="845"/>
      <c r="F306" s="853" t="s">
        <v>544</v>
      </c>
      <c r="G306" s="886" t="s">
        <v>894</v>
      </c>
      <c r="H306" s="850">
        <f t="shared" si="220"/>
        <v>0</v>
      </c>
      <c r="I306" s="848"/>
      <c r="J306" s="848"/>
      <c r="K306" s="848"/>
      <c r="L306" s="848"/>
      <c r="M306" s="848"/>
      <c r="N306" s="848"/>
      <c r="O306" s="848"/>
      <c r="P306" s="848"/>
      <c r="Q306" s="848"/>
      <c r="R306" s="848"/>
      <c r="S306" s="848"/>
      <c r="T306" s="855">
        <f t="shared" si="238"/>
        <v>0</v>
      </c>
      <c r="U306" s="848">
        <v>0</v>
      </c>
      <c r="V306" s="848"/>
      <c r="W306" s="848"/>
      <c r="X306" s="848"/>
      <c r="Y306" s="848"/>
      <c r="Z306" s="848"/>
      <c r="AA306" s="848"/>
      <c r="AB306" s="848"/>
      <c r="AC306" s="848"/>
      <c r="AD306" s="848"/>
      <c r="AE306" s="848"/>
      <c r="AF306" s="848"/>
      <c r="AG306" s="848"/>
      <c r="AH306" s="855"/>
      <c r="AI306" s="855">
        <f t="shared" si="248"/>
        <v>150</v>
      </c>
      <c r="AJ306" s="855">
        <v>150</v>
      </c>
      <c r="AK306" s="855"/>
      <c r="AL306" s="855"/>
      <c r="AM306" s="855"/>
      <c r="AN306" s="855"/>
      <c r="AO306" s="855"/>
      <c r="AP306" s="855"/>
      <c r="AQ306" s="855"/>
      <c r="AR306" s="855"/>
      <c r="AS306" s="855"/>
      <c r="AT306" s="855"/>
      <c r="AU306" s="855"/>
      <c r="AV306" s="855"/>
      <c r="AW306" s="855"/>
      <c r="AX306" s="855"/>
      <c r="AY306" s="855">
        <f t="shared" si="247"/>
        <v>0</v>
      </c>
      <c r="AZ306" s="855"/>
      <c r="BA306" s="855"/>
      <c r="BB306" s="855"/>
      <c r="BC306" s="855"/>
      <c r="BD306" s="855"/>
      <c r="BE306" s="855"/>
      <c r="BF306" s="855"/>
      <c r="BG306" s="855"/>
      <c r="BH306" s="855"/>
      <c r="BI306" s="855"/>
      <c r="BJ306" s="855"/>
      <c r="BK306" s="855"/>
      <c r="BL306" s="855"/>
      <c r="BM306" s="855"/>
      <c r="BN306" s="855"/>
      <c r="BO306" s="848">
        <f t="shared" si="232"/>
        <v>148.97800000000001</v>
      </c>
      <c r="BP306" s="855">
        <v>148.97800000000001</v>
      </c>
      <c r="BQ306" s="855"/>
      <c r="BR306" s="855"/>
      <c r="BS306" s="855"/>
      <c r="BT306" s="855"/>
      <c r="BU306" s="855"/>
      <c r="BV306" s="855"/>
      <c r="BW306" s="855"/>
      <c r="BX306" s="855"/>
      <c r="BY306" s="855"/>
      <c r="BZ306" s="855"/>
      <c r="CA306" s="855"/>
      <c r="CB306" s="855"/>
      <c r="CC306" s="855"/>
      <c r="CD306" s="855"/>
      <c r="CE306" s="855"/>
      <c r="CF306" s="848"/>
      <c r="CG306" s="848"/>
      <c r="CH306" s="848"/>
      <c r="CI306" s="848"/>
      <c r="CJ306" s="848"/>
      <c r="CK306" s="848"/>
      <c r="CL306" s="848"/>
      <c r="CM306" s="848"/>
      <c r="CN306" s="848"/>
      <c r="CO306" s="848"/>
      <c r="CP306" s="848"/>
      <c r="CQ306" s="848"/>
      <c r="CR306" s="848"/>
      <c r="CS306" s="848"/>
      <c r="CT306" s="848"/>
      <c r="CU306" s="848"/>
      <c r="CV306" s="848"/>
      <c r="CW306" s="848"/>
    </row>
    <row r="307" spans="1:101" ht="30.6" customHeight="1">
      <c r="A307" s="845"/>
      <c r="B307" s="852" t="s">
        <v>834</v>
      </c>
      <c r="C307" s="852" t="s">
        <v>895</v>
      </c>
      <c r="D307" s="846"/>
      <c r="E307" s="845"/>
      <c r="F307" s="853" t="s">
        <v>544</v>
      </c>
      <c r="G307" s="853" t="s">
        <v>896</v>
      </c>
      <c r="H307" s="850">
        <f t="shared" si="220"/>
        <v>150</v>
      </c>
      <c r="I307" s="855">
        <v>150</v>
      </c>
      <c r="J307" s="848"/>
      <c r="K307" s="848"/>
      <c r="L307" s="848"/>
      <c r="M307" s="848"/>
      <c r="N307" s="848"/>
      <c r="O307" s="848"/>
      <c r="P307" s="848"/>
      <c r="Q307" s="848"/>
      <c r="R307" s="848"/>
      <c r="S307" s="848"/>
      <c r="T307" s="855">
        <f t="shared" si="238"/>
        <v>0</v>
      </c>
      <c r="U307" s="855"/>
      <c r="V307" s="848"/>
      <c r="W307" s="848"/>
      <c r="X307" s="848"/>
      <c r="Y307" s="848"/>
      <c r="Z307" s="848"/>
      <c r="AA307" s="848"/>
      <c r="AB307" s="848"/>
      <c r="AC307" s="848"/>
      <c r="AD307" s="848"/>
      <c r="AE307" s="848"/>
      <c r="AF307" s="848"/>
      <c r="AG307" s="848"/>
      <c r="AH307" s="855"/>
      <c r="AI307" s="855">
        <f t="shared" si="248"/>
        <v>150</v>
      </c>
      <c r="AJ307" s="855">
        <v>150</v>
      </c>
      <c r="AK307" s="855"/>
      <c r="AL307" s="855"/>
      <c r="AM307" s="855"/>
      <c r="AN307" s="855"/>
      <c r="AO307" s="855"/>
      <c r="AP307" s="855"/>
      <c r="AQ307" s="855"/>
      <c r="AR307" s="855"/>
      <c r="AS307" s="855"/>
      <c r="AT307" s="855"/>
      <c r="AU307" s="855"/>
      <c r="AV307" s="855"/>
      <c r="AW307" s="855"/>
      <c r="AX307" s="855"/>
      <c r="AY307" s="855">
        <f t="shared" si="247"/>
        <v>0</v>
      </c>
      <c r="AZ307" s="855"/>
      <c r="BA307" s="855"/>
      <c r="BB307" s="855"/>
      <c r="BC307" s="855"/>
      <c r="BD307" s="855"/>
      <c r="BE307" s="855"/>
      <c r="BF307" s="855"/>
      <c r="BG307" s="855"/>
      <c r="BH307" s="855"/>
      <c r="BI307" s="855"/>
      <c r="BJ307" s="855"/>
      <c r="BK307" s="855"/>
      <c r="BL307" s="855"/>
      <c r="BM307" s="855"/>
      <c r="BN307" s="855"/>
      <c r="BO307" s="848">
        <f t="shared" si="232"/>
        <v>137.99600000000001</v>
      </c>
      <c r="BP307" s="855">
        <v>137.99600000000001</v>
      </c>
      <c r="BQ307" s="855"/>
      <c r="BR307" s="855"/>
      <c r="BS307" s="855"/>
      <c r="BT307" s="855"/>
      <c r="BU307" s="855"/>
      <c r="BV307" s="855"/>
      <c r="BW307" s="855"/>
      <c r="BX307" s="855"/>
      <c r="BY307" s="855"/>
      <c r="BZ307" s="855"/>
      <c r="CA307" s="855"/>
      <c r="CB307" s="855"/>
      <c r="CC307" s="855"/>
      <c r="CD307" s="855"/>
      <c r="CE307" s="855"/>
      <c r="CF307" s="848"/>
      <c r="CG307" s="848"/>
      <c r="CH307" s="848"/>
      <c r="CI307" s="848"/>
      <c r="CJ307" s="848"/>
      <c r="CK307" s="848"/>
      <c r="CL307" s="848"/>
      <c r="CM307" s="848"/>
      <c r="CN307" s="848"/>
      <c r="CO307" s="848"/>
      <c r="CP307" s="848"/>
      <c r="CQ307" s="848"/>
      <c r="CR307" s="848"/>
      <c r="CS307" s="848"/>
      <c r="CT307" s="848"/>
      <c r="CU307" s="848"/>
      <c r="CV307" s="848"/>
      <c r="CW307" s="848"/>
    </row>
    <row r="308" spans="1:101" ht="37.15" customHeight="1">
      <c r="A308" s="845"/>
      <c r="B308" s="852" t="s">
        <v>834</v>
      </c>
      <c r="C308" s="852" t="s">
        <v>897</v>
      </c>
      <c r="D308" s="846"/>
      <c r="E308" s="845"/>
      <c r="F308" s="853" t="s">
        <v>544</v>
      </c>
      <c r="G308" s="853" t="s">
        <v>898</v>
      </c>
      <c r="H308" s="850">
        <f t="shared" si="220"/>
        <v>0</v>
      </c>
      <c r="I308" s="848"/>
      <c r="J308" s="848"/>
      <c r="K308" s="848"/>
      <c r="L308" s="848"/>
      <c r="M308" s="848"/>
      <c r="N308" s="848"/>
      <c r="O308" s="848"/>
      <c r="P308" s="848"/>
      <c r="Q308" s="848"/>
      <c r="R308" s="848"/>
      <c r="S308" s="848"/>
      <c r="T308" s="855">
        <f t="shared" si="238"/>
        <v>0</v>
      </c>
      <c r="U308" s="855">
        <v>0</v>
      </c>
      <c r="V308" s="848"/>
      <c r="W308" s="848"/>
      <c r="X308" s="848"/>
      <c r="Y308" s="848"/>
      <c r="Z308" s="848"/>
      <c r="AA308" s="848"/>
      <c r="AB308" s="848"/>
      <c r="AC308" s="848"/>
      <c r="AD308" s="848"/>
      <c r="AE308" s="848"/>
      <c r="AF308" s="848"/>
      <c r="AG308" s="848"/>
      <c r="AH308" s="855"/>
      <c r="AI308" s="855">
        <f t="shared" si="248"/>
        <v>150</v>
      </c>
      <c r="AJ308" s="855">
        <v>150</v>
      </c>
      <c r="AK308" s="855"/>
      <c r="AL308" s="855"/>
      <c r="AM308" s="855"/>
      <c r="AN308" s="855"/>
      <c r="AO308" s="855"/>
      <c r="AP308" s="855"/>
      <c r="AQ308" s="855"/>
      <c r="AR308" s="855"/>
      <c r="AS308" s="855"/>
      <c r="AT308" s="855"/>
      <c r="AU308" s="855"/>
      <c r="AV308" s="855"/>
      <c r="AW308" s="855"/>
      <c r="AX308" s="855"/>
      <c r="AY308" s="855">
        <f t="shared" si="247"/>
        <v>0</v>
      </c>
      <c r="AZ308" s="855"/>
      <c r="BA308" s="855"/>
      <c r="BB308" s="855"/>
      <c r="BC308" s="855"/>
      <c r="BD308" s="855"/>
      <c r="BE308" s="855"/>
      <c r="BF308" s="855"/>
      <c r="BG308" s="855"/>
      <c r="BH308" s="855"/>
      <c r="BI308" s="855"/>
      <c r="BJ308" s="855"/>
      <c r="BK308" s="855"/>
      <c r="BL308" s="855"/>
      <c r="BM308" s="855"/>
      <c r="BN308" s="855"/>
      <c r="BO308" s="848">
        <f t="shared" si="232"/>
        <v>141.023</v>
      </c>
      <c r="BP308" s="855">
        <v>141.023</v>
      </c>
      <c r="BQ308" s="855"/>
      <c r="BR308" s="855"/>
      <c r="BS308" s="855"/>
      <c r="BT308" s="855"/>
      <c r="BU308" s="855"/>
      <c r="BV308" s="855"/>
      <c r="BW308" s="855"/>
      <c r="BX308" s="855"/>
      <c r="BY308" s="855"/>
      <c r="BZ308" s="855"/>
      <c r="CA308" s="855"/>
      <c r="CB308" s="855"/>
      <c r="CC308" s="855"/>
      <c r="CD308" s="855"/>
      <c r="CE308" s="855"/>
      <c r="CF308" s="848"/>
      <c r="CG308" s="848"/>
      <c r="CH308" s="848"/>
      <c r="CI308" s="848"/>
      <c r="CJ308" s="848"/>
      <c r="CK308" s="848"/>
      <c r="CL308" s="848"/>
      <c r="CM308" s="848"/>
      <c r="CN308" s="848"/>
      <c r="CO308" s="848"/>
      <c r="CP308" s="848"/>
      <c r="CQ308" s="848"/>
      <c r="CR308" s="848"/>
      <c r="CS308" s="848"/>
      <c r="CT308" s="848"/>
      <c r="CU308" s="848"/>
      <c r="CV308" s="848"/>
      <c r="CW308" s="848"/>
    </row>
    <row r="309" spans="1:101" ht="36" customHeight="1">
      <c r="A309" s="845"/>
      <c r="B309" s="852" t="s">
        <v>834</v>
      </c>
      <c r="C309" s="852" t="s">
        <v>899</v>
      </c>
      <c r="D309" s="846"/>
      <c r="E309" s="845"/>
      <c r="F309" s="853" t="s">
        <v>544</v>
      </c>
      <c r="G309" s="853" t="s">
        <v>900</v>
      </c>
      <c r="H309" s="850">
        <f t="shared" si="220"/>
        <v>0</v>
      </c>
      <c r="I309" s="848"/>
      <c r="J309" s="848"/>
      <c r="K309" s="848"/>
      <c r="L309" s="848"/>
      <c r="M309" s="848"/>
      <c r="N309" s="848"/>
      <c r="O309" s="848"/>
      <c r="P309" s="848"/>
      <c r="Q309" s="848"/>
      <c r="R309" s="848"/>
      <c r="S309" s="848"/>
      <c r="T309" s="855">
        <f t="shared" si="238"/>
        <v>0</v>
      </c>
      <c r="U309" s="855">
        <v>0</v>
      </c>
      <c r="V309" s="848"/>
      <c r="W309" s="848"/>
      <c r="X309" s="848"/>
      <c r="Y309" s="848"/>
      <c r="Z309" s="848"/>
      <c r="AA309" s="848"/>
      <c r="AB309" s="848"/>
      <c r="AC309" s="848"/>
      <c r="AD309" s="848"/>
      <c r="AE309" s="848"/>
      <c r="AF309" s="848"/>
      <c r="AG309" s="848"/>
      <c r="AH309" s="855"/>
      <c r="AI309" s="855">
        <f t="shared" si="248"/>
        <v>150</v>
      </c>
      <c r="AJ309" s="855">
        <v>150</v>
      </c>
      <c r="AK309" s="855"/>
      <c r="AL309" s="855"/>
      <c r="AM309" s="855"/>
      <c r="AN309" s="855"/>
      <c r="AO309" s="855"/>
      <c r="AP309" s="855"/>
      <c r="AQ309" s="855"/>
      <c r="AR309" s="855"/>
      <c r="AS309" s="855"/>
      <c r="AT309" s="855"/>
      <c r="AU309" s="855"/>
      <c r="AV309" s="855"/>
      <c r="AW309" s="855"/>
      <c r="AX309" s="855"/>
      <c r="AY309" s="855">
        <f t="shared" si="247"/>
        <v>0</v>
      </c>
      <c r="AZ309" s="855"/>
      <c r="BA309" s="855"/>
      <c r="BB309" s="855"/>
      <c r="BC309" s="855"/>
      <c r="BD309" s="855"/>
      <c r="BE309" s="855"/>
      <c r="BF309" s="855"/>
      <c r="BG309" s="855"/>
      <c r="BH309" s="855"/>
      <c r="BI309" s="855"/>
      <c r="BJ309" s="855"/>
      <c r="BK309" s="855"/>
      <c r="BL309" s="855"/>
      <c r="BM309" s="855"/>
      <c r="BN309" s="855"/>
      <c r="BO309" s="848">
        <f t="shared" si="232"/>
        <v>138.72200000000001</v>
      </c>
      <c r="BP309" s="855">
        <v>138.72200000000001</v>
      </c>
      <c r="BQ309" s="855"/>
      <c r="BR309" s="855"/>
      <c r="BS309" s="855"/>
      <c r="BT309" s="855"/>
      <c r="BU309" s="855"/>
      <c r="BV309" s="855"/>
      <c r="BW309" s="855"/>
      <c r="BX309" s="855"/>
      <c r="BY309" s="855"/>
      <c r="BZ309" s="855"/>
      <c r="CA309" s="855"/>
      <c r="CB309" s="855"/>
      <c r="CC309" s="855"/>
      <c r="CD309" s="855"/>
      <c r="CE309" s="855"/>
      <c r="CF309" s="848"/>
      <c r="CG309" s="848"/>
      <c r="CH309" s="848"/>
      <c r="CI309" s="848"/>
      <c r="CJ309" s="848"/>
      <c r="CK309" s="848"/>
      <c r="CL309" s="848"/>
      <c r="CM309" s="848"/>
      <c r="CN309" s="848"/>
      <c r="CO309" s="848"/>
      <c r="CP309" s="848"/>
      <c r="CQ309" s="848"/>
      <c r="CR309" s="848"/>
      <c r="CS309" s="848"/>
      <c r="CT309" s="848"/>
      <c r="CU309" s="848"/>
      <c r="CV309" s="848"/>
      <c r="CW309" s="848"/>
    </row>
    <row r="310" spans="1:101" ht="36.6" customHeight="1">
      <c r="A310" s="845"/>
      <c r="B310" s="852" t="s">
        <v>834</v>
      </c>
      <c r="C310" s="852" t="s">
        <v>901</v>
      </c>
      <c r="D310" s="846"/>
      <c r="E310" s="845"/>
      <c r="F310" s="853" t="s">
        <v>544</v>
      </c>
      <c r="G310" s="853" t="s">
        <v>902</v>
      </c>
      <c r="H310" s="850">
        <f t="shared" si="220"/>
        <v>0</v>
      </c>
      <c r="I310" s="848"/>
      <c r="J310" s="848"/>
      <c r="K310" s="848"/>
      <c r="L310" s="848"/>
      <c r="M310" s="848"/>
      <c r="N310" s="848"/>
      <c r="O310" s="848"/>
      <c r="P310" s="848"/>
      <c r="Q310" s="848"/>
      <c r="R310" s="848"/>
      <c r="S310" s="848"/>
      <c r="T310" s="855">
        <f t="shared" si="238"/>
        <v>0</v>
      </c>
      <c r="U310" s="848">
        <v>0</v>
      </c>
      <c r="V310" s="848"/>
      <c r="W310" s="848"/>
      <c r="X310" s="848"/>
      <c r="Y310" s="848"/>
      <c r="Z310" s="848"/>
      <c r="AA310" s="848"/>
      <c r="AB310" s="848"/>
      <c r="AC310" s="848"/>
      <c r="AD310" s="848"/>
      <c r="AE310" s="848"/>
      <c r="AF310" s="848"/>
      <c r="AG310" s="848"/>
      <c r="AH310" s="855"/>
      <c r="AI310" s="855">
        <f t="shared" si="248"/>
        <v>150</v>
      </c>
      <c r="AJ310" s="855">
        <v>150</v>
      </c>
      <c r="AK310" s="855"/>
      <c r="AL310" s="855"/>
      <c r="AM310" s="855"/>
      <c r="AN310" s="855"/>
      <c r="AO310" s="855"/>
      <c r="AP310" s="855"/>
      <c r="AQ310" s="855"/>
      <c r="AR310" s="855"/>
      <c r="AS310" s="855"/>
      <c r="AT310" s="855"/>
      <c r="AU310" s="855"/>
      <c r="AV310" s="855"/>
      <c r="AW310" s="855"/>
      <c r="AX310" s="855"/>
      <c r="AY310" s="855">
        <f t="shared" si="247"/>
        <v>0</v>
      </c>
      <c r="AZ310" s="855"/>
      <c r="BA310" s="855"/>
      <c r="BB310" s="855"/>
      <c r="BC310" s="855"/>
      <c r="BD310" s="855"/>
      <c r="BE310" s="855"/>
      <c r="BF310" s="855"/>
      <c r="BG310" s="855"/>
      <c r="BH310" s="855"/>
      <c r="BI310" s="855"/>
      <c r="BJ310" s="855"/>
      <c r="BK310" s="855"/>
      <c r="BL310" s="855"/>
      <c r="BM310" s="855"/>
      <c r="BN310" s="855"/>
      <c r="BO310" s="848">
        <f t="shared" si="232"/>
        <v>133.66999999999999</v>
      </c>
      <c r="BP310" s="855">
        <v>133.66999999999999</v>
      </c>
      <c r="BQ310" s="855"/>
      <c r="BR310" s="855"/>
      <c r="BS310" s="855"/>
      <c r="BT310" s="855"/>
      <c r="BU310" s="855"/>
      <c r="BV310" s="855"/>
      <c r="BW310" s="855"/>
      <c r="BX310" s="855"/>
      <c r="BY310" s="855"/>
      <c r="BZ310" s="855"/>
      <c r="CA310" s="855"/>
      <c r="CB310" s="855"/>
      <c r="CC310" s="855"/>
      <c r="CD310" s="855"/>
      <c r="CE310" s="855"/>
      <c r="CF310" s="848"/>
      <c r="CG310" s="848"/>
      <c r="CH310" s="848"/>
      <c r="CI310" s="848"/>
      <c r="CJ310" s="848"/>
      <c r="CK310" s="848"/>
      <c r="CL310" s="848"/>
      <c r="CM310" s="848"/>
      <c r="CN310" s="848"/>
      <c r="CO310" s="848"/>
      <c r="CP310" s="848"/>
      <c r="CQ310" s="848"/>
      <c r="CR310" s="848"/>
      <c r="CS310" s="848"/>
      <c r="CT310" s="848"/>
      <c r="CU310" s="848"/>
      <c r="CV310" s="848"/>
      <c r="CW310" s="848"/>
    </row>
    <row r="311" spans="1:101" ht="36.6" customHeight="1">
      <c r="A311" s="845"/>
      <c r="B311" s="852" t="s">
        <v>834</v>
      </c>
      <c r="C311" s="852" t="s">
        <v>903</v>
      </c>
      <c r="D311" s="846"/>
      <c r="E311" s="845"/>
      <c r="F311" s="853" t="s">
        <v>544</v>
      </c>
      <c r="G311" s="853" t="s">
        <v>904</v>
      </c>
      <c r="H311" s="850">
        <f t="shared" si="220"/>
        <v>0</v>
      </c>
      <c r="I311" s="848"/>
      <c r="J311" s="848"/>
      <c r="K311" s="848"/>
      <c r="L311" s="848"/>
      <c r="M311" s="848"/>
      <c r="N311" s="848"/>
      <c r="O311" s="848"/>
      <c r="P311" s="848"/>
      <c r="Q311" s="848"/>
      <c r="R311" s="848"/>
      <c r="S311" s="848"/>
      <c r="T311" s="855">
        <f>U311</f>
        <v>0</v>
      </c>
      <c r="U311" s="855"/>
      <c r="V311" s="848"/>
      <c r="W311" s="848"/>
      <c r="X311" s="848"/>
      <c r="Y311" s="848"/>
      <c r="Z311" s="848"/>
      <c r="AA311" s="848"/>
      <c r="AB311" s="848"/>
      <c r="AC311" s="848"/>
      <c r="AD311" s="848"/>
      <c r="AE311" s="848"/>
      <c r="AF311" s="848"/>
      <c r="AG311" s="848"/>
      <c r="AH311" s="855"/>
      <c r="AI311" s="855">
        <f t="shared" si="248"/>
        <v>279</v>
      </c>
      <c r="AJ311" s="855">
        <v>279</v>
      </c>
      <c r="AK311" s="855"/>
      <c r="AL311" s="855"/>
      <c r="AM311" s="855"/>
      <c r="AN311" s="855"/>
      <c r="AO311" s="855"/>
      <c r="AP311" s="855"/>
      <c r="AQ311" s="855"/>
      <c r="AR311" s="855"/>
      <c r="AS311" s="855"/>
      <c r="AT311" s="855"/>
      <c r="AU311" s="855"/>
      <c r="AV311" s="855"/>
      <c r="AW311" s="855"/>
      <c r="AX311" s="855"/>
      <c r="AY311" s="855">
        <f t="shared" si="247"/>
        <v>0</v>
      </c>
      <c r="AZ311" s="855"/>
      <c r="BA311" s="855"/>
      <c r="BB311" s="855"/>
      <c r="BC311" s="855"/>
      <c r="BD311" s="855"/>
      <c r="BE311" s="855"/>
      <c r="BF311" s="855"/>
      <c r="BG311" s="855"/>
      <c r="BH311" s="855"/>
      <c r="BI311" s="855"/>
      <c r="BJ311" s="855"/>
      <c r="BK311" s="855"/>
      <c r="BL311" s="855"/>
      <c r="BM311" s="855"/>
      <c r="BN311" s="855"/>
      <c r="BO311" s="848">
        <f t="shared" si="232"/>
        <v>251</v>
      </c>
      <c r="BP311" s="855">
        <v>251</v>
      </c>
      <c r="BQ311" s="855"/>
      <c r="BR311" s="855"/>
      <c r="BS311" s="855"/>
      <c r="BT311" s="855"/>
      <c r="BU311" s="855"/>
      <c r="BV311" s="855"/>
      <c r="BW311" s="855"/>
      <c r="BX311" s="855"/>
      <c r="BY311" s="855"/>
      <c r="BZ311" s="855"/>
      <c r="CA311" s="855"/>
      <c r="CB311" s="855"/>
      <c r="CC311" s="855"/>
      <c r="CD311" s="855"/>
      <c r="CE311" s="855"/>
      <c r="CF311" s="848"/>
      <c r="CG311" s="848"/>
      <c r="CH311" s="848"/>
      <c r="CI311" s="848"/>
      <c r="CJ311" s="848"/>
      <c r="CK311" s="848"/>
      <c r="CL311" s="848"/>
      <c r="CM311" s="848"/>
      <c r="CN311" s="848"/>
      <c r="CO311" s="848"/>
      <c r="CP311" s="848"/>
      <c r="CQ311" s="848"/>
      <c r="CR311" s="848"/>
      <c r="CS311" s="848"/>
      <c r="CT311" s="848"/>
      <c r="CU311" s="848"/>
      <c r="CV311" s="848"/>
      <c r="CW311" s="848"/>
    </row>
    <row r="312" spans="1:101" ht="32.450000000000003" customHeight="1">
      <c r="A312" s="845"/>
      <c r="B312" s="852" t="s">
        <v>834</v>
      </c>
      <c r="C312" s="852" t="s">
        <v>905</v>
      </c>
      <c r="D312" s="846"/>
      <c r="E312" s="845"/>
      <c r="F312" s="853" t="s">
        <v>544</v>
      </c>
      <c r="G312" s="887" t="s">
        <v>906</v>
      </c>
      <c r="H312" s="850">
        <f t="shared" si="220"/>
        <v>165</v>
      </c>
      <c r="I312" s="855">
        <v>165</v>
      </c>
      <c r="J312" s="848"/>
      <c r="K312" s="848"/>
      <c r="L312" s="848"/>
      <c r="M312" s="848"/>
      <c r="N312" s="848"/>
      <c r="O312" s="848"/>
      <c r="P312" s="848"/>
      <c r="Q312" s="848"/>
      <c r="R312" s="848"/>
      <c r="S312" s="848"/>
      <c r="T312" s="855">
        <f t="shared" si="238"/>
        <v>130</v>
      </c>
      <c r="U312" s="855">
        <v>130</v>
      </c>
      <c r="V312" s="848"/>
      <c r="W312" s="848"/>
      <c r="X312" s="848"/>
      <c r="Y312" s="848"/>
      <c r="Z312" s="848"/>
      <c r="AA312" s="848"/>
      <c r="AB312" s="848"/>
      <c r="AC312" s="848"/>
      <c r="AD312" s="848"/>
      <c r="AE312" s="848"/>
      <c r="AF312" s="848"/>
      <c r="AG312" s="848"/>
      <c r="AH312" s="855"/>
      <c r="AI312" s="855">
        <f t="shared" si="248"/>
        <v>150</v>
      </c>
      <c r="AJ312" s="855">
        <v>150</v>
      </c>
      <c r="AK312" s="855"/>
      <c r="AL312" s="855"/>
      <c r="AM312" s="855"/>
      <c r="AN312" s="855"/>
      <c r="AO312" s="855"/>
      <c r="AP312" s="855"/>
      <c r="AQ312" s="855"/>
      <c r="AR312" s="855"/>
      <c r="AS312" s="855"/>
      <c r="AT312" s="855"/>
      <c r="AU312" s="855"/>
      <c r="AV312" s="855"/>
      <c r="AW312" s="855"/>
      <c r="AX312" s="855"/>
      <c r="AY312" s="855">
        <f t="shared" si="247"/>
        <v>0</v>
      </c>
      <c r="AZ312" s="855"/>
      <c r="BA312" s="855"/>
      <c r="BB312" s="855"/>
      <c r="BC312" s="855"/>
      <c r="BD312" s="855"/>
      <c r="BE312" s="855"/>
      <c r="BF312" s="855"/>
      <c r="BG312" s="855"/>
      <c r="BH312" s="855"/>
      <c r="BI312" s="855"/>
      <c r="BJ312" s="855"/>
      <c r="BK312" s="855"/>
      <c r="BL312" s="855"/>
      <c r="BM312" s="855"/>
      <c r="BN312" s="855"/>
      <c r="BO312" s="848">
        <f t="shared" si="232"/>
        <v>16.375</v>
      </c>
      <c r="BP312" s="855">
        <v>16.375</v>
      </c>
      <c r="BQ312" s="855"/>
      <c r="BR312" s="855"/>
      <c r="BS312" s="855"/>
      <c r="BT312" s="855"/>
      <c r="BU312" s="855"/>
      <c r="BV312" s="855"/>
      <c r="BW312" s="855"/>
      <c r="BX312" s="855"/>
      <c r="BY312" s="855"/>
      <c r="BZ312" s="855"/>
      <c r="CA312" s="855"/>
      <c r="CB312" s="855"/>
      <c r="CC312" s="855"/>
      <c r="CD312" s="855"/>
      <c r="CE312" s="855"/>
      <c r="CF312" s="848"/>
      <c r="CG312" s="848"/>
      <c r="CH312" s="848"/>
      <c r="CI312" s="848"/>
      <c r="CJ312" s="848"/>
      <c r="CK312" s="848"/>
      <c r="CL312" s="848"/>
      <c r="CM312" s="848"/>
      <c r="CN312" s="848"/>
      <c r="CO312" s="848"/>
      <c r="CP312" s="848"/>
      <c r="CQ312" s="848"/>
      <c r="CR312" s="848"/>
      <c r="CS312" s="848"/>
      <c r="CT312" s="848"/>
      <c r="CU312" s="848"/>
      <c r="CV312" s="848"/>
      <c r="CW312" s="848"/>
    </row>
    <row r="313" spans="1:101" ht="26.45" customHeight="1">
      <c r="A313" s="845"/>
      <c r="B313" s="852" t="s">
        <v>834</v>
      </c>
      <c r="C313" s="852" t="s">
        <v>907</v>
      </c>
      <c r="D313" s="846"/>
      <c r="E313" s="845"/>
      <c r="F313" s="853" t="s">
        <v>544</v>
      </c>
      <c r="G313" s="887" t="s">
        <v>908</v>
      </c>
      <c r="H313" s="850">
        <f t="shared" si="220"/>
        <v>0</v>
      </c>
      <c r="I313" s="848"/>
      <c r="J313" s="848"/>
      <c r="K313" s="848"/>
      <c r="L313" s="848"/>
      <c r="M313" s="848"/>
      <c r="N313" s="848"/>
      <c r="O313" s="848"/>
      <c r="P313" s="848"/>
      <c r="Q313" s="848"/>
      <c r="R313" s="848"/>
      <c r="S313" s="848"/>
      <c r="T313" s="855">
        <f t="shared" si="238"/>
        <v>0</v>
      </c>
      <c r="U313" s="848"/>
      <c r="V313" s="848"/>
      <c r="W313" s="848"/>
      <c r="X313" s="848"/>
      <c r="Y313" s="848"/>
      <c r="Z313" s="848"/>
      <c r="AA313" s="848"/>
      <c r="AB313" s="848"/>
      <c r="AC313" s="848"/>
      <c r="AD313" s="848"/>
      <c r="AE313" s="848"/>
      <c r="AF313" s="848"/>
      <c r="AG313" s="848"/>
      <c r="AH313" s="855"/>
      <c r="AI313" s="855">
        <f t="shared" si="248"/>
        <v>200</v>
      </c>
      <c r="AJ313" s="855">
        <v>200</v>
      </c>
      <c r="AK313" s="855"/>
      <c r="AL313" s="855"/>
      <c r="AM313" s="855"/>
      <c r="AN313" s="855"/>
      <c r="AO313" s="855"/>
      <c r="AP313" s="855"/>
      <c r="AQ313" s="855"/>
      <c r="AR313" s="855"/>
      <c r="AS313" s="855"/>
      <c r="AT313" s="855"/>
      <c r="AU313" s="855"/>
      <c r="AV313" s="855"/>
      <c r="AW313" s="855"/>
      <c r="AX313" s="855"/>
      <c r="AY313" s="855">
        <f t="shared" si="247"/>
        <v>0</v>
      </c>
      <c r="AZ313" s="855"/>
      <c r="BA313" s="855"/>
      <c r="BB313" s="855"/>
      <c r="BC313" s="855"/>
      <c r="BD313" s="855"/>
      <c r="BE313" s="855"/>
      <c r="BF313" s="855"/>
      <c r="BG313" s="855"/>
      <c r="BH313" s="855"/>
      <c r="BI313" s="855"/>
      <c r="BJ313" s="855"/>
      <c r="BK313" s="855"/>
      <c r="BL313" s="855"/>
      <c r="BM313" s="855"/>
      <c r="BN313" s="855"/>
      <c r="BO313" s="848">
        <f t="shared" si="232"/>
        <v>198.43252699999999</v>
      </c>
      <c r="BP313" s="855">
        <v>198.43252699999999</v>
      </c>
      <c r="BQ313" s="855"/>
      <c r="BR313" s="855"/>
      <c r="BS313" s="855"/>
      <c r="BT313" s="855"/>
      <c r="BU313" s="855"/>
      <c r="BV313" s="855"/>
      <c r="BW313" s="855"/>
      <c r="BX313" s="855"/>
      <c r="BY313" s="855"/>
      <c r="BZ313" s="855"/>
      <c r="CA313" s="855"/>
      <c r="CB313" s="855"/>
      <c r="CC313" s="855"/>
      <c r="CD313" s="855"/>
      <c r="CE313" s="855"/>
      <c r="CF313" s="848"/>
      <c r="CG313" s="848"/>
      <c r="CH313" s="848"/>
      <c r="CI313" s="848"/>
      <c r="CJ313" s="848"/>
      <c r="CK313" s="848"/>
      <c r="CL313" s="848"/>
      <c r="CM313" s="848"/>
      <c r="CN313" s="848"/>
      <c r="CO313" s="848"/>
      <c r="CP313" s="848"/>
      <c r="CQ313" s="848"/>
      <c r="CR313" s="848"/>
      <c r="CS313" s="848"/>
      <c r="CT313" s="848"/>
      <c r="CU313" s="848"/>
      <c r="CV313" s="848"/>
      <c r="CW313" s="848"/>
    </row>
    <row r="314" spans="1:101" ht="57" customHeight="1">
      <c r="A314" s="845"/>
      <c r="B314" s="852" t="s">
        <v>834</v>
      </c>
      <c r="C314" s="852" t="s">
        <v>909</v>
      </c>
      <c r="D314" s="846"/>
      <c r="E314" s="845"/>
      <c r="F314" s="853" t="s">
        <v>544</v>
      </c>
      <c r="G314" s="887" t="s">
        <v>910</v>
      </c>
      <c r="H314" s="850">
        <f t="shared" si="220"/>
        <v>378</v>
      </c>
      <c r="I314" s="855">
        <v>378</v>
      </c>
      <c r="J314" s="848"/>
      <c r="K314" s="848"/>
      <c r="L314" s="848"/>
      <c r="M314" s="848"/>
      <c r="N314" s="848"/>
      <c r="O314" s="848"/>
      <c r="P314" s="848"/>
      <c r="Q314" s="848"/>
      <c r="R314" s="848"/>
      <c r="S314" s="848"/>
      <c r="T314" s="855">
        <f t="shared" si="238"/>
        <v>180</v>
      </c>
      <c r="U314" s="855">
        <v>180</v>
      </c>
      <c r="V314" s="848"/>
      <c r="W314" s="848"/>
      <c r="X314" s="848"/>
      <c r="Y314" s="848"/>
      <c r="Z314" s="848"/>
      <c r="AA314" s="848"/>
      <c r="AB314" s="848"/>
      <c r="AC314" s="848"/>
      <c r="AD314" s="848"/>
      <c r="AE314" s="848"/>
      <c r="AF314" s="848"/>
      <c r="AG314" s="848"/>
      <c r="AH314" s="855"/>
      <c r="AI314" s="855">
        <f t="shared" si="248"/>
        <v>379</v>
      </c>
      <c r="AJ314" s="855">
        <v>379</v>
      </c>
      <c r="AK314" s="855"/>
      <c r="AL314" s="855"/>
      <c r="AM314" s="855"/>
      <c r="AN314" s="855"/>
      <c r="AO314" s="855"/>
      <c r="AP314" s="855"/>
      <c r="AQ314" s="855"/>
      <c r="AR314" s="855"/>
      <c r="AS314" s="855"/>
      <c r="AT314" s="855"/>
      <c r="AU314" s="855"/>
      <c r="AV314" s="855"/>
      <c r="AW314" s="855"/>
      <c r="AX314" s="855"/>
      <c r="AY314" s="855">
        <f t="shared" si="247"/>
        <v>0</v>
      </c>
      <c r="AZ314" s="855"/>
      <c r="BA314" s="855"/>
      <c r="BB314" s="855"/>
      <c r="BC314" s="855"/>
      <c r="BD314" s="855"/>
      <c r="BE314" s="855"/>
      <c r="BF314" s="855"/>
      <c r="BG314" s="855"/>
      <c r="BH314" s="855"/>
      <c r="BI314" s="855"/>
      <c r="BJ314" s="855"/>
      <c r="BK314" s="855"/>
      <c r="BL314" s="855"/>
      <c r="BM314" s="855"/>
      <c r="BN314" s="855"/>
      <c r="BO314" s="848">
        <f t="shared" si="232"/>
        <v>372.78650800000003</v>
      </c>
      <c r="BP314" s="855">
        <v>372.78650800000003</v>
      </c>
      <c r="BQ314" s="855"/>
      <c r="BR314" s="855"/>
      <c r="BS314" s="855"/>
      <c r="BT314" s="855"/>
      <c r="BU314" s="855"/>
      <c r="BV314" s="855"/>
      <c r="BW314" s="855"/>
      <c r="BX314" s="855"/>
      <c r="BY314" s="855"/>
      <c r="BZ314" s="855"/>
      <c r="CA314" s="855"/>
      <c r="CB314" s="855"/>
      <c r="CC314" s="855"/>
      <c r="CD314" s="855"/>
      <c r="CE314" s="855"/>
      <c r="CF314" s="848"/>
      <c r="CG314" s="848"/>
      <c r="CH314" s="848"/>
      <c r="CI314" s="848"/>
      <c r="CJ314" s="848"/>
      <c r="CK314" s="848"/>
      <c r="CL314" s="848"/>
      <c r="CM314" s="848"/>
      <c r="CN314" s="848"/>
      <c r="CO314" s="848"/>
      <c r="CP314" s="848"/>
      <c r="CQ314" s="848"/>
      <c r="CR314" s="848"/>
      <c r="CS314" s="848"/>
      <c r="CT314" s="848"/>
      <c r="CU314" s="848"/>
      <c r="CV314" s="848"/>
      <c r="CW314" s="848"/>
    </row>
    <row r="315" spans="1:101" ht="40.15" customHeight="1">
      <c r="A315" s="845"/>
      <c r="B315" s="852" t="s">
        <v>834</v>
      </c>
      <c r="C315" s="852" t="s">
        <v>911</v>
      </c>
      <c r="D315" s="846"/>
      <c r="E315" s="845"/>
      <c r="F315" s="853" t="s">
        <v>544</v>
      </c>
      <c r="G315" s="887" t="s">
        <v>912</v>
      </c>
      <c r="H315" s="850">
        <f t="shared" si="220"/>
        <v>150</v>
      </c>
      <c r="I315" s="855">
        <v>150</v>
      </c>
      <c r="J315" s="848"/>
      <c r="K315" s="848"/>
      <c r="L315" s="848"/>
      <c r="M315" s="848"/>
      <c r="N315" s="848"/>
      <c r="O315" s="848"/>
      <c r="P315" s="848"/>
      <c r="Q315" s="848"/>
      <c r="R315" s="848"/>
      <c r="S315" s="848"/>
      <c r="T315" s="855">
        <f t="shared" si="238"/>
        <v>130</v>
      </c>
      <c r="U315" s="855">
        <v>130</v>
      </c>
      <c r="V315" s="848"/>
      <c r="W315" s="848"/>
      <c r="X315" s="848"/>
      <c r="Y315" s="848"/>
      <c r="Z315" s="848"/>
      <c r="AA315" s="848"/>
      <c r="AB315" s="848"/>
      <c r="AC315" s="848"/>
      <c r="AD315" s="848"/>
      <c r="AE315" s="848"/>
      <c r="AF315" s="848"/>
      <c r="AG315" s="848"/>
      <c r="AH315" s="855"/>
      <c r="AI315" s="855">
        <f t="shared" si="248"/>
        <v>150</v>
      </c>
      <c r="AJ315" s="855">
        <v>150</v>
      </c>
      <c r="AK315" s="855"/>
      <c r="AL315" s="855"/>
      <c r="AM315" s="855"/>
      <c r="AN315" s="855"/>
      <c r="AO315" s="855"/>
      <c r="AP315" s="855"/>
      <c r="AQ315" s="855"/>
      <c r="AR315" s="855"/>
      <c r="AS315" s="855"/>
      <c r="AT315" s="855"/>
      <c r="AU315" s="855"/>
      <c r="AV315" s="855"/>
      <c r="AW315" s="855"/>
      <c r="AX315" s="855"/>
      <c r="AY315" s="855">
        <f t="shared" si="247"/>
        <v>0</v>
      </c>
      <c r="AZ315" s="855"/>
      <c r="BA315" s="855"/>
      <c r="BB315" s="855"/>
      <c r="BC315" s="855"/>
      <c r="BD315" s="855"/>
      <c r="BE315" s="855"/>
      <c r="BF315" s="855"/>
      <c r="BG315" s="855"/>
      <c r="BH315" s="855"/>
      <c r="BI315" s="855"/>
      <c r="BJ315" s="855"/>
      <c r="BK315" s="855"/>
      <c r="BL315" s="855"/>
      <c r="BM315" s="855"/>
      <c r="BN315" s="855"/>
      <c r="BO315" s="848">
        <f t="shared" si="232"/>
        <v>19.175999999999998</v>
      </c>
      <c r="BP315" s="855">
        <v>19.175999999999998</v>
      </c>
      <c r="BQ315" s="855"/>
      <c r="BR315" s="855"/>
      <c r="BS315" s="855"/>
      <c r="BT315" s="855"/>
      <c r="BU315" s="855"/>
      <c r="BV315" s="855"/>
      <c r="BW315" s="855"/>
      <c r="BX315" s="855"/>
      <c r="BY315" s="855"/>
      <c r="BZ315" s="855"/>
      <c r="CA315" s="855"/>
      <c r="CB315" s="855"/>
      <c r="CC315" s="855"/>
      <c r="CD315" s="855"/>
      <c r="CE315" s="855"/>
      <c r="CF315" s="848"/>
      <c r="CG315" s="848"/>
      <c r="CH315" s="848"/>
      <c r="CI315" s="848"/>
      <c r="CJ315" s="848"/>
      <c r="CK315" s="848"/>
      <c r="CL315" s="848"/>
      <c r="CM315" s="848"/>
      <c r="CN315" s="848"/>
      <c r="CO315" s="848"/>
      <c r="CP315" s="848"/>
      <c r="CQ315" s="848"/>
      <c r="CR315" s="848"/>
      <c r="CS315" s="848"/>
      <c r="CT315" s="848"/>
      <c r="CU315" s="848"/>
      <c r="CV315" s="848"/>
      <c r="CW315" s="848"/>
    </row>
    <row r="316" spans="1:101" ht="43.15" customHeight="1">
      <c r="A316" s="845"/>
      <c r="B316" s="852" t="s">
        <v>834</v>
      </c>
      <c r="C316" s="852" t="s">
        <v>913</v>
      </c>
      <c r="D316" s="846"/>
      <c r="E316" s="845"/>
      <c r="F316" s="853" t="s">
        <v>544</v>
      </c>
      <c r="G316" s="853" t="s">
        <v>914</v>
      </c>
      <c r="H316" s="850">
        <f t="shared" si="220"/>
        <v>0</v>
      </c>
      <c r="I316" s="848"/>
      <c r="J316" s="848"/>
      <c r="K316" s="848"/>
      <c r="L316" s="848"/>
      <c r="M316" s="848"/>
      <c r="N316" s="848"/>
      <c r="O316" s="848"/>
      <c r="P316" s="848"/>
      <c r="Q316" s="848"/>
      <c r="R316" s="848"/>
      <c r="S316" s="848"/>
      <c r="T316" s="855">
        <f t="shared" si="238"/>
        <v>0</v>
      </c>
      <c r="U316" s="848">
        <v>0</v>
      </c>
      <c r="V316" s="848"/>
      <c r="W316" s="848"/>
      <c r="X316" s="848"/>
      <c r="Y316" s="848"/>
      <c r="Z316" s="848"/>
      <c r="AA316" s="848"/>
      <c r="AB316" s="848"/>
      <c r="AC316" s="848"/>
      <c r="AD316" s="848"/>
      <c r="AE316" s="848"/>
      <c r="AF316" s="848"/>
      <c r="AG316" s="848"/>
      <c r="AH316" s="855"/>
      <c r="AI316" s="855">
        <f t="shared" si="248"/>
        <v>879</v>
      </c>
      <c r="AJ316" s="855">
        <v>879</v>
      </c>
      <c r="AK316" s="855"/>
      <c r="AL316" s="855"/>
      <c r="AM316" s="855"/>
      <c r="AN316" s="855"/>
      <c r="AO316" s="855"/>
      <c r="AP316" s="855"/>
      <c r="AQ316" s="855"/>
      <c r="AR316" s="855"/>
      <c r="AS316" s="855"/>
      <c r="AT316" s="855"/>
      <c r="AU316" s="855"/>
      <c r="AV316" s="855"/>
      <c r="AW316" s="855"/>
      <c r="AX316" s="855"/>
      <c r="AY316" s="855">
        <f t="shared" si="247"/>
        <v>0</v>
      </c>
      <c r="AZ316" s="855"/>
      <c r="BA316" s="855"/>
      <c r="BB316" s="855"/>
      <c r="BC316" s="855"/>
      <c r="BD316" s="855"/>
      <c r="BE316" s="855"/>
      <c r="BF316" s="855"/>
      <c r="BG316" s="855"/>
      <c r="BH316" s="855"/>
      <c r="BI316" s="855"/>
      <c r="BJ316" s="855"/>
      <c r="BK316" s="855"/>
      <c r="BL316" s="855"/>
      <c r="BM316" s="855"/>
      <c r="BN316" s="855"/>
      <c r="BO316" s="848">
        <f t="shared" si="232"/>
        <v>864.46400000000006</v>
      </c>
      <c r="BP316" s="855">
        <v>864.46400000000006</v>
      </c>
      <c r="BQ316" s="855"/>
      <c r="BR316" s="855"/>
      <c r="BS316" s="855"/>
      <c r="BT316" s="855"/>
      <c r="BU316" s="855"/>
      <c r="BV316" s="855"/>
      <c r="BW316" s="855"/>
      <c r="BX316" s="855"/>
      <c r="BY316" s="855"/>
      <c r="BZ316" s="855"/>
      <c r="CA316" s="855"/>
      <c r="CB316" s="855"/>
      <c r="CC316" s="855"/>
      <c r="CD316" s="855"/>
      <c r="CE316" s="855"/>
      <c r="CF316" s="848"/>
      <c r="CG316" s="848"/>
      <c r="CH316" s="848"/>
      <c r="CI316" s="848"/>
      <c r="CJ316" s="848"/>
      <c r="CK316" s="848"/>
      <c r="CL316" s="848"/>
      <c r="CM316" s="848"/>
      <c r="CN316" s="848"/>
      <c r="CO316" s="848"/>
      <c r="CP316" s="848"/>
      <c r="CQ316" s="848"/>
      <c r="CR316" s="848"/>
      <c r="CS316" s="848"/>
      <c r="CT316" s="848"/>
      <c r="CU316" s="848"/>
      <c r="CV316" s="848"/>
      <c r="CW316" s="848"/>
    </row>
    <row r="317" spans="1:101" ht="72.599999999999994" customHeight="1">
      <c r="A317" s="845"/>
      <c r="B317" s="852" t="s">
        <v>834</v>
      </c>
      <c r="C317" s="852" t="s">
        <v>915</v>
      </c>
      <c r="D317" s="846"/>
      <c r="E317" s="845"/>
      <c r="F317" s="853" t="s">
        <v>544</v>
      </c>
      <c r="G317" s="853" t="s">
        <v>916</v>
      </c>
      <c r="H317" s="850">
        <f t="shared" si="220"/>
        <v>0</v>
      </c>
      <c r="I317" s="848"/>
      <c r="J317" s="848"/>
      <c r="K317" s="848"/>
      <c r="L317" s="848"/>
      <c r="M317" s="848"/>
      <c r="N317" s="848"/>
      <c r="O317" s="848"/>
      <c r="P317" s="848"/>
      <c r="Q317" s="848"/>
      <c r="R317" s="848"/>
      <c r="S317" s="848"/>
      <c r="T317" s="855">
        <f t="shared" si="238"/>
        <v>196</v>
      </c>
      <c r="U317" s="855">
        <v>196</v>
      </c>
      <c r="V317" s="848"/>
      <c r="W317" s="848"/>
      <c r="X317" s="848"/>
      <c r="Y317" s="848"/>
      <c r="Z317" s="848"/>
      <c r="AA317" s="848"/>
      <c r="AB317" s="848"/>
      <c r="AC317" s="848"/>
      <c r="AD317" s="848"/>
      <c r="AE317" s="848"/>
      <c r="AF317" s="848"/>
      <c r="AG317" s="848"/>
      <c r="AH317" s="855"/>
      <c r="AI317" s="855">
        <f t="shared" si="248"/>
        <v>400</v>
      </c>
      <c r="AJ317" s="855">
        <v>400</v>
      </c>
      <c r="AK317" s="855"/>
      <c r="AL317" s="855"/>
      <c r="AM317" s="855"/>
      <c r="AN317" s="855"/>
      <c r="AO317" s="855"/>
      <c r="AP317" s="855"/>
      <c r="AQ317" s="855"/>
      <c r="AR317" s="855"/>
      <c r="AS317" s="855"/>
      <c r="AT317" s="855"/>
      <c r="AU317" s="855"/>
      <c r="AV317" s="855"/>
      <c r="AW317" s="855"/>
      <c r="AX317" s="855"/>
      <c r="AY317" s="855">
        <f t="shared" si="247"/>
        <v>0</v>
      </c>
      <c r="AZ317" s="855"/>
      <c r="BA317" s="855"/>
      <c r="BB317" s="855"/>
      <c r="BC317" s="855"/>
      <c r="BD317" s="855"/>
      <c r="BE317" s="855"/>
      <c r="BF317" s="855"/>
      <c r="BG317" s="855"/>
      <c r="BH317" s="855"/>
      <c r="BI317" s="855"/>
      <c r="BJ317" s="855"/>
      <c r="BK317" s="855"/>
      <c r="BL317" s="855"/>
      <c r="BM317" s="855"/>
      <c r="BN317" s="855"/>
      <c r="BO317" s="848">
        <f t="shared" si="232"/>
        <v>379.30700000000002</v>
      </c>
      <c r="BP317" s="855">
        <v>379.30700000000002</v>
      </c>
      <c r="BQ317" s="855"/>
      <c r="BR317" s="855"/>
      <c r="BS317" s="855"/>
      <c r="BT317" s="855"/>
      <c r="BU317" s="855"/>
      <c r="BV317" s="855"/>
      <c r="BW317" s="855"/>
      <c r="BX317" s="855"/>
      <c r="BY317" s="855"/>
      <c r="BZ317" s="855"/>
      <c r="CA317" s="855"/>
      <c r="CB317" s="855"/>
      <c r="CC317" s="855"/>
      <c r="CD317" s="855"/>
      <c r="CE317" s="855"/>
      <c r="CF317" s="848"/>
      <c r="CG317" s="848"/>
      <c r="CH317" s="848"/>
      <c r="CI317" s="848"/>
      <c r="CJ317" s="848"/>
      <c r="CK317" s="848"/>
      <c r="CL317" s="848"/>
      <c r="CM317" s="848"/>
      <c r="CN317" s="848"/>
      <c r="CO317" s="848"/>
      <c r="CP317" s="848"/>
      <c r="CQ317" s="848"/>
      <c r="CR317" s="848"/>
      <c r="CS317" s="848"/>
      <c r="CT317" s="848"/>
      <c r="CU317" s="848"/>
      <c r="CV317" s="848"/>
      <c r="CW317" s="848"/>
    </row>
    <row r="318" spans="1:101" ht="34.15" customHeight="1">
      <c r="A318" s="845" t="s">
        <v>917</v>
      </c>
      <c r="B318" s="845"/>
      <c r="C318" s="857" t="s">
        <v>918</v>
      </c>
      <c r="D318" s="846">
        <f>D319</f>
        <v>0</v>
      </c>
      <c r="E318" s="845">
        <f t="shared" ref="E318:CE319" si="249">E319</f>
        <v>0</v>
      </c>
      <c r="F318" s="847"/>
      <c r="G318" s="845"/>
      <c r="H318" s="850">
        <f t="shared" si="220"/>
        <v>59614.79</v>
      </c>
      <c r="I318" s="848">
        <f t="shared" ref="I318:AX319" si="250">I319</f>
        <v>0</v>
      </c>
      <c r="J318" s="848">
        <f t="shared" si="250"/>
        <v>59614.79</v>
      </c>
      <c r="K318" s="848">
        <f t="shared" si="250"/>
        <v>0</v>
      </c>
      <c r="L318" s="848">
        <f t="shared" si="250"/>
        <v>0</v>
      </c>
      <c r="M318" s="848">
        <f t="shared" si="250"/>
        <v>0</v>
      </c>
      <c r="N318" s="848">
        <f t="shared" si="250"/>
        <v>0</v>
      </c>
      <c r="O318" s="848">
        <f t="shared" si="250"/>
        <v>0</v>
      </c>
      <c r="P318" s="848">
        <f t="shared" si="250"/>
        <v>0</v>
      </c>
      <c r="Q318" s="848">
        <f t="shared" si="250"/>
        <v>0</v>
      </c>
      <c r="R318" s="848"/>
      <c r="S318" s="848">
        <f t="shared" si="250"/>
        <v>0</v>
      </c>
      <c r="T318" s="848">
        <f t="shared" si="250"/>
        <v>23240.155203999999</v>
      </c>
      <c r="U318" s="848">
        <f t="shared" si="250"/>
        <v>0</v>
      </c>
      <c r="V318" s="848">
        <f t="shared" si="250"/>
        <v>0</v>
      </c>
      <c r="W318" s="848">
        <f t="shared" si="250"/>
        <v>23240.155203999999</v>
      </c>
      <c r="X318" s="848">
        <f t="shared" si="250"/>
        <v>0</v>
      </c>
      <c r="Y318" s="848">
        <f t="shared" si="250"/>
        <v>0</v>
      </c>
      <c r="Z318" s="848">
        <f t="shared" si="250"/>
        <v>0</v>
      </c>
      <c r="AA318" s="848">
        <f t="shared" si="250"/>
        <v>0</v>
      </c>
      <c r="AB318" s="848">
        <f t="shared" si="250"/>
        <v>0</v>
      </c>
      <c r="AC318" s="848">
        <f t="shared" si="250"/>
        <v>0</v>
      </c>
      <c r="AD318" s="848">
        <f t="shared" si="250"/>
        <v>0</v>
      </c>
      <c r="AE318" s="848">
        <f t="shared" si="250"/>
        <v>0</v>
      </c>
      <c r="AF318" s="848">
        <f t="shared" si="250"/>
        <v>0</v>
      </c>
      <c r="AG318" s="848">
        <f t="shared" si="250"/>
        <v>0</v>
      </c>
      <c r="AH318" s="848">
        <f t="shared" si="250"/>
        <v>0</v>
      </c>
      <c r="AI318" s="848">
        <f t="shared" si="250"/>
        <v>6093.15</v>
      </c>
      <c r="AJ318" s="848">
        <f t="shared" si="250"/>
        <v>0</v>
      </c>
      <c r="AK318" s="848">
        <f t="shared" si="250"/>
        <v>0</v>
      </c>
      <c r="AL318" s="848">
        <f t="shared" si="250"/>
        <v>6093.15</v>
      </c>
      <c r="AM318" s="848">
        <f t="shared" si="250"/>
        <v>0</v>
      </c>
      <c r="AN318" s="848">
        <f t="shared" si="250"/>
        <v>0</v>
      </c>
      <c r="AO318" s="848">
        <f t="shared" si="250"/>
        <v>0</v>
      </c>
      <c r="AP318" s="848">
        <f t="shared" si="250"/>
        <v>0</v>
      </c>
      <c r="AQ318" s="848">
        <f t="shared" si="250"/>
        <v>0</v>
      </c>
      <c r="AR318" s="848">
        <f t="shared" si="250"/>
        <v>0</v>
      </c>
      <c r="AS318" s="848"/>
      <c r="AT318" s="848">
        <f t="shared" si="250"/>
        <v>0</v>
      </c>
      <c r="AU318" s="848">
        <f t="shared" si="250"/>
        <v>0</v>
      </c>
      <c r="AV318" s="848">
        <f t="shared" si="250"/>
        <v>0</v>
      </c>
      <c r="AW318" s="848">
        <f t="shared" si="250"/>
        <v>0</v>
      </c>
      <c r="AX318" s="848">
        <f t="shared" si="250"/>
        <v>0</v>
      </c>
      <c r="AY318" s="848">
        <f t="shared" si="249"/>
        <v>3186.6039559999999</v>
      </c>
      <c r="AZ318" s="848">
        <f t="shared" si="249"/>
        <v>0</v>
      </c>
      <c r="BA318" s="848"/>
      <c r="BB318" s="848"/>
      <c r="BC318" s="848">
        <f t="shared" si="249"/>
        <v>3186.6039559999999</v>
      </c>
      <c r="BD318" s="848">
        <f t="shared" si="249"/>
        <v>0</v>
      </c>
      <c r="BE318" s="848"/>
      <c r="BF318" s="848">
        <f t="shared" si="249"/>
        <v>0</v>
      </c>
      <c r="BG318" s="848">
        <f t="shared" si="249"/>
        <v>0</v>
      </c>
      <c r="BH318" s="848">
        <f t="shared" si="249"/>
        <v>0</v>
      </c>
      <c r="BI318" s="848">
        <f t="shared" si="249"/>
        <v>0</v>
      </c>
      <c r="BJ318" s="848">
        <f t="shared" si="249"/>
        <v>0</v>
      </c>
      <c r="BK318" s="848">
        <f t="shared" si="249"/>
        <v>0</v>
      </c>
      <c r="BL318" s="848">
        <f t="shared" si="249"/>
        <v>0</v>
      </c>
      <c r="BM318" s="848">
        <f t="shared" si="249"/>
        <v>0</v>
      </c>
      <c r="BN318" s="848">
        <f t="shared" si="249"/>
        <v>0</v>
      </c>
      <c r="BO318" s="848">
        <f t="shared" si="232"/>
        <v>5253.5730160000003</v>
      </c>
      <c r="BP318" s="848">
        <f t="shared" si="249"/>
        <v>0</v>
      </c>
      <c r="BQ318" s="848"/>
      <c r="BR318" s="848"/>
      <c r="BS318" s="848">
        <f t="shared" si="249"/>
        <v>5253.5730160000003</v>
      </c>
      <c r="BT318" s="848">
        <f t="shared" si="249"/>
        <v>0</v>
      </c>
      <c r="BU318" s="848"/>
      <c r="BV318" s="848">
        <f t="shared" si="249"/>
        <v>0</v>
      </c>
      <c r="BW318" s="848">
        <f t="shared" si="249"/>
        <v>0</v>
      </c>
      <c r="BX318" s="848">
        <f t="shared" si="249"/>
        <v>0</v>
      </c>
      <c r="BY318" s="848">
        <f t="shared" si="249"/>
        <v>0</v>
      </c>
      <c r="BZ318" s="848">
        <f t="shared" si="249"/>
        <v>0</v>
      </c>
      <c r="CA318" s="848">
        <f t="shared" si="249"/>
        <v>0</v>
      </c>
      <c r="CB318" s="848">
        <f t="shared" si="249"/>
        <v>0</v>
      </c>
      <c r="CC318" s="848">
        <f t="shared" si="249"/>
        <v>0</v>
      </c>
      <c r="CD318" s="848">
        <f t="shared" si="249"/>
        <v>0</v>
      </c>
      <c r="CE318" s="848">
        <f t="shared" si="249"/>
        <v>0</v>
      </c>
      <c r="CF318" s="848"/>
      <c r="CG318" s="848"/>
      <c r="CH318" s="848"/>
      <c r="CI318" s="848"/>
      <c r="CJ318" s="848">
        <f t="shared" ref="CJ318:CM323" si="251">BS318/BC318*100</f>
        <v>164.86432228605443</v>
      </c>
      <c r="CK318" s="848"/>
      <c r="CL318" s="848"/>
      <c r="CM318" s="848"/>
      <c r="CN318" s="848"/>
      <c r="CO318" s="848"/>
      <c r="CP318" s="848"/>
      <c r="CQ318" s="848"/>
      <c r="CR318" s="848"/>
      <c r="CS318" s="848"/>
      <c r="CT318" s="848"/>
      <c r="CU318" s="848"/>
      <c r="CV318" s="848"/>
      <c r="CW318" s="848"/>
    </row>
    <row r="319" spans="1:101" s="1010" customFormat="1" ht="25.9" customHeight="1">
      <c r="A319" s="1005"/>
      <c r="B319" s="1005"/>
      <c r="C319" s="1006" t="s">
        <v>795</v>
      </c>
      <c r="D319" s="1005">
        <f>D320</f>
        <v>0</v>
      </c>
      <c r="E319" s="1005">
        <f t="shared" si="249"/>
        <v>0</v>
      </c>
      <c r="F319" s="1007"/>
      <c r="G319" s="1005"/>
      <c r="H319" s="1008">
        <f t="shared" si="220"/>
        <v>59614.79</v>
      </c>
      <c r="I319" s="1009">
        <f t="shared" si="250"/>
        <v>0</v>
      </c>
      <c r="J319" s="1009">
        <f t="shared" si="250"/>
        <v>59614.79</v>
      </c>
      <c r="K319" s="1009">
        <f t="shared" si="250"/>
        <v>0</v>
      </c>
      <c r="L319" s="1009">
        <f t="shared" si="250"/>
        <v>0</v>
      </c>
      <c r="M319" s="1009">
        <f t="shared" si="250"/>
        <v>0</v>
      </c>
      <c r="N319" s="1009">
        <f t="shared" si="250"/>
        <v>0</v>
      </c>
      <c r="O319" s="1009">
        <f t="shared" si="250"/>
        <v>0</v>
      </c>
      <c r="P319" s="1009">
        <f t="shared" si="250"/>
        <v>0</v>
      </c>
      <c r="Q319" s="1009">
        <f t="shared" si="250"/>
        <v>0</v>
      </c>
      <c r="R319" s="1009">
        <v>0</v>
      </c>
      <c r="S319" s="1009">
        <f t="shared" si="250"/>
        <v>0</v>
      </c>
      <c r="T319" s="1009">
        <f t="shared" si="250"/>
        <v>23240.155203999999</v>
      </c>
      <c r="U319" s="1009">
        <f t="shared" si="250"/>
        <v>0</v>
      </c>
      <c r="V319" s="1009">
        <f t="shared" si="250"/>
        <v>0</v>
      </c>
      <c r="W319" s="1009">
        <f t="shared" si="250"/>
        <v>23240.155203999999</v>
      </c>
      <c r="X319" s="1009">
        <f t="shared" si="250"/>
        <v>0</v>
      </c>
      <c r="Y319" s="1009">
        <f t="shared" si="250"/>
        <v>0</v>
      </c>
      <c r="Z319" s="1009">
        <f t="shared" si="250"/>
        <v>0</v>
      </c>
      <c r="AA319" s="1009">
        <f t="shared" si="250"/>
        <v>0</v>
      </c>
      <c r="AB319" s="1009">
        <f t="shared" si="250"/>
        <v>0</v>
      </c>
      <c r="AC319" s="1009">
        <f t="shared" si="250"/>
        <v>0</v>
      </c>
      <c r="AD319" s="1009">
        <f t="shared" si="250"/>
        <v>0</v>
      </c>
      <c r="AE319" s="1009">
        <f t="shared" si="250"/>
        <v>0</v>
      </c>
      <c r="AF319" s="1009">
        <f t="shared" si="250"/>
        <v>0</v>
      </c>
      <c r="AG319" s="1009">
        <f t="shared" si="250"/>
        <v>0</v>
      </c>
      <c r="AH319" s="1009">
        <f t="shared" si="250"/>
        <v>0</v>
      </c>
      <c r="AI319" s="1009">
        <f t="shared" si="250"/>
        <v>6093.15</v>
      </c>
      <c r="AJ319" s="1009">
        <f t="shared" si="250"/>
        <v>0</v>
      </c>
      <c r="AK319" s="1009">
        <f t="shared" si="250"/>
        <v>0</v>
      </c>
      <c r="AL319" s="1009">
        <f t="shared" si="250"/>
        <v>6093.15</v>
      </c>
      <c r="AM319" s="1009">
        <f t="shared" si="250"/>
        <v>0</v>
      </c>
      <c r="AN319" s="1009">
        <f t="shared" si="250"/>
        <v>0</v>
      </c>
      <c r="AO319" s="1009">
        <f t="shared" si="250"/>
        <v>0</v>
      </c>
      <c r="AP319" s="1009">
        <f t="shared" si="250"/>
        <v>0</v>
      </c>
      <c r="AQ319" s="1009">
        <f t="shared" si="250"/>
        <v>0</v>
      </c>
      <c r="AR319" s="1009">
        <f t="shared" si="250"/>
        <v>0</v>
      </c>
      <c r="AS319" s="1009"/>
      <c r="AT319" s="1009">
        <f t="shared" si="250"/>
        <v>0</v>
      </c>
      <c r="AU319" s="1009">
        <f t="shared" si="250"/>
        <v>0</v>
      </c>
      <c r="AV319" s="1009">
        <f t="shared" si="250"/>
        <v>0</v>
      </c>
      <c r="AW319" s="1009">
        <f t="shared" si="250"/>
        <v>0</v>
      </c>
      <c r="AX319" s="1009">
        <f t="shared" si="250"/>
        <v>0</v>
      </c>
      <c r="AY319" s="1009">
        <f t="shared" si="249"/>
        <v>3186.6039559999999</v>
      </c>
      <c r="AZ319" s="1009">
        <f t="shared" si="249"/>
        <v>0</v>
      </c>
      <c r="BA319" s="1009"/>
      <c r="BB319" s="1009"/>
      <c r="BC319" s="1009">
        <f t="shared" si="249"/>
        <v>3186.6039559999999</v>
      </c>
      <c r="BD319" s="1009">
        <f t="shared" si="249"/>
        <v>0</v>
      </c>
      <c r="BE319" s="1009"/>
      <c r="BF319" s="1009">
        <f t="shared" si="249"/>
        <v>0</v>
      </c>
      <c r="BG319" s="1009">
        <f t="shared" si="249"/>
        <v>0</v>
      </c>
      <c r="BH319" s="1009">
        <f t="shared" si="249"/>
        <v>0</v>
      </c>
      <c r="BI319" s="1009">
        <f t="shared" si="249"/>
        <v>0</v>
      </c>
      <c r="BJ319" s="1009">
        <f t="shared" si="249"/>
        <v>0</v>
      </c>
      <c r="BK319" s="1009">
        <f t="shared" si="249"/>
        <v>0</v>
      </c>
      <c r="BL319" s="1009">
        <f t="shared" si="249"/>
        <v>0</v>
      </c>
      <c r="BM319" s="1009">
        <f t="shared" si="249"/>
        <v>0</v>
      </c>
      <c r="BN319" s="1009">
        <f t="shared" si="249"/>
        <v>0</v>
      </c>
      <c r="BO319" s="1009">
        <f t="shared" si="232"/>
        <v>5253.5730160000003</v>
      </c>
      <c r="BP319" s="1009">
        <f t="shared" si="249"/>
        <v>0</v>
      </c>
      <c r="BQ319" s="1009"/>
      <c r="BR319" s="1009"/>
      <c r="BS319" s="1009">
        <f t="shared" si="249"/>
        <v>5253.5730160000003</v>
      </c>
      <c r="BT319" s="1009">
        <f t="shared" si="249"/>
        <v>0</v>
      </c>
      <c r="BU319" s="1009"/>
      <c r="BV319" s="1009">
        <f t="shared" si="249"/>
        <v>0</v>
      </c>
      <c r="BW319" s="1009">
        <f t="shared" si="249"/>
        <v>0</v>
      </c>
      <c r="BX319" s="1009">
        <f t="shared" si="249"/>
        <v>0</v>
      </c>
      <c r="BY319" s="1009">
        <f t="shared" si="249"/>
        <v>0</v>
      </c>
      <c r="BZ319" s="1009">
        <f t="shared" si="249"/>
        <v>0</v>
      </c>
      <c r="CA319" s="1009">
        <f t="shared" si="249"/>
        <v>0</v>
      </c>
      <c r="CB319" s="1009">
        <f t="shared" si="249"/>
        <v>0</v>
      </c>
      <c r="CC319" s="1009">
        <f t="shared" si="249"/>
        <v>0</v>
      </c>
      <c r="CD319" s="1009">
        <f t="shared" si="249"/>
        <v>0</v>
      </c>
      <c r="CE319" s="1009">
        <f t="shared" si="249"/>
        <v>0</v>
      </c>
      <c r="CF319" s="1009">
        <f>BO318/AY318%</f>
        <v>164.86432228605443</v>
      </c>
      <c r="CG319" s="1009"/>
      <c r="CH319" s="1009"/>
      <c r="CI319" s="1009"/>
      <c r="CJ319" s="1009">
        <f t="shared" si="251"/>
        <v>164.86432228605443</v>
      </c>
      <c r="CK319" s="1009"/>
      <c r="CL319" s="1009"/>
      <c r="CM319" s="1009"/>
      <c r="CN319" s="1009"/>
      <c r="CO319" s="1009"/>
      <c r="CP319" s="1009"/>
      <c r="CQ319" s="1009"/>
      <c r="CR319" s="1009"/>
      <c r="CS319" s="1009"/>
      <c r="CT319" s="1009"/>
      <c r="CU319" s="1009"/>
      <c r="CV319" s="1009"/>
      <c r="CW319" s="1009"/>
    </row>
    <row r="320" spans="1:101" ht="24.75" customHeight="1">
      <c r="A320" s="845"/>
      <c r="B320" s="852" t="s">
        <v>918</v>
      </c>
      <c r="C320" s="852" t="s">
        <v>919</v>
      </c>
      <c r="D320" s="846"/>
      <c r="E320" s="845"/>
      <c r="F320" s="853" t="s">
        <v>802</v>
      </c>
      <c r="G320" s="846" t="s">
        <v>920</v>
      </c>
      <c r="H320" s="850">
        <f t="shared" si="220"/>
        <v>59614.79</v>
      </c>
      <c r="I320" s="860"/>
      <c r="J320" s="860">
        <v>59614.79</v>
      </c>
      <c r="K320" s="848"/>
      <c r="L320" s="848"/>
      <c r="M320" s="848"/>
      <c r="N320" s="848"/>
      <c r="O320" s="848"/>
      <c r="P320" s="848"/>
      <c r="Q320" s="848"/>
      <c r="R320" s="848"/>
      <c r="S320" s="848"/>
      <c r="T320" s="855">
        <f t="shared" si="238"/>
        <v>23240.155203999999</v>
      </c>
      <c r="U320" s="848"/>
      <c r="V320" s="848"/>
      <c r="W320" s="855">
        <v>23240.155203999999</v>
      </c>
      <c r="X320" s="848"/>
      <c r="Y320" s="848"/>
      <c r="Z320" s="848"/>
      <c r="AA320" s="848"/>
      <c r="AB320" s="848"/>
      <c r="AC320" s="848"/>
      <c r="AD320" s="848"/>
      <c r="AE320" s="848"/>
      <c r="AF320" s="848"/>
      <c r="AG320" s="848"/>
      <c r="AH320" s="855"/>
      <c r="AI320" s="855">
        <f>AL320</f>
        <v>6093.15</v>
      </c>
      <c r="AJ320" s="855"/>
      <c r="AK320" s="855"/>
      <c r="AL320" s="855">
        <v>6093.15</v>
      </c>
      <c r="AM320" s="855"/>
      <c r="AN320" s="855"/>
      <c r="AO320" s="855"/>
      <c r="AP320" s="855"/>
      <c r="AQ320" s="855"/>
      <c r="AR320" s="855"/>
      <c r="AS320" s="855"/>
      <c r="AT320" s="855"/>
      <c r="AU320" s="855"/>
      <c r="AV320" s="855"/>
      <c r="AW320" s="855"/>
      <c r="AX320" s="855"/>
      <c r="AY320" s="855">
        <f>BC320</f>
        <v>3186.6039559999999</v>
      </c>
      <c r="AZ320" s="855"/>
      <c r="BA320" s="855"/>
      <c r="BB320" s="855"/>
      <c r="BC320" s="850">
        <v>3186.6039559999999</v>
      </c>
      <c r="BD320" s="855"/>
      <c r="BE320" s="855"/>
      <c r="BF320" s="855"/>
      <c r="BG320" s="855"/>
      <c r="BH320" s="855"/>
      <c r="BI320" s="855"/>
      <c r="BJ320" s="855"/>
      <c r="BK320" s="855"/>
      <c r="BL320" s="855"/>
      <c r="BM320" s="855"/>
      <c r="BN320" s="855"/>
      <c r="BO320" s="848">
        <f t="shared" si="232"/>
        <v>5253.5730160000003</v>
      </c>
      <c r="BP320" s="855"/>
      <c r="BQ320" s="855"/>
      <c r="BR320" s="855"/>
      <c r="BS320" s="855">
        <v>5253.5730160000003</v>
      </c>
      <c r="BT320" s="855"/>
      <c r="BU320" s="855"/>
      <c r="BV320" s="855"/>
      <c r="BW320" s="855"/>
      <c r="BX320" s="855"/>
      <c r="BY320" s="855"/>
      <c r="BZ320" s="855"/>
      <c r="CA320" s="855"/>
      <c r="CB320" s="855"/>
      <c r="CC320" s="855"/>
      <c r="CD320" s="855"/>
      <c r="CE320" s="855"/>
      <c r="CF320" s="848">
        <f>BO319/AY319%</f>
        <v>164.86432228605443</v>
      </c>
      <c r="CG320" s="848"/>
      <c r="CH320" s="848"/>
      <c r="CI320" s="848"/>
      <c r="CJ320" s="848">
        <f t="shared" si="251"/>
        <v>164.86432228605443</v>
      </c>
      <c r="CK320" s="848"/>
      <c r="CL320" s="848"/>
      <c r="CM320" s="848"/>
      <c r="CN320" s="848"/>
      <c r="CO320" s="848"/>
      <c r="CP320" s="848"/>
      <c r="CQ320" s="848"/>
      <c r="CR320" s="848"/>
      <c r="CS320" s="848"/>
      <c r="CT320" s="848"/>
      <c r="CU320" s="848"/>
      <c r="CV320" s="848"/>
      <c r="CW320" s="848"/>
    </row>
    <row r="321" spans="1:101" ht="24.75" customHeight="1">
      <c r="A321" s="845" t="s">
        <v>921</v>
      </c>
      <c r="B321" s="845"/>
      <c r="C321" s="845" t="s">
        <v>775</v>
      </c>
      <c r="D321" s="846">
        <f>D322+D337</f>
        <v>0</v>
      </c>
      <c r="E321" s="845">
        <f>E322+E337</f>
        <v>0</v>
      </c>
      <c r="F321" s="847"/>
      <c r="G321" s="845"/>
      <c r="H321" s="850">
        <f t="shared" si="220"/>
        <v>1769710.9758880001</v>
      </c>
      <c r="I321" s="848">
        <f>I322+I337</f>
        <v>0</v>
      </c>
      <c r="J321" s="848">
        <f>J322+J337+J341+J345</f>
        <v>467393.67700000003</v>
      </c>
      <c r="K321" s="848">
        <f t="shared" ref="K321:Q321" si="252">K322+K337</f>
        <v>0</v>
      </c>
      <c r="L321" s="848">
        <f t="shared" si="252"/>
        <v>0</v>
      </c>
      <c r="M321" s="848">
        <f t="shared" si="252"/>
        <v>0</v>
      </c>
      <c r="N321" s="848">
        <f t="shared" si="252"/>
        <v>0</v>
      </c>
      <c r="O321" s="848">
        <f t="shared" si="252"/>
        <v>0</v>
      </c>
      <c r="P321" s="848">
        <f t="shared" si="252"/>
        <v>0</v>
      </c>
      <c r="Q321" s="848">
        <f t="shared" si="252"/>
        <v>0</v>
      </c>
      <c r="R321" s="848">
        <v>1227955</v>
      </c>
      <c r="S321" s="848">
        <f t="shared" ref="S321:AX321" si="253">S322+S337</f>
        <v>74362.298888000005</v>
      </c>
      <c r="T321" s="848">
        <f t="shared" si="253"/>
        <v>246653.16228200003</v>
      </c>
      <c r="U321" s="848">
        <f t="shared" si="253"/>
        <v>89394.941546000002</v>
      </c>
      <c r="V321" s="848">
        <f t="shared" si="253"/>
        <v>0</v>
      </c>
      <c r="W321" s="848">
        <f t="shared" si="253"/>
        <v>136938.22073599999</v>
      </c>
      <c r="X321" s="848">
        <f t="shared" si="253"/>
        <v>0</v>
      </c>
      <c r="Y321" s="848">
        <f t="shared" si="253"/>
        <v>0</v>
      </c>
      <c r="Z321" s="848">
        <f t="shared" si="253"/>
        <v>6500</v>
      </c>
      <c r="AA321" s="848">
        <f t="shared" si="253"/>
        <v>0</v>
      </c>
      <c r="AB321" s="848">
        <f t="shared" si="253"/>
        <v>0</v>
      </c>
      <c r="AC321" s="848">
        <f t="shared" si="253"/>
        <v>0</v>
      </c>
      <c r="AD321" s="848">
        <f t="shared" si="253"/>
        <v>0</v>
      </c>
      <c r="AE321" s="848">
        <f t="shared" si="253"/>
        <v>0</v>
      </c>
      <c r="AF321" s="848">
        <f t="shared" si="253"/>
        <v>0</v>
      </c>
      <c r="AG321" s="848">
        <f t="shared" si="253"/>
        <v>0</v>
      </c>
      <c r="AH321" s="848">
        <f t="shared" si="253"/>
        <v>13820</v>
      </c>
      <c r="AI321" s="848">
        <f t="shared" si="253"/>
        <v>651579</v>
      </c>
      <c r="AJ321" s="848">
        <f t="shared" si="253"/>
        <v>513187</v>
      </c>
      <c r="AK321" s="848">
        <f t="shared" si="253"/>
        <v>14000</v>
      </c>
      <c r="AL321" s="848">
        <f t="shared" si="253"/>
        <v>74143</v>
      </c>
      <c r="AM321" s="848">
        <f t="shared" si="253"/>
        <v>0</v>
      </c>
      <c r="AN321" s="848">
        <f t="shared" si="253"/>
        <v>0</v>
      </c>
      <c r="AO321" s="848">
        <f t="shared" si="253"/>
        <v>0</v>
      </c>
      <c r="AP321" s="848">
        <f t="shared" si="253"/>
        <v>0</v>
      </c>
      <c r="AQ321" s="848">
        <f t="shared" si="253"/>
        <v>0</v>
      </c>
      <c r="AR321" s="848">
        <f t="shared" si="253"/>
        <v>0</v>
      </c>
      <c r="AS321" s="848">
        <f t="shared" si="253"/>
        <v>0</v>
      </c>
      <c r="AT321" s="848">
        <f t="shared" si="253"/>
        <v>33820</v>
      </c>
      <c r="AU321" s="848">
        <f t="shared" si="253"/>
        <v>0</v>
      </c>
      <c r="AV321" s="848">
        <f t="shared" si="253"/>
        <v>0</v>
      </c>
      <c r="AW321" s="848">
        <f t="shared" si="253"/>
        <v>0</v>
      </c>
      <c r="AX321" s="848">
        <f t="shared" si="253"/>
        <v>16429</v>
      </c>
      <c r="AY321" s="848">
        <f t="shared" ref="AY321:CE321" si="254">AY322+AY337+AY339+AY341+AY345</f>
        <v>367784</v>
      </c>
      <c r="AZ321" s="848">
        <f t="shared" si="254"/>
        <v>250000</v>
      </c>
      <c r="BA321" s="848">
        <f t="shared" si="254"/>
        <v>0</v>
      </c>
      <c r="BB321" s="848">
        <f t="shared" si="254"/>
        <v>0</v>
      </c>
      <c r="BC321" s="848">
        <f t="shared" si="254"/>
        <v>38508</v>
      </c>
      <c r="BD321" s="848">
        <f t="shared" si="254"/>
        <v>0</v>
      </c>
      <c r="BE321" s="848">
        <f t="shared" si="254"/>
        <v>0</v>
      </c>
      <c r="BF321" s="848">
        <f t="shared" si="254"/>
        <v>29045</v>
      </c>
      <c r="BG321" s="848">
        <f t="shared" si="254"/>
        <v>0</v>
      </c>
      <c r="BH321" s="848">
        <f t="shared" si="254"/>
        <v>0</v>
      </c>
      <c r="BI321" s="848">
        <f t="shared" si="254"/>
        <v>0</v>
      </c>
      <c r="BJ321" s="848">
        <f t="shared" si="254"/>
        <v>0</v>
      </c>
      <c r="BK321" s="848">
        <f t="shared" si="254"/>
        <v>3072</v>
      </c>
      <c r="BL321" s="848">
        <f t="shared" si="254"/>
        <v>0</v>
      </c>
      <c r="BM321" s="848">
        <f t="shared" si="254"/>
        <v>0</v>
      </c>
      <c r="BN321" s="848">
        <f t="shared" si="254"/>
        <v>18353</v>
      </c>
      <c r="BO321" s="848">
        <f t="shared" si="232"/>
        <v>128289.14354600001</v>
      </c>
      <c r="BP321" s="848">
        <f t="shared" si="254"/>
        <v>6790.8966999999993</v>
      </c>
      <c r="BQ321" s="848">
        <f t="shared" si="254"/>
        <v>0</v>
      </c>
      <c r="BR321" s="848">
        <f t="shared" si="254"/>
        <v>0</v>
      </c>
      <c r="BS321" s="848">
        <f>BS322+BS337+BS339+BS341+BS345</f>
        <v>69670.957141999999</v>
      </c>
      <c r="BT321" s="848">
        <f t="shared" si="254"/>
        <v>0</v>
      </c>
      <c r="BU321" s="848">
        <f t="shared" si="254"/>
        <v>0</v>
      </c>
      <c r="BV321" s="848">
        <f t="shared" si="254"/>
        <v>2344</v>
      </c>
      <c r="BW321" s="848">
        <f t="shared" si="254"/>
        <v>0</v>
      </c>
      <c r="BX321" s="848">
        <f t="shared" si="254"/>
        <v>26700.999938000001</v>
      </c>
      <c r="BY321" s="848">
        <f t="shared" si="254"/>
        <v>0</v>
      </c>
      <c r="BZ321" s="848">
        <f t="shared" si="254"/>
        <v>0</v>
      </c>
      <c r="CA321" s="848">
        <f t="shared" si="254"/>
        <v>3071.317466</v>
      </c>
      <c r="CB321" s="848">
        <f t="shared" si="254"/>
        <v>0</v>
      </c>
      <c r="CC321" s="848">
        <f t="shared" si="254"/>
        <v>0</v>
      </c>
      <c r="CD321" s="848">
        <f t="shared" si="254"/>
        <v>0</v>
      </c>
      <c r="CE321" s="848">
        <f t="shared" si="254"/>
        <v>19710.972300000001</v>
      </c>
      <c r="CF321" s="848">
        <f>BO320/AY320%</f>
        <v>164.86432228605443</v>
      </c>
      <c r="CG321" s="848">
        <f t="shared" ref="CG321" si="255">BP321/AZ321*100</f>
        <v>2.7163586799999995</v>
      </c>
      <c r="CH321" s="848"/>
      <c r="CI321" s="848"/>
      <c r="CJ321" s="848">
        <f t="shared" si="251"/>
        <v>180.92593004570477</v>
      </c>
      <c r="CK321" s="848"/>
      <c r="CL321" s="848"/>
      <c r="CM321" s="848">
        <f t="shared" si="251"/>
        <v>8.0702358409364781</v>
      </c>
      <c r="CN321" s="848"/>
      <c r="CO321" s="848"/>
      <c r="CP321" s="848"/>
      <c r="CQ321" s="848"/>
      <c r="CR321" s="848">
        <f t="shared" ref="CR321" si="256">CA321/BK321*100</f>
        <v>99.977782096354161</v>
      </c>
      <c r="CS321" s="848"/>
      <c r="CT321" s="848"/>
      <c r="CU321" s="848"/>
      <c r="CV321" s="848"/>
      <c r="CW321" s="848">
        <f t="shared" si="243"/>
        <v>107.39918432953741</v>
      </c>
    </row>
    <row r="322" spans="1:101" ht="24.75" customHeight="1">
      <c r="A322" s="845" t="s">
        <v>30</v>
      </c>
      <c r="B322" s="845"/>
      <c r="C322" s="845" t="s">
        <v>358</v>
      </c>
      <c r="D322" s="846">
        <f>SUM(D325:D333)</f>
        <v>0</v>
      </c>
      <c r="E322" s="845">
        <f>SUM(E325:E333)</f>
        <v>0</v>
      </c>
      <c r="F322" s="847"/>
      <c r="G322" s="845"/>
      <c r="H322" s="850">
        <f t="shared" si="220"/>
        <v>1302317.298888</v>
      </c>
      <c r="I322" s="848">
        <f t="shared" ref="I322:Q322" si="257">SUM(I324:I336)</f>
        <v>0</v>
      </c>
      <c r="J322" s="848">
        <f t="shared" si="257"/>
        <v>0</v>
      </c>
      <c r="K322" s="848">
        <f t="shared" si="257"/>
        <v>0</v>
      </c>
      <c r="L322" s="848">
        <f t="shared" si="257"/>
        <v>0</v>
      </c>
      <c r="M322" s="848">
        <f t="shared" si="257"/>
        <v>0</v>
      </c>
      <c r="N322" s="848">
        <f t="shared" si="257"/>
        <v>0</v>
      </c>
      <c r="O322" s="848">
        <f t="shared" si="257"/>
        <v>0</v>
      </c>
      <c r="P322" s="848">
        <f t="shared" si="257"/>
        <v>0</v>
      </c>
      <c r="Q322" s="848">
        <f t="shared" si="257"/>
        <v>0</v>
      </c>
      <c r="R322" s="848">
        <v>1227955</v>
      </c>
      <c r="S322" s="848">
        <f t="shared" ref="S322:BN322" si="258">SUM(S324:S336)</f>
        <v>74362.298888000005</v>
      </c>
      <c r="T322" s="848">
        <f t="shared" si="258"/>
        <v>239644.16228200003</v>
      </c>
      <c r="U322" s="848">
        <f t="shared" si="258"/>
        <v>89394.941546000002</v>
      </c>
      <c r="V322" s="848">
        <f t="shared" si="258"/>
        <v>0</v>
      </c>
      <c r="W322" s="848">
        <f t="shared" si="258"/>
        <v>129929.220736</v>
      </c>
      <c r="X322" s="848">
        <f t="shared" si="258"/>
        <v>0</v>
      </c>
      <c r="Y322" s="848">
        <f t="shared" si="258"/>
        <v>0</v>
      </c>
      <c r="Z322" s="848">
        <f t="shared" si="258"/>
        <v>6500</v>
      </c>
      <c r="AA322" s="848">
        <f t="shared" si="258"/>
        <v>0</v>
      </c>
      <c r="AB322" s="848">
        <f t="shared" si="258"/>
        <v>0</v>
      </c>
      <c r="AC322" s="848">
        <f t="shared" si="258"/>
        <v>0</v>
      </c>
      <c r="AD322" s="848">
        <f t="shared" si="258"/>
        <v>0</v>
      </c>
      <c r="AE322" s="848">
        <f t="shared" si="258"/>
        <v>0</v>
      </c>
      <c r="AF322" s="848">
        <f t="shared" si="258"/>
        <v>0</v>
      </c>
      <c r="AG322" s="848">
        <f t="shared" si="258"/>
        <v>0</v>
      </c>
      <c r="AH322" s="848">
        <f t="shared" si="258"/>
        <v>13820</v>
      </c>
      <c r="AI322" s="848">
        <f t="shared" si="258"/>
        <v>644870</v>
      </c>
      <c r="AJ322" s="848">
        <f t="shared" si="258"/>
        <v>513187</v>
      </c>
      <c r="AK322" s="848">
        <f t="shared" si="258"/>
        <v>14000</v>
      </c>
      <c r="AL322" s="848">
        <f t="shared" si="258"/>
        <v>67434</v>
      </c>
      <c r="AM322" s="848">
        <f t="shared" si="258"/>
        <v>0</v>
      </c>
      <c r="AN322" s="848">
        <f t="shared" si="258"/>
        <v>0</v>
      </c>
      <c r="AO322" s="848">
        <f t="shared" si="258"/>
        <v>0</v>
      </c>
      <c r="AP322" s="848">
        <f t="shared" si="258"/>
        <v>0</v>
      </c>
      <c r="AQ322" s="848">
        <f t="shared" si="258"/>
        <v>0</v>
      </c>
      <c r="AR322" s="848">
        <f t="shared" si="258"/>
        <v>0</v>
      </c>
      <c r="AS322" s="848">
        <f t="shared" si="258"/>
        <v>0</v>
      </c>
      <c r="AT322" s="848">
        <f t="shared" si="258"/>
        <v>33820</v>
      </c>
      <c r="AU322" s="848">
        <f t="shared" si="258"/>
        <v>0</v>
      </c>
      <c r="AV322" s="848">
        <f t="shared" si="258"/>
        <v>0</v>
      </c>
      <c r="AW322" s="848">
        <f t="shared" si="258"/>
        <v>0</v>
      </c>
      <c r="AX322" s="848">
        <f t="shared" si="258"/>
        <v>16429</v>
      </c>
      <c r="AY322" s="848">
        <f>SUM(AY323:AY336)</f>
        <v>46159</v>
      </c>
      <c r="AZ322" s="848">
        <f t="shared" si="258"/>
        <v>0</v>
      </c>
      <c r="BA322" s="848">
        <f t="shared" si="258"/>
        <v>0</v>
      </c>
      <c r="BB322" s="848">
        <f t="shared" si="258"/>
        <v>0</v>
      </c>
      <c r="BC322" s="848">
        <f t="shared" si="258"/>
        <v>0</v>
      </c>
      <c r="BD322" s="848">
        <f t="shared" si="258"/>
        <v>0</v>
      </c>
      <c r="BE322" s="848">
        <f t="shared" si="258"/>
        <v>0</v>
      </c>
      <c r="BF322" s="848">
        <f t="shared" si="258"/>
        <v>0</v>
      </c>
      <c r="BG322" s="848">
        <f t="shared" si="258"/>
        <v>0</v>
      </c>
      <c r="BH322" s="848">
        <f t="shared" si="258"/>
        <v>0</v>
      </c>
      <c r="BI322" s="848">
        <f t="shared" si="258"/>
        <v>0</v>
      </c>
      <c r="BJ322" s="848">
        <f t="shared" si="258"/>
        <v>0</v>
      </c>
      <c r="BK322" s="848">
        <f t="shared" si="258"/>
        <v>0</v>
      </c>
      <c r="BL322" s="848">
        <f t="shared" si="258"/>
        <v>0</v>
      </c>
      <c r="BM322" s="848">
        <f t="shared" si="258"/>
        <v>0</v>
      </c>
      <c r="BN322" s="848">
        <f t="shared" si="258"/>
        <v>18353</v>
      </c>
      <c r="BO322" s="848">
        <f t="shared" si="232"/>
        <v>49930.409599999999</v>
      </c>
      <c r="BP322" s="848">
        <f t="shared" ref="BP322:CE322" si="259">SUM(BP324:BP336)</f>
        <v>29.518699999999999</v>
      </c>
      <c r="BQ322" s="848">
        <f t="shared" si="259"/>
        <v>0</v>
      </c>
      <c r="BR322" s="848">
        <f t="shared" si="259"/>
        <v>0</v>
      </c>
      <c r="BS322" s="848">
        <f>SUM(BS323:BS336)</f>
        <v>31189.918600000001</v>
      </c>
      <c r="BT322" s="848">
        <f t="shared" si="259"/>
        <v>0</v>
      </c>
      <c r="BU322" s="848">
        <f t="shared" si="259"/>
        <v>0</v>
      </c>
      <c r="BV322" s="848">
        <f t="shared" si="259"/>
        <v>0</v>
      </c>
      <c r="BW322" s="848">
        <f t="shared" si="259"/>
        <v>0</v>
      </c>
      <c r="BX322" s="848">
        <f t="shared" si="259"/>
        <v>0</v>
      </c>
      <c r="BY322" s="848">
        <f t="shared" si="259"/>
        <v>0</v>
      </c>
      <c r="BZ322" s="848">
        <f t="shared" si="259"/>
        <v>0</v>
      </c>
      <c r="CA322" s="848">
        <f t="shared" si="259"/>
        <v>0</v>
      </c>
      <c r="CB322" s="848">
        <f t="shared" si="259"/>
        <v>0</v>
      </c>
      <c r="CC322" s="848">
        <f t="shared" si="259"/>
        <v>0</v>
      </c>
      <c r="CD322" s="848">
        <f t="shared" si="259"/>
        <v>0</v>
      </c>
      <c r="CE322" s="848">
        <f t="shared" si="259"/>
        <v>18710.972300000001</v>
      </c>
      <c r="CF322" s="848">
        <f>BO321/AY321%</f>
        <v>34.881654325908684</v>
      </c>
      <c r="CG322" s="848"/>
      <c r="CH322" s="848"/>
      <c r="CI322" s="848"/>
      <c r="CJ322" s="848"/>
      <c r="CK322" s="848"/>
      <c r="CL322" s="848"/>
      <c r="CM322" s="848"/>
      <c r="CN322" s="848"/>
      <c r="CO322" s="848"/>
      <c r="CP322" s="848"/>
      <c r="CQ322" s="848"/>
      <c r="CR322" s="848"/>
      <c r="CS322" s="848"/>
      <c r="CT322" s="848"/>
      <c r="CU322" s="848"/>
      <c r="CV322" s="848"/>
      <c r="CW322" s="848">
        <f t="shared" si="243"/>
        <v>101.95048384460308</v>
      </c>
    </row>
    <row r="323" spans="1:101" ht="24.75" customHeight="1">
      <c r="A323" s="871"/>
      <c r="B323" s="867" t="s">
        <v>775</v>
      </c>
      <c r="C323" s="852" t="s">
        <v>922</v>
      </c>
      <c r="D323" s="867"/>
      <c r="E323" s="867"/>
      <c r="F323" s="853" t="s">
        <v>923</v>
      </c>
      <c r="G323" s="846" t="s">
        <v>924</v>
      </c>
      <c r="H323" s="850">
        <f>SUM(I323:S323)</f>
        <v>474144</v>
      </c>
      <c r="I323" s="860"/>
      <c r="J323" s="860">
        <v>474144</v>
      </c>
      <c r="K323" s="860"/>
      <c r="L323" s="860"/>
      <c r="M323" s="860"/>
      <c r="N323" s="860"/>
      <c r="O323" s="860"/>
      <c r="P323" s="860"/>
      <c r="Q323" s="860"/>
      <c r="R323" s="860"/>
      <c r="S323" s="860"/>
      <c r="T323" s="855">
        <f>SUM(U323:AH323)</f>
        <v>341258.30520900001</v>
      </c>
      <c r="U323" s="860"/>
      <c r="V323" s="860">
        <v>64576.305208999998</v>
      </c>
      <c r="W323" s="860">
        <v>271682</v>
      </c>
      <c r="X323" s="860"/>
      <c r="Y323" s="860"/>
      <c r="Z323" s="860">
        <v>5000</v>
      </c>
      <c r="AA323" s="860"/>
      <c r="AB323" s="860"/>
      <c r="AC323" s="860"/>
      <c r="AD323" s="860"/>
      <c r="AE323" s="860"/>
      <c r="AF323" s="860"/>
      <c r="AG323" s="860"/>
      <c r="AH323" s="860"/>
      <c r="AI323" s="860">
        <f>SUM(AJ323:AX323)</f>
        <v>120082</v>
      </c>
      <c r="AJ323" s="860"/>
      <c r="AK323" s="860"/>
      <c r="AL323" s="860">
        <v>110082</v>
      </c>
      <c r="AM323" s="860"/>
      <c r="AN323" s="860"/>
      <c r="AO323" s="860">
        <v>5000</v>
      </c>
      <c r="AP323" s="860"/>
      <c r="AQ323" s="860"/>
      <c r="AR323" s="860"/>
      <c r="AS323" s="860"/>
      <c r="AT323" s="860"/>
      <c r="AU323" s="860"/>
      <c r="AV323" s="860"/>
      <c r="AW323" s="860">
        <v>5000</v>
      </c>
      <c r="AX323" s="860"/>
      <c r="AY323" s="855">
        <f>SUM(AZ323:BN323)</f>
        <v>27806</v>
      </c>
      <c r="AZ323" s="860"/>
      <c r="BA323" s="860"/>
      <c r="BB323" s="860"/>
      <c r="BC323" s="860">
        <v>27806</v>
      </c>
      <c r="BD323" s="860"/>
      <c r="BE323" s="860"/>
      <c r="BF323" s="860"/>
      <c r="BG323" s="860"/>
      <c r="BH323" s="860"/>
      <c r="BI323" s="860"/>
      <c r="BJ323" s="860"/>
      <c r="BK323" s="860"/>
      <c r="BL323" s="860"/>
      <c r="BM323" s="860"/>
      <c r="BN323" s="860"/>
      <c r="BO323" s="848">
        <f t="shared" si="232"/>
        <v>28492</v>
      </c>
      <c r="BP323" s="860"/>
      <c r="BQ323" s="860"/>
      <c r="BR323" s="860"/>
      <c r="BS323" s="860">
        <v>28492</v>
      </c>
      <c r="BT323" s="860"/>
      <c r="BU323" s="860"/>
      <c r="BV323" s="860"/>
      <c r="BW323" s="860"/>
      <c r="BX323" s="860"/>
      <c r="BY323" s="860"/>
      <c r="BZ323" s="860"/>
      <c r="CA323" s="860"/>
      <c r="CB323" s="860"/>
      <c r="CC323" s="860"/>
      <c r="CD323" s="860"/>
      <c r="CE323" s="860"/>
      <c r="CF323" s="848">
        <f t="shared" ref="CF323:CS323" si="260">SUM(CF324:CF336)</f>
        <v>904.35456752238815</v>
      </c>
      <c r="CG323" s="848"/>
      <c r="CH323" s="848"/>
      <c r="CI323" s="848"/>
      <c r="CJ323" s="848">
        <f t="shared" si="251"/>
        <v>102.46709343307201</v>
      </c>
      <c r="CK323" s="848"/>
      <c r="CL323" s="848"/>
      <c r="CM323" s="848"/>
      <c r="CN323" s="848"/>
      <c r="CO323" s="848"/>
      <c r="CP323" s="848"/>
      <c r="CQ323" s="848"/>
      <c r="CR323" s="848"/>
      <c r="CS323" s="848">
        <f t="shared" si="260"/>
        <v>0</v>
      </c>
      <c r="CT323" s="848"/>
      <c r="CU323" s="848"/>
      <c r="CV323" s="848"/>
      <c r="CW323" s="848"/>
    </row>
    <row r="324" spans="1:101" ht="36.6" customHeight="1">
      <c r="A324" s="845"/>
      <c r="B324" s="846" t="s">
        <v>775</v>
      </c>
      <c r="C324" s="877" t="s">
        <v>925</v>
      </c>
      <c r="D324" s="846"/>
      <c r="E324" s="845"/>
      <c r="F324" s="853">
        <v>2015</v>
      </c>
      <c r="G324" s="854" t="s">
        <v>926</v>
      </c>
      <c r="H324" s="850">
        <f t="shared" ref="H324:H387" si="261">SUM(I324:S324)</f>
        <v>0</v>
      </c>
      <c r="I324" s="848"/>
      <c r="J324" s="848"/>
      <c r="K324" s="848"/>
      <c r="L324" s="848"/>
      <c r="M324" s="848"/>
      <c r="N324" s="848"/>
      <c r="O324" s="848"/>
      <c r="P324" s="848"/>
      <c r="Q324" s="848"/>
      <c r="R324" s="848"/>
      <c r="S324" s="848"/>
      <c r="T324" s="855">
        <f t="shared" si="238"/>
        <v>11000</v>
      </c>
      <c r="U324" s="848"/>
      <c r="V324" s="848"/>
      <c r="W324" s="848"/>
      <c r="X324" s="848"/>
      <c r="Y324" s="848"/>
      <c r="Z324" s="848"/>
      <c r="AA324" s="848"/>
      <c r="AB324" s="848"/>
      <c r="AC324" s="848"/>
      <c r="AD324" s="848"/>
      <c r="AE324" s="848"/>
      <c r="AF324" s="848"/>
      <c r="AG324" s="848"/>
      <c r="AH324" s="855">
        <v>11000</v>
      </c>
      <c r="AI324" s="855">
        <f>AX324</f>
        <v>11000</v>
      </c>
      <c r="AJ324" s="848"/>
      <c r="AK324" s="848"/>
      <c r="AL324" s="848"/>
      <c r="AM324" s="848"/>
      <c r="AN324" s="848"/>
      <c r="AO324" s="848"/>
      <c r="AP324" s="848"/>
      <c r="AQ324" s="848"/>
      <c r="AR324" s="848"/>
      <c r="AS324" s="848"/>
      <c r="AT324" s="848"/>
      <c r="AU324" s="848"/>
      <c r="AV324" s="848"/>
      <c r="AW324" s="848"/>
      <c r="AX324" s="855">
        <v>11000</v>
      </c>
      <c r="AY324" s="855">
        <f t="shared" ref="AY324:AY338" si="262">SUM(AZ324:BN324)</f>
        <v>0</v>
      </c>
      <c r="AZ324" s="848"/>
      <c r="BA324" s="848"/>
      <c r="BB324" s="848"/>
      <c r="BC324" s="848"/>
      <c r="BD324" s="848"/>
      <c r="BE324" s="848"/>
      <c r="BF324" s="848"/>
      <c r="BG324" s="848"/>
      <c r="BH324" s="848"/>
      <c r="BI324" s="848"/>
      <c r="BJ324" s="848"/>
      <c r="BK324" s="848"/>
      <c r="BL324" s="848"/>
      <c r="BM324" s="848"/>
      <c r="BN324" s="848"/>
      <c r="BO324" s="848">
        <f t="shared" si="232"/>
        <v>199.54</v>
      </c>
      <c r="BP324" s="848"/>
      <c r="BQ324" s="848"/>
      <c r="BR324" s="848"/>
      <c r="BS324" s="848"/>
      <c r="BT324" s="848"/>
      <c r="BU324" s="848"/>
      <c r="BV324" s="848"/>
      <c r="BW324" s="848"/>
      <c r="BX324" s="848"/>
      <c r="BY324" s="848"/>
      <c r="BZ324" s="848"/>
      <c r="CA324" s="848"/>
      <c r="CB324" s="848"/>
      <c r="CC324" s="848"/>
      <c r="CD324" s="848"/>
      <c r="CE324" s="855">
        <v>199.54</v>
      </c>
      <c r="CF324" s="848"/>
      <c r="CG324" s="848"/>
      <c r="CH324" s="848"/>
      <c r="CI324" s="848"/>
      <c r="CJ324" s="848"/>
      <c r="CK324" s="848"/>
      <c r="CL324" s="848"/>
      <c r="CM324" s="848"/>
      <c r="CN324" s="848"/>
      <c r="CO324" s="848"/>
      <c r="CP324" s="848"/>
      <c r="CQ324" s="848"/>
      <c r="CR324" s="848"/>
      <c r="CS324" s="848"/>
      <c r="CT324" s="848"/>
      <c r="CU324" s="848"/>
      <c r="CV324" s="848"/>
      <c r="CW324" s="848"/>
    </row>
    <row r="325" spans="1:101" ht="43.9" customHeight="1">
      <c r="A325" s="845"/>
      <c r="B325" s="846" t="s">
        <v>775</v>
      </c>
      <c r="C325" s="852" t="s">
        <v>927</v>
      </c>
      <c r="D325" s="846"/>
      <c r="E325" s="845"/>
      <c r="F325" s="853">
        <v>2013</v>
      </c>
      <c r="G325" s="888" t="s">
        <v>928</v>
      </c>
      <c r="H325" s="850">
        <f t="shared" si="261"/>
        <v>8767.5469670000002</v>
      </c>
      <c r="I325" s="872"/>
      <c r="J325" s="848"/>
      <c r="K325" s="848"/>
      <c r="L325" s="848"/>
      <c r="M325" s="848"/>
      <c r="N325" s="848"/>
      <c r="O325" s="848"/>
      <c r="P325" s="848"/>
      <c r="Q325" s="848"/>
      <c r="R325" s="848"/>
      <c r="S325" s="872">
        <v>8767.5469670000002</v>
      </c>
      <c r="T325" s="855">
        <f t="shared" si="238"/>
        <v>0</v>
      </c>
      <c r="U325" s="848"/>
      <c r="V325" s="848"/>
      <c r="W325" s="848"/>
      <c r="X325" s="848"/>
      <c r="Y325" s="848"/>
      <c r="Z325" s="848"/>
      <c r="AA325" s="848"/>
      <c r="AB325" s="848"/>
      <c r="AC325" s="848"/>
      <c r="AD325" s="848"/>
      <c r="AE325" s="848"/>
      <c r="AF325" s="848"/>
      <c r="AG325" s="848"/>
      <c r="AH325" s="855"/>
      <c r="AI325" s="855">
        <f>AX325</f>
        <v>0</v>
      </c>
      <c r="AJ325" s="855"/>
      <c r="AK325" s="855"/>
      <c r="AL325" s="855"/>
      <c r="AM325" s="855"/>
      <c r="AN325" s="855"/>
      <c r="AO325" s="855"/>
      <c r="AP325" s="855"/>
      <c r="AQ325" s="855"/>
      <c r="AR325" s="855"/>
      <c r="AS325" s="855"/>
      <c r="AT325" s="855"/>
      <c r="AU325" s="855"/>
      <c r="AV325" s="855"/>
      <c r="AW325" s="855"/>
      <c r="AX325" s="855"/>
      <c r="AY325" s="855">
        <f t="shared" si="262"/>
        <v>3733</v>
      </c>
      <c r="AZ325" s="855"/>
      <c r="BA325" s="855"/>
      <c r="BB325" s="855"/>
      <c r="BC325" s="855"/>
      <c r="BD325" s="855"/>
      <c r="BE325" s="855"/>
      <c r="BF325" s="855"/>
      <c r="BG325" s="855"/>
      <c r="BH325" s="855"/>
      <c r="BI325" s="855"/>
      <c r="BJ325" s="855"/>
      <c r="BK325" s="855"/>
      <c r="BL325" s="855"/>
      <c r="BM325" s="855"/>
      <c r="BN325" s="855">
        <f>'[10]bieu cu'!H21</f>
        <v>3733</v>
      </c>
      <c r="BO325" s="848">
        <f t="shared" si="232"/>
        <v>3733</v>
      </c>
      <c r="BP325" s="855"/>
      <c r="BQ325" s="855"/>
      <c r="BR325" s="855"/>
      <c r="BS325" s="855"/>
      <c r="BT325" s="855"/>
      <c r="BU325" s="855"/>
      <c r="BV325" s="855"/>
      <c r="BW325" s="855"/>
      <c r="BX325" s="855"/>
      <c r="BY325" s="855"/>
      <c r="BZ325" s="855"/>
      <c r="CA325" s="855"/>
      <c r="CB325" s="855"/>
      <c r="CC325" s="855"/>
      <c r="CD325" s="855"/>
      <c r="CE325" s="855">
        <f>'[10]bieu cu'!M21</f>
        <v>3733</v>
      </c>
      <c r="CF325" s="848">
        <f t="shared" ref="CF325:CF333" si="263">BO325/AY325%</f>
        <v>100</v>
      </c>
      <c r="CG325" s="848"/>
      <c r="CH325" s="848"/>
      <c r="CI325" s="848"/>
      <c r="CJ325" s="848"/>
      <c r="CK325" s="848"/>
      <c r="CL325" s="848"/>
      <c r="CM325" s="848"/>
      <c r="CN325" s="848"/>
      <c r="CO325" s="848"/>
      <c r="CP325" s="848"/>
      <c r="CQ325" s="848"/>
      <c r="CR325" s="848"/>
      <c r="CS325" s="848"/>
      <c r="CT325" s="848"/>
      <c r="CU325" s="848"/>
      <c r="CV325" s="848"/>
      <c r="CW325" s="848">
        <f t="shared" si="243"/>
        <v>100</v>
      </c>
    </row>
    <row r="326" spans="1:101" ht="40.9" customHeight="1">
      <c r="A326" s="845"/>
      <c r="B326" s="846" t="s">
        <v>775</v>
      </c>
      <c r="C326" s="852" t="s">
        <v>929</v>
      </c>
      <c r="D326" s="846"/>
      <c r="E326" s="845"/>
      <c r="F326" s="882">
        <v>2013</v>
      </c>
      <c r="G326" s="888" t="s">
        <v>930</v>
      </c>
      <c r="H326" s="850">
        <f t="shared" si="261"/>
        <v>9079.3379210000003</v>
      </c>
      <c r="I326" s="872"/>
      <c r="J326" s="848"/>
      <c r="K326" s="848"/>
      <c r="L326" s="848"/>
      <c r="M326" s="848"/>
      <c r="N326" s="848"/>
      <c r="O326" s="848"/>
      <c r="P326" s="848"/>
      <c r="Q326" s="848"/>
      <c r="R326" s="848"/>
      <c r="S326" s="872">
        <v>9079.3379210000003</v>
      </c>
      <c r="T326" s="855">
        <f t="shared" si="238"/>
        <v>0</v>
      </c>
      <c r="U326" s="848"/>
      <c r="V326" s="848"/>
      <c r="W326" s="848"/>
      <c r="X326" s="848"/>
      <c r="Y326" s="848"/>
      <c r="Z326" s="848"/>
      <c r="AA326" s="848"/>
      <c r="AB326" s="848"/>
      <c r="AC326" s="848"/>
      <c r="AD326" s="848"/>
      <c r="AE326" s="848"/>
      <c r="AF326" s="848"/>
      <c r="AG326" s="848"/>
      <c r="AH326" s="855"/>
      <c r="AI326" s="855">
        <f t="shared" ref="AI326:AI331" si="264">AX326</f>
        <v>0</v>
      </c>
      <c r="AJ326" s="855"/>
      <c r="AK326" s="855"/>
      <c r="AL326" s="855"/>
      <c r="AM326" s="855"/>
      <c r="AN326" s="855"/>
      <c r="AO326" s="855"/>
      <c r="AP326" s="855"/>
      <c r="AQ326" s="855"/>
      <c r="AR326" s="855"/>
      <c r="AS326" s="855"/>
      <c r="AT326" s="855"/>
      <c r="AU326" s="855"/>
      <c r="AV326" s="855"/>
      <c r="AW326" s="855"/>
      <c r="AX326" s="855"/>
      <c r="AY326" s="855">
        <f t="shared" si="262"/>
        <v>5259</v>
      </c>
      <c r="AZ326" s="855"/>
      <c r="BA326" s="855"/>
      <c r="BB326" s="855"/>
      <c r="BC326" s="855"/>
      <c r="BD326" s="855"/>
      <c r="BE326" s="855"/>
      <c r="BF326" s="855"/>
      <c r="BG326" s="855"/>
      <c r="BH326" s="855"/>
      <c r="BI326" s="855"/>
      <c r="BJ326" s="855"/>
      <c r="BK326" s="855"/>
      <c r="BL326" s="855"/>
      <c r="BM326" s="855"/>
      <c r="BN326" s="855">
        <f>'[10]bieu cu'!H22</f>
        <v>5259</v>
      </c>
      <c r="BO326" s="848">
        <f t="shared" si="232"/>
        <v>5258.7650000000003</v>
      </c>
      <c r="BP326" s="855"/>
      <c r="BQ326" s="855"/>
      <c r="BR326" s="855"/>
      <c r="BS326" s="855"/>
      <c r="BT326" s="855"/>
      <c r="BU326" s="855"/>
      <c r="BV326" s="855"/>
      <c r="BW326" s="855"/>
      <c r="BX326" s="855"/>
      <c r="BY326" s="855"/>
      <c r="BZ326" s="855"/>
      <c r="CA326" s="855"/>
      <c r="CB326" s="855"/>
      <c r="CC326" s="855"/>
      <c r="CD326" s="855"/>
      <c r="CE326" s="855">
        <f>'[10]bieu cu'!M22</f>
        <v>5258.7650000000003</v>
      </c>
      <c r="CF326" s="848">
        <f t="shared" si="263"/>
        <v>99.995531469861191</v>
      </c>
      <c r="CG326" s="848"/>
      <c r="CH326" s="848"/>
      <c r="CI326" s="848"/>
      <c r="CJ326" s="848"/>
      <c r="CK326" s="848"/>
      <c r="CL326" s="848"/>
      <c r="CM326" s="848"/>
      <c r="CN326" s="848"/>
      <c r="CO326" s="848"/>
      <c r="CP326" s="848"/>
      <c r="CQ326" s="848"/>
      <c r="CR326" s="848"/>
      <c r="CS326" s="848"/>
      <c r="CT326" s="848"/>
      <c r="CU326" s="848"/>
      <c r="CV326" s="848"/>
      <c r="CW326" s="848">
        <f t="shared" si="243"/>
        <v>99.995531469861191</v>
      </c>
    </row>
    <row r="327" spans="1:101" ht="37.9" customHeight="1">
      <c r="A327" s="845"/>
      <c r="B327" s="846" t="s">
        <v>775</v>
      </c>
      <c r="C327" s="852" t="s">
        <v>931</v>
      </c>
      <c r="D327" s="846"/>
      <c r="E327" s="845"/>
      <c r="F327" s="882">
        <v>2013</v>
      </c>
      <c r="G327" s="883" t="s">
        <v>932</v>
      </c>
      <c r="H327" s="850">
        <f t="shared" si="261"/>
        <v>13804.414000000001</v>
      </c>
      <c r="I327" s="884"/>
      <c r="J327" s="848"/>
      <c r="K327" s="848"/>
      <c r="L327" s="848"/>
      <c r="M327" s="848"/>
      <c r="N327" s="848"/>
      <c r="O327" s="848"/>
      <c r="P327" s="848"/>
      <c r="Q327" s="848"/>
      <c r="R327" s="848"/>
      <c r="S327" s="884">
        <v>13804.414000000001</v>
      </c>
      <c r="T327" s="855">
        <f t="shared" si="238"/>
        <v>0</v>
      </c>
      <c r="U327" s="848"/>
      <c r="V327" s="848"/>
      <c r="W327" s="848"/>
      <c r="X327" s="848"/>
      <c r="Y327" s="848"/>
      <c r="Z327" s="848"/>
      <c r="AA327" s="848"/>
      <c r="AB327" s="848"/>
      <c r="AC327" s="848"/>
      <c r="AD327" s="848"/>
      <c r="AE327" s="848"/>
      <c r="AF327" s="848"/>
      <c r="AG327" s="848"/>
      <c r="AH327" s="855"/>
      <c r="AI327" s="855">
        <f t="shared" si="264"/>
        <v>0</v>
      </c>
      <c r="AJ327" s="855"/>
      <c r="AK327" s="855"/>
      <c r="AL327" s="855"/>
      <c r="AM327" s="855"/>
      <c r="AN327" s="855"/>
      <c r="AO327" s="855"/>
      <c r="AP327" s="855"/>
      <c r="AQ327" s="855"/>
      <c r="AR327" s="855"/>
      <c r="AS327" s="855"/>
      <c r="AT327" s="855"/>
      <c r="AU327" s="855"/>
      <c r="AV327" s="855"/>
      <c r="AW327" s="855"/>
      <c r="AX327" s="855"/>
      <c r="AY327" s="855">
        <f t="shared" si="262"/>
        <v>1436</v>
      </c>
      <c r="AZ327" s="855"/>
      <c r="BA327" s="855"/>
      <c r="BB327" s="855"/>
      <c r="BC327" s="855"/>
      <c r="BD327" s="855"/>
      <c r="BE327" s="855"/>
      <c r="BF327" s="855"/>
      <c r="BG327" s="855"/>
      <c r="BH327" s="855"/>
      <c r="BI327" s="855"/>
      <c r="BJ327" s="855"/>
      <c r="BK327" s="855"/>
      <c r="BL327" s="855"/>
      <c r="BM327" s="855"/>
      <c r="BN327" s="855">
        <f>'[10]bieu cu'!H23</f>
        <v>1436</v>
      </c>
      <c r="BO327" s="848">
        <f t="shared" si="232"/>
        <v>1435.932</v>
      </c>
      <c r="BP327" s="855"/>
      <c r="BQ327" s="855"/>
      <c r="BR327" s="855"/>
      <c r="BS327" s="855"/>
      <c r="BT327" s="855"/>
      <c r="BU327" s="855"/>
      <c r="BV327" s="855"/>
      <c r="BW327" s="855"/>
      <c r="BX327" s="855"/>
      <c r="BY327" s="855"/>
      <c r="BZ327" s="855"/>
      <c r="CA327" s="855"/>
      <c r="CB327" s="855"/>
      <c r="CC327" s="855"/>
      <c r="CD327" s="855"/>
      <c r="CE327" s="855">
        <f>'[10]bieu cu'!M23</f>
        <v>1435.932</v>
      </c>
      <c r="CF327" s="848">
        <f t="shared" si="263"/>
        <v>99.995264623955435</v>
      </c>
      <c r="CG327" s="848"/>
      <c r="CH327" s="848"/>
      <c r="CI327" s="848"/>
      <c r="CJ327" s="848"/>
      <c r="CK327" s="848"/>
      <c r="CL327" s="848"/>
      <c r="CM327" s="848"/>
      <c r="CN327" s="848"/>
      <c r="CO327" s="848"/>
      <c r="CP327" s="848"/>
      <c r="CQ327" s="848"/>
      <c r="CR327" s="848"/>
      <c r="CS327" s="848"/>
      <c r="CT327" s="848"/>
      <c r="CU327" s="848"/>
      <c r="CV327" s="848"/>
      <c r="CW327" s="848">
        <f t="shared" si="243"/>
        <v>99.995264623955435</v>
      </c>
    </row>
    <row r="328" spans="1:101" ht="37.9" customHeight="1">
      <c r="A328" s="845"/>
      <c r="B328" s="846" t="s">
        <v>775</v>
      </c>
      <c r="C328" s="852" t="s">
        <v>933</v>
      </c>
      <c r="D328" s="846"/>
      <c r="E328" s="845"/>
      <c r="F328" s="853" t="s">
        <v>934</v>
      </c>
      <c r="G328" s="846" t="s">
        <v>935</v>
      </c>
      <c r="H328" s="850">
        <f t="shared" si="261"/>
        <v>3000</v>
      </c>
      <c r="I328" s="855"/>
      <c r="J328" s="848"/>
      <c r="K328" s="848"/>
      <c r="L328" s="848"/>
      <c r="M328" s="848"/>
      <c r="N328" s="848"/>
      <c r="O328" s="848"/>
      <c r="P328" s="848"/>
      <c r="Q328" s="848"/>
      <c r="R328" s="848"/>
      <c r="S328" s="855">
        <v>3000</v>
      </c>
      <c r="T328" s="855">
        <f t="shared" si="238"/>
        <v>0</v>
      </c>
      <c r="U328" s="848"/>
      <c r="V328" s="848"/>
      <c r="W328" s="848"/>
      <c r="X328" s="848"/>
      <c r="Y328" s="848"/>
      <c r="Z328" s="848"/>
      <c r="AA328" s="848"/>
      <c r="AB328" s="848"/>
      <c r="AC328" s="848"/>
      <c r="AD328" s="848"/>
      <c r="AE328" s="848"/>
      <c r="AF328" s="848"/>
      <c r="AG328" s="848"/>
      <c r="AH328" s="855"/>
      <c r="AI328" s="855">
        <f t="shared" si="264"/>
        <v>3</v>
      </c>
      <c r="AJ328" s="855"/>
      <c r="AK328" s="855"/>
      <c r="AL328" s="855"/>
      <c r="AM328" s="855"/>
      <c r="AN328" s="855"/>
      <c r="AO328" s="855"/>
      <c r="AP328" s="855"/>
      <c r="AQ328" s="855"/>
      <c r="AR328" s="855"/>
      <c r="AS328" s="855"/>
      <c r="AT328" s="855"/>
      <c r="AU328" s="855"/>
      <c r="AV328" s="855"/>
      <c r="AW328" s="855"/>
      <c r="AX328" s="855">
        <v>3</v>
      </c>
      <c r="AY328" s="855">
        <f t="shared" si="262"/>
        <v>3</v>
      </c>
      <c r="AZ328" s="855"/>
      <c r="BA328" s="855"/>
      <c r="BB328" s="855"/>
      <c r="BC328" s="855"/>
      <c r="BD328" s="855"/>
      <c r="BE328" s="855"/>
      <c r="BF328" s="855"/>
      <c r="BG328" s="855"/>
      <c r="BH328" s="855"/>
      <c r="BI328" s="855"/>
      <c r="BJ328" s="855"/>
      <c r="BK328" s="855"/>
      <c r="BL328" s="855"/>
      <c r="BM328" s="855"/>
      <c r="BN328" s="855">
        <f>'[10]bieu cu'!H32</f>
        <v>3</v>
      </c>
      <c r="BO328" s="848">
        <f t="shared" si="232"/>
        <v>2.9279999999999999</v>
      </c>
      <c r="BP328" s="855"/>
      <c r="BQ328" s="855"/>
      <c r="BR328" s="855"/>
      <c r="BS328" s="855"/>
      <c r="BT328" s="855"/>
      <c r="BU328" s="855"/>
      <c r="BV328" s="855"/>
      <c r="BW328" s="855"/>
      <c r="BX328" s="855"/>
      <c r="BY328" s="855"/>
      <c r="BZ328" s="855"/>
      <c r="CA328" s="855"/>
      <c r="CB328" s="855"/>
      <c r="CC328" s="855"/>
      <c r="CD328" s="855"/>
      <c r="CE328" s="855">
        <v>2.9279999999999999</v>
      </c>
      <c r="CF328" s="848">
        <f t="shared" si="263"/>
        <v>97.600000000000009</v>
      </c>
      <c r="CG328" s="848"/>
      <c r="CH328" s="848"/>
      <c r="CI328" s="848"/>
      <c r="CJ328" s="848"/>
      <c r="CK328" s="848"/>
      <c r="CL328" s="848"/>
      <c r="CM328" s="848"/>
      <c r="CN328" s="848"/>
      <c r="CO328" s="848"/>
      <c r="CP328" s="848"/>
      <c r="CQ328" s="848"/>
      <c r="CR328" s="848"/>
      <c r="CS328" s="848"/>
      <c r="CT328" s="848"/>
      <c r="CU328" s="848"/>
      <c r="CV328" s="848"/>
      <c r="CW328" s="848">
        <f t="shared" si="243"/>
        <v>97.6</v>
      </c>
    </row>
    <row r="329" spans="1:101" ht="37.9" customHeight="1">
      <c r="A329" s="845"/>
      <c r="B329" s="846" t="s">
        <v>775</v>
      </c>
      <c r="C329" s="852" t="s">
        <v>936</v>
      </c>
      <c r="D329" s="846"/>
      <c r="E329" s="845"/>
      <c r="F329" s="853" t="s">
        <v>937</v>
      </c>
      <c r="G329" s="846" t="s">
        <v>938</v>
      </c>
      <c r="H329" s="850">
        <f t="shared" si="261"/>
        <v>20769</v>
      </c>
      <c r="I329" s="855"/>
      <c r="J329" s="848"/>
      <c r="K329" s="848"/>
      <c r="L329" s="848"/>
      <c r="M329" s="848"/>
      <c r="N329" s="848"/>
      <c r="O329" s="848"/>
      <c r="P329" s="848"/>
      <c r="Q329" s="848"/>
      <c r="R329" s="848"/>
      <c r="S329" s="855">
        <v>20769</v>
      </c>
      <c r="T329" s="855">
        <f t="shared" si="238"/>
        <v>19070.178899999999</v>
      </c>
      <c r="U329" s="848"/>
      <c r="V329" s="848"/>
      <c r="W329" s="855">
        <v>19070.178899999999</v>
      </c>
      <c r="X329" s="848"/>
      <c r="Y329" s="848"/>
      <c r="Z329" s="848"/>
      <c r="AA329" s="848"/>
      <c r="AB329" s="848"/>
      <c r="AC329" s="848"/>
      <c r="AD329" s="848"/>
      <c r="AE329" s="848"/>
      <c r="AF329" s="848"/>
      <c r="AG329" s="848"/>
      <c r="AH329" s="855"/>
      <c r="AI329" s="855">
        <f>AX329+AL329</f>
        <v>881</v>
      </c>
      <c r="AJ329" s="855"/>
      <c r="AK329" s="855"/>
      <c r="AL329" s="855">
        <v>869</v>
      </c>
      <c r="AM329" s="855"/>
      <c r="AN329" s="855"/>
      <c r="AO329" s="855"/>
      <c r="AP329" s="855"/>
      <c r="AQ329" s="855"/>
      <c r="AR329" s="855"/>
      <c r="AS329" s="855"/>
      <c r="AT329" s="855"/>
      <c r="AU329" s="855"/>
      <c r="AV329" s="855"/>
      <c r="AW329" s="855"/>
      <c r="AX329" s="855">
        <v>12</v>
      </c>
      <c r="AY329" s="855">
        <f t="shared" si="262"/>
        <v>7</v>
      </c>
      <c r="AZ329" s="855"/>
      <c r="BA329" s="855"/>
      <c r="BB329" s="855"/>
      <c r="BC329" s="855"/>
      <c r="BD329" s="855"/>
      <c r="BE329" s="855"/>
      <c r="BF329" s="855"/>
      <c r="BG329" s="855"/>
      <c r="BH329" s="855"/>
      <c r="BI329" s="855"/>
      <c r="BJ329" s="855"/>
      <c r="BK329" s="855"/>
      <c r="BL329" s="855"/>
      <c r="BM329" s="855"/>
      <c r="BN329" s="855">
        <f>'[10]bieu cu'!H33</f>
        <v>7</v>
      </c>
      <c r="BO329" s="848">
        <f t="shared" si="232"/>
        <v>6.9459999999999997</v>
      </c>
      <c r="BP329" s="855"/>
      <c r="BQ329" s="855"/>
      <c r="BR329" s="855"/>
      <c r="BS329" s="855"/>
      <c r="BT329" s="855"/>
      <c r="BU329" s="855"/>
      <c r="BV329" s="855"/>
      <c r="BW329" s="855"/>
      <c r="BX329" s="855"/>
      <c r="BY329" s="855"/>
      <c r="BZ329" s="855"/>
      <c r="CA329" s="855"/>
      <c r="CB329" s="855"/>
      <c r="CC329" s="855"/>
      <c r="CD329" s="855"/>
      <c r="CE329" s="855">
        <f>'[10]bieu cu'!M33</f>
        <v>6.9459999999999997</v>
      </c>
      <c r="CF329" s="848">
        <f t="shared" si="263"/>
        <v>99.228571428571414</v>
      </c>
      <c r="CG329" s="848"/>
      <c r="CH329" s="848"/>
      <c r="CI329" s="848"/>
      <c r="CJ329" s="848"/>
      <c r="CK329" s="848"/>
      <c r="CL329" s="848"/>
      <c r="CM329" s="848"/>
      <c r="CN329" s="848"/>
      <c r="CO329" s="848"/>
      <c r="CP329" s="848"/>
      <c r="CQ329" s="848"/>
      <c r="CR329" s="848"/>
      <c r="CS329" s="848"/>
      <c r="CT329" s="848"/>
      <c r="CU329" s="848"/>
      <c r="CV329" s="848"/>
      <c r="CW329" s="848">
        <f t="shared" si="243"/>
        <v>99.228571428571428</v>
      </c>
    </row>
    <row r="330" spans="1:101" ht="37.9" customHeight="1">
      <c r="A330" s="845"/>
      <c r="B330" s="846" t="s">
        <v>775</v>
      </c>
      <c r="C330" s="852" t="s">
        <v>939</v>
      </c>
      <c r="D330" s="846"/>
      <c r="E330" s="845"/>
      <c r="F330" s="853" t="s">
        <v>940</v>
      </c>
      <c r="G330" s="846" t="s">
        <v>941</v>
      </c>
      <c r="H330" s="850">
        <f t="shared" si="261"/>
        <v>6409</v>
      </c>
      <c r="I330" s="860"/>
      <c r="J330" s="848"/>
      <c r="K330" s="848"/>
      <c r="L330" s="848"/>
      <c r="M330" s="848"/>
      <c r="N330" s="848"/>
      <c r="O330" s="848"/>
      <c r="P330" s="848"/>
      <c r="Q330" s="848"/>
      <c r="R330" s="848"/>
      <c r="S330" s="860">
        <v>6409</v>
      </c>
      <c r="T330" s="855">
        <f t="shared" si="238"/>
        <v>5437</v>
      </c>
      <c r="U330" s="848"/>
      <c r="V330" s="848"/>
      <c r="W330" s="855">
        <v>5437</v>
      </c>
      <c r="X330" s="848"/>
      <c r="Y330" s="848"/>
      <c r="Z330" s="848"/>
      <c r="AA330" s="848"/>
      <c r="AB330" s="848"/>
      <c r="AC330" s="848"/>
      <c r="AD330" s="848"/>
      <c r="AE330" s="848"/>
      <c r="AF330" s="848"/>
      <c r="AG330" s="848"/>
      <c r="AH330" s="855"/>
      <c r="AI330" s="855">
        <f>AL330</f>
        <v>1200</v>
      </c>
      <c r="AJ330" s="855"/>
      <c r="AK330" s="855"/>
      <c r="AL330" s="855">
        <v>1200</v>
      </c>
      <c r="AM330" s="855"/>
      <c r="AN330" s="855"/>
      <c r="AO330" s="855"/>
      <c r="AP330" s="855"/>
      <c r="AQ330" s="855"/>
      <c r="AR330" s="855"/>
      <c r="AS330" s="855"/>
      <c r="AT330" s="855"/>
      <c r="AU330" s="855"/>
      <c r="AV330" s="855"/>
      <c r="AW330" s="855"/>
      <c r="AX330" s="855"/>
      <c r="AY330" s="855">
        <f t="shared" si="262"/>
        <v>77</v>
      </c>
      <c r="AZ330" s="855"/>
      <c r="BA330" s="855"/>
      <c r="BB330" s="855"/>
      <c r="BC330" s="855"/>
      <c r="BD330" s="855"/>
      <c r="BE330" s="855"/>
      <c r="BF330" s="855"/>
      <c r="BG330" s="855"/>
      <c r="BH330" s="855"/>
      <c r="BI330" s="855"/>
      <c r="BJ330" s="855"/>
      <c r="BK330" s="855"/>
      <c r="BL330" s="855"/>
      <c r="BM330" s="855"/>
      <c r="BN330" s="855">
        <f>'[10]bieu cu'!H34</f>
        <v>77</v>
      </c>
      <c r="BO330" s="848">
        <f t="shared" si="232"/>
        <v>77</v>
      </c>
      <c r="BP330" s="855"/>
      <c r="BQ330" s="855"/>
      <c r="BR330" s="855"/>
      <c r="BS330" s="855"/>
      <c r="BT330" s="855"/>
      <c r="BU330" s="855"/>
      <c r="BV330" s="855"/>
      <c r="BW330" s="855"/>
      <c r="BX330" s="855"/>
      <c r="BY330" s="855"/>
      <c r="BZ330" s="855"/>
      <c r="CA330" s="855"/>
      <c r="CB330" s="855"/>
      <c r="CC330" s="855"/>
      <c r="CD330" s="855"/>
      <c r="CE330" s="855">
        <f>'[10]bieu cu'!M34</f>
        <v>77</v>
      </c>
      <c r="CF330" s="848">
        <f t="shared" si="263"/>
        <v>100</v>
      </c>
      <c r="CG330" s="848"/>
      <c r="CH330" s="848"/>
      <c r="CI330" s="848"/>
      <c r="CJ330" s="848"/>
      <c r="CK330" s="848"/>
      <c r="CL330" s="848"/>
      <c r="CM330" s="848"/>
      <c r="CN330" s="848"/>
      <c r="CO330" s="848"/>
      <c r="CP330" s="848"/>
      <c r="CQ330" s="848"/>
      <c r="CR330" s="848"/>
      <c r="CS330" s="848"/>
      <c r="CT330" s="848"/>
      <c r="CU330" s="848"/>
      <c r="CV330" s="848"/>
      <c r="CW330" s="848">
        <f t="shared" si="243"/>
        <v>100</v>
      </c>
    </row>
    <row r="331" spans="1:101" ht="37.9" customHeight="1">
      <c r="A331" s="845"/>
      <c r="B331" s="846" t="s">
        <v>775</v>
      </c>
      <c r="C331" s="852" t="s">
        <v>942</v>
      </c>
      <c r="D331" s="846"/>
      <c r="E331" s="845"/>
      <c r="F331" s="853" t="s">
        <v>412</v>
      </c>
      <c r="G331" s="846" t="s">
        <v>943</v>
      </c>
      <c r="H331" s="850">
        <f t="shared" si="261"/>
        <v>12533</v>
      </c>
      <c r="I331" s="860"/>
      <c r="J331" s="848"/>
      <c r="K331" s="848"/>
      <c r="L331" s="848"/>
      <c r="M331" s="848"/>
      <c r="N331" s="848"/>
      <c r="O331" s="848"/>
      <c r="P331" s="848"/>
      <c r="Q331" s="848"/>
      <c r="R331" s="848"/>
      <c r="S331" s="855">
        <v>12533</v>
      </c>
      <c r="T331" s="855">
        <f t="shared" si="238"/>
        <v>6500</v>
      </c>
      <c r="U331" s="848"/>
      <c r="V331" s="848"/>
      <c r="W331" s="848"/>
      <c r="X331" s="848"/>
      <c r="Y331" s="848"/>
      <c r="Z331" s="855">
        <v>6500</v>
      </c>
      <c r="AA331" s="848"/>
      <c r="AB331" s="848"/>
      <c r="AC331" s="848"/>
      <c r="AD331" s="848"/>
      <c r="AE331" s="848"/>
      <c r="AF331" s="848"/>
      <c r="AG331" s="848"/>
      <c r="AH331" s="855"/>
      <c r="AI331" s="855">
        <f t="shared" si="264"/>
        <v>5000</v>
      </c>
      <c r="AJ331" s="855"/>
      <c r="AK331" s="855"/>
      <c r="AL331" s="855"/>
      <c r="AM331" s="855"/>
      <c r="AN331" s="855"/>
      <c r="AO331" s="855"/>
      <c r="AP331" s="855"/>
      <c r="AQ331" s="855"/>
      <c r="AR331" s="855"/>
      <c r="AS331" s="855"/>
      <c r="AT331" s="855"/>
      <c r="AU331" s="855"/>
      <c r="AV331" s="855"/>
      <c r="AW331" s="855"/>
      <c r="AX331" s="855">
        <v>5000</v>
      </c>
      <c r="AY331" s="855">
        <f t="shared" si="262"/>
        <v>4078</v>
      </c>
      <c r="AZ331" s="855"/>
      <c r="BA331" s="855"/>
      <c r="BB331" s="855"/>
      <c r="BC331" s="855"/>
      <c r="BD331" s="855"/>
      <c r="BE331" s="855"/>
      <c r="BF331" s="855"/>
      <c r="BG331" s="855"/>
      <c r="BH331" s="855"/>
      <c r="BI331" s="855"/>
      <c r="BJ331" s="855"/>
      <c r="BK331" s="855"/>
      <c r="BL331" s="855"/>
      <c r="BM331" s="855"/>
      <c r="BN331" s="855">
        <f>'[10]bieu cu'!H69</f>
        <v>4078</v>
      </c>
      <c r="BO331" s="848">
        <f t="shared" ref="BO331:BO394" si="265">SUM(BP331:CE331)</f>
        <v>4078</v>
      </c>
      <c r="BP331" s="855"/>
      <c r="BQ331" s="855"/>
      <c r="BR331" s="855"/>
      <c r="BS331" s="855"/>
      <c r="BT331" s="855"/>
      <c r="BU331" s="855"/>
      <c r="BV331" s="855"/>
      <c r="BW331" s="855"/>
      <c r="BX331" s="855"/>
      <c r="BY331" s="855"/>
      <c r="BZ331" s="855"/>
      <c r="CA331" s="855"/>
      <c r="CB331" s="855"/>
      <c r="CC331" s="855"/>
      <c r="CD331" s="855"/>
      <c r="CE331" s="855">
        <f>'[10]bieu cu'!M69</f>
        <v>4078</v>
      </c>
      <c r="CF331" s="848">
        <f t="shared" si="263"/>
        <v>100</v>
      </c>
      <c r="CG331" s="848"/>
      <c r="CH331" s="848"/>
      <c r="CI331" s="848"/>
      <c r="CJ331" s="848"/>
      <c r="CK331" s="848"/>
      <c r="CL331" s="848"/>
      <c r="CM331" s="848"/>
      <c r="CN331" s="848"/>
      <c r="CO331" s="848"/>
      <c r="CP331" s="848"/>
      <c r="CQ331" s="848"/>
      <c r="CR331" s="848"/>
      <c r="CS331" s="848"/>
      <c r="CT331" s="848"/>
      <c r="CU331" s="848"/>
      <c r="CV331" s="848"/>
      <c r="CW331" s="848">
        <f t="shared" si="243"/>
        <v>100</v>
      </c>
    </row>
    <row r="332" spans="1:101" ht="37.9" customHeight="1">
      <c r="A332" s="845"/>
      <c r="B332" s="846" t="s">
        <v>775</v>
      </c>
      <c r="C332" s="852" t="s">
        <v>944</v>
      </c>
      <c r="D332" s="846"/>
      <c r="E332" s="845"/>
      <c r="F332" s="853" t="s">
        <v>945</v>
      </c>
      <c r="G332" s="846" t="s">
        <v>946</v>
      </c>
      <c r="H332" s="850">
        <f t="shared" si="261"/>
        <v>105636</v>
      </c>
      <c r="I332" s="860"/>
      <c r="J332" s="848"/>
      <c r="K332" s="848"/>
      <c r="L332" s="848"/>
      <c r="M332" s="848"/>
      <c r="N332" s="848"/>
      <c r="O332" s="848"/>
      <c r="P332" s="848"/>
      <c r="Q332" s="848"/>
      <c r="R332" s="855">
        <v>105636</v>
      </c>
      <c r="S332" s="848"/>
      <c r="T332" s="855">
        <f t="shared" si="238"/>
        <v>89394.941546000002</v>
      </c>
      <c r="U332" s="855">
        <v>89394.941546000002</v>
      </c>
      <c r="V332" s="848"/>
      <c r="W332" s="848"/>
      <c r="X332" s="848"/>
      <c r="Y332" s="848"/>
      <c r="Z332" s="848"/>
      <c r="AA332" s="848"/>
      <c r="AB332" s="848"/>
      <c r="AC332" s="848"/>
      <c r="AD332" s="848"/>
      <c r="AE332" s="848"/>
      <c r="AF332" s="848"/>
      <c r="AG332" s="848"/>
      <c r="AH332" s="855"/>
      <c r="AI332" s="855">
        <f>AX332+AJ332</f>
        <v>37063</v>
      </c>
      <c r="AJ332" s="855">
        <f>15000+12392+6000+3257</f>
        <v>36649</v>
      </c>
      <c r="AK332" s="855"/>
      <c r="AL332" s="855"/>
      <c r="AM332" s="855"/>
      <c r="AN332" s="855"/>
      <c r="AO332" s="855"/>
      <c r="AP332" s="855"/>
      <c r="AQ332" s="855"/>
      <c r="AR332" s="855"/>
      <c r="AS332" s="855"/>
      <c r="AT332" s="855"/>
      <c r="AU332" s="855"/>
      <c r="AV332" s="855"/>
      <c r="AW332" s="855"/>
      <c r="AX332" s="855">
        <v>414</v>
      </c>
      <c r="AY332" s="855">
        <f t="shared" si="262"/>
        <v>1260</v>
      </c>
      <c r="AZ332" s="855"/>
      <c r="BA332" s="855"/>
      <c r="BB332" s="855"/>
      <c r="BC332" s="855"/>
      <c r="BD332" s="855"/>
      <c r="BE332" s="855"/>
      <c r="BF332" s="855"/>
      <c r="BG332" s="855"/>
      <c r="BH332" s="855"/>
      <c r="BI332" s="855"/>
      <c r="BJ332" s="855"/>
      <c r="BK332" s="855"/>
      <c r="BL332" s="855"/>
      <c r="BM332" s="855"/>
      <c r="BN332" s="855">
        <f>'[10]bieu cu'!H73</f>
        <v>1260</v>
      </c>
      <c r="BO332" s="848">
        <f t="shared" si="265"/>
        <v>1260</v>
      </c>
      <c r="BP332" s="855"/>
      <c r="BQ332" s="855"/>
      <c r="BR332" s="855"/>
      <c r="BS332" s="855"/>
      <c r="BT332" s="855"/>
      <c r="BU332" s="855"/>
      <c r="BV332" s="855"/>
      <c r="BW332" s="855"/>
      <c r="BX332" s="855"/>
      <c r="BY332" s="855"/>
      <c r="BZ332" s="855"/>
      <c r="CA332" s="855"/>
      <c r="CB332" s="855"/>
      <c r="CC332" s="855"/>
      <c r="CD332" s="855"/>
      <c r="CE332" s="855">
        <f>'[10]bieu cu'!M73</f>
        <v>1260</v>
      </c>
      <c r="CF332" s="848">
        <f t="shared" si="263"/>
        <v>100</v>
      </c>
      <c r="CG332" s="848"/>
      <c r="CH332" s="848"/>
      <c r="CI332" s="848"/>
      <c r="CJ332" s="848"/>
      <c r="CK332" s="848"/>
      <c r="CL332" s="848"/>
      <c r="CM332" s="848"/>
      <c r="CN332" s="848"/>
      <c r="CO332" s="848"/>
      <c r="CP332" s="848"/>
      <c r="CQ332" s="848"/>
      <c r="CR332" s="848"/>
      <c r="CS332" s="848"/>
      <c r="CT332" s="848"/>
      <c r="CU332" s="848"/>
      <c r="CV332" s="848"/>
      <c r="CW332" s="848">
        <f t="shared" si="243"/>
        <v>100</v>
      </c>
    </row>
    <row r="333" spans="1:101" ht="37.9" customHeight="1">
      <c r="A333" s="845"/>
      <c r="B333" s="846" t="s">
        <v>775</v>
      </c>
      <c r="C333" s="852" t="s">
        <v>947</v>
      </c>
      <c r="D333" s="846"/>
      <c r="E333" s="845"/>
      <c r="F333" s="853" t="s">
        <v>415</v>
      </c>
      <c r="G333" s="846" t="s">
        <v>948</v>
      </c>
      <c r="H333" s="850">
        <f t="shared" si="261"/>
        <v>775123</v>
      </c>
      <c r="I333" s="860"/>
      <c r="J333" s="848"/>
      <c r="K333" s="848"/>
      <c r="L333" s="848"/>
      <c r="M333" s="848"/>
      <c r="N333" s="848"/>
      <c r="O333" s="848"/>
      <c r="P333" s="848"/>
      <c r="Q333" s="848"/>
      <c r="R333" s="855">
        <v>775123</v>
      </c>
      <c r="S333" s="848"/>
      <c r="T333" s="855">
        <f t="shared" si="238"/>
        <v>2720</v>
      </c>
      <c r="U333" s="855"/>
      <c r="V333" s="848"/>
      <c r="W333" s="848"/>
      <c r="X333" s="848"/>
      <c r="Y333" s="848"/>
      <c r="Z333" s="848"/>
      <c r="AA333" s="848"/>
      <c r="AB333" s="848"/>
      <c r="AC333" s="848"/>
      <c r="AD333" s="848"/>
      <c r="AE333" s="848"/>
      <c r="AF333" s="848"/>
      <c r="AG333" s="848"/>
      <c r="AH333" s="855">
        <v>2720</v>
      </c>
      <c r="AI333" s="855">
        <f>AJ333</f>
        <v>476538</v>
      </c>
      <c r="AJ333" s="855">
        <f>84500+73795+106231+208743+3269</f>
        <v>476538</v>
      </c>
      <c r="AK333" s="855"/>
      <c r="AL333" s="855"/>
      <c r="AM333" s="855"/>
      <c r="AN333" s="855"/>
      <c r="AO333" s="855"/>
      <c r="AP333" s="855"/>
      <c r="AQ333" s="855"/>
      <c r="AR333" s="855"/>
      <c r="AS333" s="855"/>
      <c r="AT333" s="855"/>
      <c r="AU333" s="855"/>
      <c r="AV333" s="855"/>
      <c r="AW333" s="855"/>
      <c r="AX333" s="855"/>
      <c r="AY333" s="855">
        <f t="shared" si="262"/>
        <v>2500</v>
      </c>
      <c r="AZ333" s="855"/>
      <c r="BA333" s="855"/>
      <c r="BB333" s="855"/>
      <c r="BC333" s="855"/>
      <c r="BD333" s="855"/>
      <c r="BE333" s="855"/>
      <c r="BF333" s="855"/>
      <c r="BG333" s="855"/>
      <c r="BH333" s="855"/>
      <c r="BI333" s="855"/>
      <c r="BJ333" s="855"/>
      <c r="BK333" s="855"/>
      <c r="BL333" s="855"/>
      <c r="BM333" s="855"/>
      <c r="BN333" s="855">
        <f>'[10]bieu cu'!H95</f>
        <v>2500</v>
      </c>
      <c r="BO333" s="848">
        <f t="shared" si="265"/>
        <v>2688.38</v>
      </c>
      <c r="BP333" s="855">
        <v>29.518699999999999</v>
      </c>
      <c r="BQ333" s="855"/>
      <c r="BR333" s="855"/>
      <c r="BS333" s="855"/>
      <c r="BT333" s="855"/>
      <c r="BU333" s="855"/>
      <c r="BV333" s="855"/>
      <c r="BW333" s="855"/>
      <c r="BX333" s="855"/>
      <c r="BY333" s="855"/>
      <c r="BZ333" s="855"/>
      <c r="CA333" s="855"/>
      <c r="CB333" s="855"/>
      <c r="CC333" s="855"/>
      <c r="CD333" s="855"/>
      <c r="CE333" s="855">
        <v>2658.8613</v>
      </c>
      <c r="CF333" s="848">
        <f t="shared" si="263"/>
        <v>107.5352</v>
      </c>
      <c r="CG333" s="848"/>
      <c r="CH333" s="848"/>
      <c r="CI333" s="848"/>
      <c r="CJ333" s="848"/>
      <c r="CK333" s="848"/>
      <c r="CL333" s="848"/>
      <c r="CM333" s="848"/>
      <c r="CN333" s="848"/>
      <c r="CO333" s="848"/>
      <c r="CP333" s="848"/>
      <c r="CQ333" s="848"/>
      <c r="CR333" s="848"/>
      <c r="CS333" s="848"/>
      <c r="CT333" s="848"/>
      <c r="CU333" s="848"/>
      <c r="CV333" s="848"/>
      <c r="CW333" s="848">
        <f t="shared" si="243"/>
        <v>106.35445199999999</v>
      </c>
    </row>
    <row r="334" spans="1:101" ht="37.9" customHeight="1">
      <c r="A334" s="845"/>
      <c r="B334" s="846" t="s">
        <v>775</v>
      </c>
      <c r="C334" s="852" t="s">
        <v>949</v>
      </c>
      <c r="D334" s="846"/>
      <c r="E334" s="845"/>
      <c r="F334" s="861" t="s">
        <v>950</v>
      </c>
      <c r="G334" s="861" t="s">
        <v>951</v>
      </c>
      <c r="H334" s="850">
        <f t="shared" si="261"/>
        <v>85929</v>
      </c>
      <c r="I334" s="848"/>
      <c r="J334" s="848"/>
      <c r="K334" s="848"/>
      <c r="L334" s="848"/>
      <c r="M334" s="848"/>
      <c r="N334" s="848"/>
      <c r="O334" s="848"/>
      <c r="P334" s="848"/>
      <c r="Q334" s="848"/>
      <c r="R334" s="855">
        <v>85929</v>
      </c>
      <c r="S334" s="848"/>
      <c r="T334" s="855">
        <f t="shared" si="238"/>
        <v>2603.4728359999999</v>
      </c>
      <c r="U334" s="848"/>
      <c r="V334" s="848"/>
      <c r="W334" s="855">
        <v>2603.4728359999999</v>
      </c>
      <c r="X334" s="848"/>
      <c r="Y334" s="848"/>
      <c r="Z334" s="848"/>
      <c r="AA334" s="848"/>
      <c r="AB334" s="848"/>
      <c r="AC334" s="848"/>
      <c r="AD334" s="848"/>
      <c r="AE334" s="848"/>
      <c r="AF334" s="848"/>
      <c r="AG334" s="848"/>
      <c r="AH334" s="855"/>
      <c r="AI334" s="855">
        <f>AL334</f>
        <v>17000</v>
      </c>
      <c r="AJ334" s="855"/>
      <c r="AK334" s="855"/>
      <c r="AL334" s="855">
        <v>17000</v>
      </c>
      <c r="AM334" s="855"/>
      <c r="AN334" s="855"/>
      <c r="AO334" s="855"/>
      <c r="AP334" s="855"/>
      <c r="AQ334" s="855"/>
      <c r="AR334" s="855"/>
      <c r="AS334" s="855"/>
      <c r="AT334" s="855"/>
      <c r="AU334" s="855"/>
      <c r="AV334" s="855"/>
      <c r="AW334" s="855"/>
      <c r="AX334" s="855"/>
      <c r="AY334" s="855">
        <f t="shared" si="262"/>
        <v>0</v>
      </c>
      <c r="AZ334" s="855"/>
      <c r="BA334" s="855"/>
      <c r="BB334" s="855"/>
      <c r="BC334" s="855"/>
      <c r="BD334" s="855"/>
      <c r="BE334" s="855"/>
      <c r="BF334" s="855"/>
      <c r="BG334" s="855"/>
      <c r="BH334" s="855"/>
      <c r="BI334" s="855"/>
      <c r="BJ334" s="855"/>
      <c r="BK334" s="855"/>
      <c r="BL334" s="855"/>
      <c r="BM334" s="855"/>
      <c r="BN334" s="855"/>
      <c r="BO334" s="848">
        <f t="shared" si="265"/>
        <v>2129.9</v>
      </c>
      <c r="BP334" s="855"/>
      <c r="BQ334" s="855"/>
      <c r="BR334" s="855"/>
      <c r="BS334" s="855">
        <v>2129.9</v>
      </c>
      <c r="BT334" s="855"/>
      <c r="BU334" s="855"/>
      <c r="BV334" s="855"/>
      <c r="BW334" s="855"/>
      <c r="BX334" s="855"/>
      <c r="BY334" s="855"/>
      <c r="BZ334" s="855"/>
      <c r="CA334" s="855"/>
      <c r="CB334" s="855"/>
      <c r="CC334" s="855"/>
      <c r="CD334" s="855"/>
      <c r="CE334" s="855"/>
      <c r="CF334" s="848"/>
      <c r="CG334" s="848"/>
      <c r="CH334" s="848"/>
      <c r="CI334" s="848"/>
      <c r="CJ334" s="848"/>
      <c r="CK334" s="848"/>
      <c r="CL334" s="848"/>
      <c r="CM334" s="848"/>
      <c r="CN334" s="848"/>
      <c r="CO334" s="848"/>
      <c r="CP334" s="848"/>
      <c r="CQ334" s="848"/>
      <c r="CR334" s="848"/>
      <c r="CS334" s="848"/>
      <c r="CT334" s="848"/>
      <c r="CU334" s="848"/>
      <c r="CV334" s="848"/>
      <c r="CW334" s="848"/>
    </row>
    <row r="335" spans="1:101" ht="37.9" customHeight="1">
      <c r="A335" s="845"/>
      <c r="B335" s="846" t="s">
        <v>775</v>
      </c>
      <c r="C335" s="852" t="s">
        <v>952</v>
      </c>
      <c r="D335" s="846"/>
      <c r="E335" s="845"/>
      <c r="F335" s="847"/>
      <c r="G335" s="846" t="s">
        <v>953</v>
      </c>
      <c r="H335" s="850">
        <f t="shared" si="261"/>
        <v>114870</v>
      </c>
      <c r="I335" s="848"/>
      <c r="J335" s="848"/>
      <c r="K335" s="848"/>
      <c r="L335" s="848"/>
      <c r="M335" s="848"/>
      <c r="N335" s="848"/>
      <c r="O335" s="848"/>
      <c r="P335" s="848"/>
      <c r="Q335" s="848"/>
      <c r="R335" s="855">
        <v>114870</v>
      </c>
      <c r="S335" s="848"/>
      <c r="T335" s="855">
        <f>SUM(U335:AH335)</f>
        <v>63285.3</v>
      </c>
      <c r="U335" s="848"/>
      <c r="V335" s="848"/>
      <c r="W335" s="855">
        <f>63185.3</f>
        <v>63185.3</v>
      </c>
      <c r="X335" s="848"/>
      <c r="Y335" s="848"/>
      <c r="Z335" s="848"/>
      <c r="AA335" s="848"/>
      <c r="AB335" s="848"/>
      <c r="AC335" s="848"/>
      <c r="AD335" s="848"/>
      <c r="AE335" s="848"/>
      <c r="AF335" s="855"/>
      <c r="AG335" s="848"/>
      <c r="AH335" s="855">
        <v>100</v>
      </c>
      <c r="AI335" s="855">
        <f>AL335+AT335</f>
        <v>63085</v>
      </c>
      <c r="AJ335" s="855"/>
      <c r="AK335" s="855"/>
      <c r="AL335" s="855">
        <f>7525+15000+6740</f>
        <v>29265</v>
      </c>
      <c r="AM335" s="855"/>
      <c r="AN335" s="855"/>
      <c r="AO335" s="855"/>
      <c r="AP335" s="855"/>
      <c r="AQ335" s="855"/>
      <c r="AR335" s="855"/>
      <c r="AS335" s="855"/>
      <c r="AT335" s="855">
        <v>33820</v>
      </c>
      <c r="AU335" s="855"/>
      <c r="AV335" s="855"/>
      <c r="AW335" s="855"/>
      <c r="AX335" s="855"/>
      <c r="AY335" s="855">
        <f t="shared" si="262"/>
        <v>0</v>
      </c>
      <c r="AZ335" s="855"/>
      <c r="BA335" s="855"/>
      <c r="BB335" s="855"/>
      <c r="BC335" s="855"/>
      <c r="BD335" s="855"/>
      <c r="BE335" s="855"/>
      <c r="BF335" s="855"/>
      <c r="BG335" s="855"/>
      <c r="BH335" s="855"/>
      <c r="BI335" s="855"/>
      <c r="BJ335" s="855"/>
      <c r="BK335" s="855"/>
      <c r="BL335" s="855"/>
      <c r="BM335" s="855"/>
      <c r="BN335" s="855"/>
      <c r="BO335" s="848">
        <f t="shared" si="265"/>
        <v>288.01859999999999</v>
      </c>
      <c r="BP335" s="855"/>
      <c r="BQ335" s="855"/>
      <c r="BR335" s="855"/>
      <c r="BS335" s="855">
        <v>288.01859999999999</v>
      </c>
      <c r="BT335" s="855"/>
      <c r="BU335" s="855"/>
      <c r="BV335" s="855"/>
      <c r="BW335" s="855"/>
      <c r="BX335" s="855"/>
      <c r="BY335" s="855"/>
      <c r="BZ335" s="855"/>
      <c r="CA335" s="855"/>
      <c r="CB335" s="855"/>
      <c r="CC335" s="855"/>
      <c r="CD335" s="855"/>
      <c r="CE335" s="855"/>
      <c r="CF335" s="848"/>
      <c r="CG335" s="848"/>
      <c r="CH335" s="848"/>
      <c r="CI335" s="848"/>
      <c r="CJ335" s="848"/>
      <c r="CK335" s="848"/>
      <c r="CL335" s="848"/>
      <c r="CM335" s="848"/>
      <c r="CN335" s="848"/>
      <c r="CO335" s="848"/>
      <c r="CP335" s="848"/>
      <c r="CQ335" s="848"/>
      <c r="CR335" s="848"/>
      <c r="CS335" s="848"/>
      <c r="CT335" s="848"/>
      <c r="CU335" s="848"/>
      <c r="CV335" s="848"/>
      <c r="CW335" s="848"/>
    </row>
    <row r="336" spans="1:101" ht="37.9" customHeight="1">
      <c r="A336" s="845"/>
      <c r="B336" s="846" t="s">
        <v>775</v>
      </c>
      <c r="C336" s="852" t="s">
        <v>954</v>
      </c>
      <c r="D336" s="846"/>
      <c r="E336" s="845"/>
      <c r="F336" s="880">
        <v>2010</v>
      </c>
      <c r="G336" s="1011" t="s">
        <v>955</v>
      </c>
      <c r="H336" s="850">
        <f t="shared" si="261"/>
        <v>146397</v>
      </c>
      <c r="I336" s="848"/>
      <c r="J336" s="848"/>
      <c r="K336" s="848"/>
      <c r="L336" s="848"/>
      <c r="M336" s="848"/>
      <c r="N336" s="848"/>
      <c r="O336" s="848"/>
      <c r="P336" s="848"/>
      <c r="Q336" s="848"/>
      <c r="R336" s="855">
        <v>146397</v>
      </c>
      <c r="S336" s="848"/>
      <c r="T336" s="855">
        <f t="shared" si="238"/>
        <v>39633.269</v>
      </c>
      <c r="U336" s="848"/>
      <c r="V336" s="855"/>
      <c r="W336" s="889">
        <v>39633.269</v>
      </c>
      <c r="X336" s="848"/>
      <c r="Y336" s="848"/>
      <c r="Z336" s="848"/>
      <c r="AA336" s="848"/>
      <c r="AB336" s="848"/>
      <c r="AC336" s="848"/>
      <c r="AD336" s="848"/>
      <c r="AE336" s="848"/>
      <c r="AF336" s="848"/>
      <c r="AG336" s="848"/>
      <c r="AH336" s="855"/>
      <c r="AI336" s="855">
        <f>AK336+AL336</f>
        <v>33100</v>
      </c>
      <c r="AJ336" s="855"/>
      <c r="AK336" s="855">
        <v>14000</v>
      </c>
      <c r="AL336" s="855">
        <f>6479+5881+6740</f>
        <v>19100</v>
      </c>
      <c r="AM336" s="855"/>
      <c r="AN336" s="855"/>
      <c r="AO336" s="855"/>
      <c r="AP336" s="855"/>
      <c r="AQ336" s="855"/>
      <c r="AR336" s="855"/>
      <c r="AS336" s="855"/>
      <c r="AT336" s="855"/>
      <c r="AU336" s="855"/>
      <c r="AV336" s="855"/>
      <c r="AW336" s="855"/>
      <c r="AX336" s="855"/>
      <c r="AY336" s="855">
        <f t="shared" si="262"/>
        <v>0</v>
      </c>
      <c r="AZ336" s="855"/>
      <c r="BA336" s="855"/>
      <c r="BB336" s="855"/>
      <c r="BC336" s="855"/>
      <c r="BD336" s="855"/>
      <c r="BE336" s="855"/>
      <c r="BF336" s="855"/>
      <c r="BG336" s="855"/>
      <c r="BH336" s="855"/>
      <c r="BI336" s="855"/>
      <c r="BJ336" s="855"/>
      <c r="BK336" s="855"/>
      <c r="BL336" s="855"/>
      <c r="BM336" s="855"/>
      <c r="BN336" s="855"/>
      <c r="BO336" s="848">
        <f t="shared" si="265"/>
        <v>280</v>
      </c>
      <c r="BP336" s="855"/>
      <c r="BQ336" s="855"/>
      <c r="BR336" s="855"/>
      <c r="BS336" s="855">
        <v>280</v>
      </c>
      <c r="BT336" s="855"/>
      <c r="BU336" s="855"/>
      <c r="BV336" s="855"/>
      <c r="BW336" s="855"/>
      <c r="BX336" s="855"/>
      <c r="BY336" s="855"/>
      <c r="BZ336" s="855"/>
      <c r="CA336" s="855"/>
      <c r="CB336" s="855"/>
      <c r="CC336" s="855"/>
      <c r="CD336" s="855"/>
      <c r="CE336" s="855"/>
      <c r="CF336" s="848"/>
      <c r="CG336" s="848"/>
      <c r="CH336" s="848"/>
      <c r="CI336" s="848"/>
      <c r="CJ336" s="848"/>
      <c r="CK336" s="848"/>
      <c r="CL336" s="848"/>
      <c r="CM336" s="848"/>
      <c r="CN336" s="848"/>
      <c r="CO336" s="848"/>
      <c r="CP336" s="848"/>
      <c r="CQ336" s="848"/>
      <c r="CR336" s="848"/>
      <c r="CS336" s="848"/>
      <c r="CT336" s="848"/>
      <c r="CU336" s="848"/>
      <c r="CV336" s="848"/>
      <c r="CW336" s="848"/>
    </row>
    <row r="337" spans="1:117" s="1010" customFormat="1" ht="20.45" customHeight="1">
      <c r="A337" s="1005" t="s">
        <v>31</v>
      </c>
      <c r="B337" s="1005"/>
      <c r="C337" s="1006" t="s">
        <v>598</v>
      </c>
      <c r="D337" s="1005">
        <f>D338</f>
        <v>0</v>
      </c>
      <c r="E337" s="1005">
        <f t="shared" ref="E337" si="266">E338</f>
        <v>0</v>
      </c>
      <c r="F337" s="1007"/>
      <c r="G337" s="1005"/>
      <c r="H337" s="1008">
        <f t="shared" si="261"/>
        <v>24459.458999999999</v>
      </c>
      <c r="I337" s="1009">
        <f t="shared" ref="I337:AX337" si="267">I338</f>
        <v>0</v>
      </c>
      <c r="J337" s="1009">
        <f t="shared" si="267"/>
        <v>24459.458999999999</v>
      </c>
      <c r="K337" s="1009">
        <f t="shared" si="267"/>
        <v>0</v>
      </c>
      <c r="L337" s="1009">
        <f t="shared" si="267"/>
        <v>0</v>
      </c>
      <c r="M337" s="1009">
        <f t="shared" si="267"/>
        <v>0</v>
      </c>
      <c r="N337" s="1009">
        <f t="shared" si="267"/>
        <v>0</v>
      </c>
      <c r="O337" s="1009">
        <f t="shared" si="267"/>
        <v>0</v>
      </c>
      <c r="P337" s="1009">
        <f t="shared" si="267"/>
        <v>0</v>
      </c>
      <c r="Q337" s="1009">
        <f t="shared" si="267"/>
        <v>0</v>
      </c>
      <c r="R337" s="1009">
        <v>0</v>
      </c>
      <c r="S337" s="1009">
        <f t="shared" si="267"/>
        <v>0</v>
      </c>
      <c r="T337" s="1009">
        <f t="shared" si="267"/>
        <v>7009</v>
      </c>
      <c r="U337" s="1009">
        <f t="shared" si="267"/>
        <v>0</v>
      </c>
      <c r="V337" s="1009">
        <f t="shared" si="267"/>
        <v>0</v>
      </c>
      <c r="W337" s="1009">
        <f t="shared" si="267"/>
        <v>7009</v>
      </c>
      <c r="X337" s="1009">
        <f t="shared" si="267"/>
        <v>0</v>
      </c>
      <c r="Y337" s="1009">
        <f t="shared" si="267"/>
        <v>0</v>
      </c>
      <c r="Z337" s="1009">
        <f t="shared" si="267"/>
        <v>0</v>
      </c>
      <c r="AA337" s="1009">
        <f t="shared" si="267"/>
        <v>0</v>
      </c>
      <c r="AB337" s="1009">
        <f t="shared" si="267"/>
        <v>0</v>
      </c>
      <c r="AC337" s="1009">
        <f t="shared" si="267"/>
        <v>0</v>
      </c>
      <c r="AD337" s="1009">
        <f t="shared" si="267"/>
        <v>0</v>
      </c>
      <c r="AE337" s="1009">
        <f t="shared" si="267"/>
        <v>0</v>
      </c>
      <c r="AF337" s="1009">
        <f t="shared" si="267"/>
        <v>0</v>
      </c>
      <c r="AG337" s="1009">
        <f t="shared" si="267"/>
        <v>0</v>
      </c>
      <c r="AH337" s="1009">
        <f t="shared" si="267"/>
        <v>0</v>
      </c>
      <c r="AI337" s="1009">
        <f t="shared" si="267"/>
        <v>6709</v>
      </c>
      <c r="AJ337" s="1009">
        <f t="shared" si="267"/>
        <v>0</v>
      </c>
      <c r="AK337" s="1009">
        <f t="shared" si="267"/>
        <v>0</v>
      </c>
      <c r="AL337" s="1009">
        <f t="shared" si="267"/>
        <v>6709</v>
      </c>
      <c r="AM337" s="1009">
        <f t="shared" si="267"/>
        <v>0</v>
      </c>
      <c r="AN337" s="1009">
        <f t="shared" si="267"/>
        <v>0</v>
      </c>
      <c r="AO337" s="1009">
        <f t="shared" si="267"/>
        <v>0</v>
      </c>
      <c r="AP337" s="1009">
        <f t="shared" si="267"/>
        <v>0</v>
      </c>
      <c r="AQ337" s="1009">
        <f t="shared" si="267"/>
        <v>0</v>
      </c>
      <c r="AR337" s="1009">
        <f t="shared" si="267"/>
        <v>0</v>
      </c>
      <c r="AS337" s="1009">
        <f t="shared" si="267"/>
        <v>0</v>
      </c>
      <c r="AT337" s="1009">
        <f t="shared" si="267"/>
        <v>0</v>
      </c>
      <c r="AU337" s="1009">
        <f t="shared" si="267"/>
        <v>0</v>
      </c>
      <c r="AV337" s="1009">
        <f t="shared" si="267"/>
        <v>0</v>
      </c>
      <c r="AW337" s="1009">
        <f t="shared" si="267"/>
        <v>0</v>
      </c>
      <c r="AX337" s="1009">
        <f t="shared" si="267"/>
        <v>0</v>
      </c>
      <c r="AY337" s="1009">
        <f>AY338</f>
        <v>10322</v>
      </c>
      <c r="AZ337" s="1009">
        <f t="shared" ref="AZ337:CE337" si="268">AZ338</f>
        <v>0</v>
      </c>
      <c r="BA337" s="1009">
        <f t="shared" si="268"/>
        <v>0</v>
      </c>
      <c r="BB337" s="1009">
        <f t="shared" si="268"/>
        <v>0</v>
      </c>
      <c r="BC337" s="1009">
        <f t="shared" si="268"/>
        <v>7250</v>
      </c>
      <c r="BD337" s="1009">
        <f t="shared" si="268"/>
        <v>0</v>
      </c>
      <c r="BE337" s="1009">
        <f t="shared" si="268"/>
        <v>0</v>
      </c>
      <c r="BF337" s="1009">
        <f t="shared" si="268"/>
        <v>0</v>
      </c>
      <c r="BG337" s="1009">
        <f t="shared" si="268"/>
        <v>0</v>
      </c>
      <c r="BH337" s="1009">
        <f t="shared" si="268"/>
        <v>0</v>
      </c>
      <c r="BI337" s="1009">
        <f t="shared" si="268"/>
        <v>0</v>
      </c>
      <c r="BJ337" s="1009">
        <f t="shared" si="268"/>
        <v>0</v>
      </c>
      <c r="BK337" s="1009">
        <f t="shared" si="268"/>
        <v>3072</v>
      </c>
      <c r="BL337" s="1009">
        <f t="shared" si="268"/>
        <v>0</v>
      </c>
      <c r="BM337" s="1009">
        <f t="shared" si="268"/>
        <v>0</v>
      </c>
      <c r="BN337" s="1009">
        <f t="shared" si="268"/>
        <v>0</v>
      </c>
      <c r="BO337" s="1009">
        <f t="shared" si="265"/>
        <v>10321.317466</v>
      </c>
      <c r="BP337" s="1009">
        <f t="shared" si="268"/>
        <v>0</v>
      </c>
      <c r="BQ337" s="1009">
        <f t="shared" si="268"/>
        <v>0</v>
      </c>
      <c r="BR337" s="1009">
        <f t="shared" si="268"/>
        <v>0</v>
      </c>
      <c r="BS337" s="1009">
        <f t="shared" si="268"/>
        <v>7250</v>
      </c>
      <c r="BT337" s="1009">
        <f t="shared" si="268"/>
        <v>0</v>
      </c>
      <c r="BU337" s="1009">
        <f t="shared" si="268"/>
        <v>0</v>
      </c>
      <c r="BV337" s="1009">
        <f t="shared" si="268"/>
        <v>0</v>
      </c>
      <c r="BW337" s="1009">
        <f t="shared" si="268"/>
        <v>0</v>
      </c>
      <c r="BX337" s="1009">
        <f t="shared" si="268"/>
        <v>0</v>
      </c>
      <c r="BY337" s="1009">
        <f t="shared" si="268"/>
        <v>0</v>
      </c>
      <c r="BZ337" s="1009">
        <f t="shared" si="268"/>
        <v>0</v>
      </c>
      <c r="CA337" s="1009">
        <f t="shared" si="268"/>
        <v>3071.317466</v>
      </c>
      <c r="CB337" s="1009">
        <f t="shared" si="268"/>
        <v>0</v>
      </c>
      <c r="CC337" s="1009">
        <f t="shared" si="268"/>
        <v>0</v>
      </c>
      <c r="CD337" s="1009">
        <f t="shared" si="268"/>
        <v>0</v>
      </c>
      <c r="CE337" s="1009">
        <f t="shared" si="268"/>
        <v>0</v>
      </c>
      <c r="CF337" s="1009">
        <f>BO337/AY337%</f>
        <v>99.993387579926377</v>
      </c>
      <c r="CG337" s="1009"/>
      <c r="CH337" s="1009"/>
      <c r="CI337" s="1009"/>
      <c r="CJ337" s="1009"/>
      <c r="CK337" s="1009"/>
      <c r="CL337" s="1009"/>
      <c r="CM337" s="1009"/>
      <c r="CN337" s="1009"/>
      <c r="CO337" s="1009"/>
      <c r="CP337" s="1009"/>
      <c r="CQ337" s="1009"/>
      <c r="CR337" s="1009"/>
      <c r="CS337" s="1009"/>
      <c r="CT337" s="1009"/>
      <c r="CU337" s="1009"/>
      <c r="CV337" s="1009"/>
      <c r="CW337" s="1009"/>
    </row>
    <row r="338" spans="1:117" ht="37.9" customHeight="1">
      <c r="A338" s="845"/>
      <c r="B338" s="846" t="s">
        <v>775</v>
      </c>
      <c r="C338" s="852" t="s">
        <v>956</v>
      </c>
      <c r="D338" s="846"/>
      <c r="E338" s="845"/>
      <c r="F338" s="853" t="s">
        <v>957</v>
      </c>
      <c r="G338" s="846" t="s">
        <v>958</v>
      </c>
      <c r="H338" s="850">
        <f t="shared" si="261"/>
        <v>24459.458999999999</v>
      </c>
      <c r="I338" s="860"/>
      <c r="J338" s="860">
        <v>24459.458999999999</v>
      </c>
      <c r="K338" s="848"/>
      <c r="L338" s="848"/>
      <c r="M338" s="848"/>
      <c r="N338" s="848"/>
      <c r="O338" s="848"/>
      <c r="P338" s="848"/>
      <c r="Q338" s="848"/>
      <c r="R338" s="848"/>
      <c r="S338" s="848"/>
      <c r="T338" s="855">
        <f t="shared" ref="T338" si="269">SUM(U338:AH338)</f>
        <v>7009</v>
      </c>
      <c r="U338" s="848"/>
      <c r="V338" s="848"/>
      <c r="W338" s="855">
        <v>7009</v>
      </c>
      <c r="X338" s="848"/>
      <c r="Y338" s="848"/>
      <c r="Z338" s="848"/>
      <c r="AA338" s="848"/>
      <c r="AB338" s="848"/>
      <c r="AC338" s="848"/>
      <c r="AD338" s="848"/>
      <c r="AE338" s="848"/>
      <c r="AF338" s="848"/>
      <c r="AG338" s="848"/>
      <c r="AH338" s="855"/>
      <c r="AI338" s="855">
        <f>AL338</f>
        <v>6709</v>
      </c>
      <c r="AJ338" s="855"/>
      <c r="AK338" s="855"/>
      <c r="AL338" s="855">
        <f>3463+1000+2246</f>
        <v>6709</v>
      </c>
      <c r="AM338" s="855"/>
      <c r="AN338" s="855"/>
      <c r="AO338" s="855"/>
      <c r="AP338" s="855"/>
      <c r="AQ338" s="855"/>
      <c r="AR338" s="855"/>
      <c r="AS338" s="855"/>
      <c r="AT338" s="855"/>
      <c r="AU338" s="855"/>
      <c r="AV338" s="855"/>
      <c r="AW338" s="855"/>
      <c r="AX338" s="855"/>
      <c r="AY338" s="855">
        <f t="shared" si="262"/>
        <v>10322</v>
      </c>
      <c r="AZ338" s="855"/>
      <c r="BA338" s="855"/>
      <c r="BB338" s="855"/>
      <c r="BC338" s="855">
        <v>7250</v>
      </c>
      <c r="BD338" s="855"/>
      <c r="BE338" s="855"/>
      <c r="BF338" s="855"/>
      <c r="BG338" s="855"/>
      <c r="BH338" s="855"/>
      <c r="BI338" s="855"/>
      <c r="BJ338" s="855"/>
      <c r="BK338" s="855">
        <v>3072</v>
      </c>
      <c r="BL338" s="855"/>
      <c r="BM338" s="855"/>
      <c r="BN338" s="855"/>
      <c r="BO338" s="848">
        <f t="shared" si="265"/>
        <v>10321.317466</v>
      </c>
      <c r="BP338" s="855"/>
      <c r="BQ338" s="855"/>
      <c r="BR338" s="855"/>
      <c r="BS338" s="855">
        <v>7250</v>
      </c>
      <c r="BT338" s="855"/>
      <c r="BU338" s="855"/>
      <c r="BV338" s="855"/>
      <c r="BW338" s="855"/>
      <c r="BX338" s="855"/>
      <c r="BY338" s="855"/>
      <c r="BZ338" s="855"/>
      <c r="CA338" s="855">
        <v>3071.317466</v>
      </c>
      <c r="CB338" s="855"/>
      <c r="CC338" s="855"/>
      <c r="CD338" s="855"/>
      <c r="CE338" s="855"/>
      <c r="CF338" s="848">
        <f>BO338/AY338%</f>
        <v>99.993387579926377</v>
      </c>
      <c r="CG338" s="848"/>
      <c r="CH338" s="848"/>
      <c r="CI338" s="848"/>
      <c r="CJ338" s="848">
        <f t="shared" ref="CG338:CJ378" si="270">BS338/BC338*100</f>
        <v>100</v>
      </c>
      <c r="CK338" s="848"/>
      <c r="CL338" s="848"/>
      <c r="CM338" s="848"/>
      <c r="CN338" s="848"/>
      <c r="CO338" s="848"/>
      <c r="CP338" s="848"/>
      <c r="CQ338" s="848"/>
      <c r="CR338" s="848">
        <f t="shared" ref="CP338:CR348" si="271">CA338/BK338*100</f>
        <v>99.977782096354161</v>
      </c>
      <c r="CS338" s="848"/>
      <c r="CT338" s="848"/>
      <c r="CU338" s="848"/>
      <c r="CV338" s="848"/>
      <c r="CW338" s="848"/>
    </row>
    <row r="339" spans="1:117" s="851" customFormat="1" ht="37.9" customHeight="1">
      <c r="A339" s="845" t="s">
        <v>590</v>
      </c>
      <c r="B339" s="845"/>
      <c r="C339" s="857" t="s">
        <v>406</v>
      </c>
      <c r="D339" s="846">
        <f>D340</f>
        <v>0</v>
      </c>
      <c r="E339" s="845">
        <f t="shared" ref="E339" si="272">E340</f>
        <v>0</v>
      </c>
      <c r="F339" s="847"/>
      <c r="G339" s="845"/>
      <c r="H339" s="850">
        <f t="shared" si="261"/>
        <v>21142</v>
      </c>
      <c r="I339" s="848">
        <f t="shared" ref="I339:AX339" si="273">I340</f>
        <v>0</v>
      </c>
      <c r="J339" s="848">
        <f t="shared" si="273"/>
        <v>0</v>
      </c>
      <c r="K339" s="848">
        <f t="shared" si="273"/>
        <v>0</v>
      </c>
      <c r="L339" s="848">
        <f t="shared" si="273"/>
        <v>0</v>
      </c>
      <c r="M339" s="848">
        <f t="shared" si="273"/>
        <v>0</v>
      </c>
      <c r="N339" s="848">
        <f t="shared" si="273"/>
        <v>0</v>
      </c>
      <c r="O339" s="848">
        <f t="shared" si="273"/>
        <v>0</v>
      </c>
      <c r="P339" s="848">
        <f t="shared" si="273"/>
        <v>0</v>
      </c>
      <c r="Q339" s="848">
        <f t="shared" si="273"/>
        <v>0</v>
      </c>
      <c r="R339" s="848">
        <v>0</v>
      </c>
      <c r="S339" s="848">
        <f t="shared" si="273"/>
        <v>21142</v>
      </c>
      <c r="T339" s="848">
        <f t="shared" si="273"/>
        <v>4159</v>
      </c>
      <c r="U339" s="848">
        <f t="shared" si="273"/>
        <v>0</v>
      </c>
      <c r="V339" s="848">
        <f t="shared" si="273"/>
        <v>0</v>
      </c>
      <c r="W339" s="848">
        <f t="shared" si="273"/>
        <v>4159</v>
      </c>
      <c r="X339" s="848">
        <f t="shared" si="273"/>
        <v>0</v>
      </c>
      <c r="Y339" s="848">
        <f t="shared" si="273"/>
        <v>0</v>
      </c>
      <c r="Z339" s="848">
        <f t="shared" si="273"/>
        <v>0</v>
      </c>
      <c r="AA339" s="848">
        <f t="shared" si="273"/>
        <v>0</v>
      </c>
      <c r="AB339" s="848">
        <f t="shared" si="273"/>
        <v>0</v>
      </c>
      <c r="AC339" s="848">
        <f t="shared" si="273"/>
        <v>0</v>
      </c>
      <c r="AD339" s="848">
        <f t="shared" si="273"/>
        <v>0</v>
      </c>
      <c r="AE339" s="848">
        <f t="shared" si="273"/>
        <v>0</v>
      </c>
      <c r="AF339" s="848">
        <f t="shared" si="273"/>
        <v>0</v>
      </c>
      <c r="AG339" s="848">
        <f t="shared" si="273"/>
        <v>0</v>
      </c>
      <c r="AH339" s="848">
        <f t="shared" si="273"/>
        <v>0</v>
      </c>
      <c r="AI339" s="848">
        <f t="shared" si="273"/>
        <v>4190</v>
      </c>
      <c r="AJ339" s="848">
        <f t="shared" si="273"/>
        <v>0</v>
      </c>
      <c r="AK339" s="848">
        <f t="shared" si="273"/>
        <v>0</v>
      </c>
      <c r="AL339" s="848">
        <f t="shared" si="273"/>
        <v>4190</v>
      </c>
      <c r="AM339" s="848">
        <f t="shared" si="273"/>
        <v>0</v>
      </c>
      <c r="AN339" s="848">
        <f t="shared" si="273"/>
        <v>0</v>
      </c>
      <c r="AO339" s="848">
        <f t="shared" si="273"/>
        <v>0</v>
      </c>
      <c r="AP339" s="848">
        <f t="shared" si="273"/>
        <v>0</v>
      </c>
      <c r="AQ339" s="848">
        <f t="shared" si="273"/>
        <v>0</v>
      </c>
      <c r="AR339" s="848">
        <f t="shared" si="273"/>
        <v>0</v>
      </c>
      <c r="AS339" s="848"/>
      <c r="AT339" s="848">
        <f t="shared" si="273"/>
        <v>0</v>
      </c>
      <c r="AU339" s="848">
        <f t="shared" si="273"/>
        <v>0</v>
      </c>
      <c r="AV339" s="848">
        <f t="shared" si="273"/>
        <v>0</v>
      </c>
      <c r="AW339" s="848">
        <f t="shared" si="273"/>
        <v>0</v>
      </c>
      <c r="AX339" s="848">
        <f t="shared" si="273"/>
        <v>0</v>
      </c>
      <c r="AY339" s="848">
        <f>AY340</f>
        <v>0</v>
      </c>
      <c r="AZ339" s="848">
        <f t="shared" ref="AZ339:CE339" si="274">AZ340</f>
        <v>0</v>
      </c>
      <c r="BA339" s="848">
        <f t="shared" si="274"/>
        <v>0</v>
      </c>
      <c r="BB339" s="848">
        <f t="shared" si="274"/>
        <v>0</v>
      </c>
      <c r="BC339" s="848">
        <f t="shared" si="274"/>
        <v>0</v>
      </c>
      <c r="BD339" s="848">
        <f t="shared" si="274"/>
        <v>0</v>
      </c>
      <c r="BE339" s="848">
        <f t="shared" si="274"/>
        <v>0</v>
      </c>
      <c r="BF339" s="848">
        <f t="shared" si="274"/>
        <v>0</v>
      </c>
      <c r="BG339" s="848">
        <f t="shared" si="274"/>
        <v>0</v>
      </c>
      <c r="BH339" s="848">
        <f t="shared" si="274"/>
        <v>0</v>
      </c>
      <c r="BI339" s="848">
        <f t="shared" si="274"/>
        <v>0</v>
      </c>
      <c r="BJ339" s="848">
        <f t="shared" si="274"/>
        <v>0</v>
      </c>
      <c r="BK339" s="848">
        <f t="shared" si="274"/>
        <v>0</v>
      </c>
      <c r="BL339" s="848">
        <f t="shared" si="274"/>
        <v>0</v>
      </c>
      <c r="BM339" s="848">
        <f t="shared" si="274"/>
        <v>0</v>
      </c>
      <c r="BN339" s="848">
        <f t="shared" si="274"/>
        <v>0</v>
      </c>
      <c r="BO339" s="848">
        <f t="shared" si="265"/>
        <v>0</v>
      </c>
      <c r="BP339" s="848">
        <f t="shared" si="274"/>
        <v>0</v>
      </c>
      <c r="BQ339" s="848">
        <f t="shared" si="274"/>
        <v>0</v>
      </c>
      <c r="BR339" s="848">
        <f t="shared" si="274"/>
        <v>0</v>
      </c>
      <c r="BS339" s="848">
        <f t="shared" si="274"/>
        <v>0</v>
      </c>
      <c r="BT339" s="848">
        <f t="shared" si="274"/>
        <v>0</v>
      </c>
      <c r="BU339" s="848">
        <f t="shared" si="274"/>
        <v>0</v>
      </c>
      <c r="BV339" s="848">
        <f t="shared" si="274"/>
        <v>0</v>
      </c>
      <c r="BW339" s="848">
        <f t="shared" si="274"/>
        <v>0</v>
      </c>
      <c r="BX339" s="848">
        <f t="shared" si="274"/>
        <v>0</v>
      </c>
      <c r="BY339" s="848">
        <f t="shared" si="274"/>
        <v>0</v>
      </c>
      <c r="BZ339" s="848">
        <f t="shared" si="274"/>
        <v>0</v>
      </c>
      <c r="CA339" s="848">
        <f t="shared" si="274"/>
        <v>0</v>
      </c>
      <c r="CB339" s="848">
        <f t="shared" si="274"/>
        <v>0</v>
      </c>
      <c r="CC339" s="848">
        <f t="shared" si="274"/>
        <v>0</v>
      </c>
      <c r="CD339" s="848">
        <f t="shared" si="274"/>
        <v>0</v>
      </c>
      <c r="CE339" s="848">
        <f t="shared" si="274"/>
        <v>0</v>
      </c>
      <c r="CF339" s="848"/>
      <c r="CG339" s="848"/>
      <c r="CH339" s="848"/>
      <c r="CI339" s="848"/>
      <c r="CJ339" s="848"/>
      <c r="CK339" s="848"/>
      <c r="CL339" s="848"/>
      <c r="CM339" s="848"/>
      <c r="CN339" s="848"/>
      <c r="CO339" s="848"/>
      <c r="CP339" s="848"/>
      <c r="CQ339" s="848"/>
      <c r="CR339" s="848"/>
      <c r="CS339" s="848"/>
      <c r="CT339" s="848"/>
      <c r="CU339" s="848"/>
      <c r="CV339" s="848"/>
      <c r="CW339" s="848"/>
    </row>
    <row r="340" spans="1:117" ht="25.15" customHeight="1">
      <c r="A340" s="845"/>
      <c r="B340" s="846" t="s">
        <v>775</v>
      </c>
      <c r="C340" s="852" t="s">
        <v>776</v>
      </c>
      <c r="D340" s="846"/>
      <c r="E340" s="845"/>
      <c r="F340" s="853" t="s">
        <v>959</v>
      </c>
      <c r="G340" s="846" t="s">
        <v>777</v>
      </c>
      <c r="H340" s="850">
        <f t="shared" si="261"/>
        <v>21142</v>
      </c>
      <c r="I340" s="860"/>
      <c r="J340" s="848"/>
      <c r="K340" s="848"/>
      <c r="L340" s="848"/>
      <c r="M340" s="848"/>
      <c r="N340" s="848"/>
      <c r="O340" s="848"/>
      <c r="P340" s="848"/>
      <c r="Q340" s="848"/>
      <c r="R340" s="848"/>
      <c r="S340" s="855">
        <v>21142</v>
      </c>
      <c r="T340" s="855">
        <f>W340</f>
        <v>4159</v>
      </c>
      <c r="U340" s="848"/>
      <c r="V340" s="848"/>
      <c r="W340" s="855">
        <v>4159</v>
      </c>
      <c r="X340" s="848"/>
      <c r="Y340" s="848"/>
      <c r="Z340" s="848"/>
      <c r="AA340" s="848"/>
      <c r="AB340" s="848"/>
      <c r="AC340" s="848"/>
      <c r="AD340" s="848"/>
      <c r="AE340" s="848"/>
      <c r="AF340" s="848"/>
      <c r="AG340" s="848"/>
      <c r="AH340" s="855"/>
      <c r="AI340" s="855">
        <f>AL340</f>
        <v>4190</v>
      </c>
      <c r="AJ340" s="855"/>
      <c r="AK340" s="855"/>
      <c r="AL340" s="855">
        <v>4190</v>
      </c>
      <c r="AM340" s="855"/>
      <c r="AN340" s="855"/>
      <c r="AO340" s="855"/>
      <c r="AP340" s="855"/>
      <c r="AQ340" s="855"/>
      <c r="AR340" s="855"/>
      <c r="AS340" s="855"/>
      <c r="AT340" s="855"/>
      <c r="AU340" s="855"/>
      <c r="AV340" s="855"/>
      <c r="AW340" s="855"/>
      <c r="AX340" s="855"/>
      <c r="AY340" s="855">
        <f t="shared" ref="AY340" si="275">SUM(AZ340:BN340)</f>
        <v>0</v>
      </c>
      <c r="AZ340" s="855"/>
      <c r="BA340" s="855"/>
      <c r="BB340" s="855"/>
      <c r="BC340" s="855"/>
      <c r="BD340" s="855"/>
      <c r="BE340" s="855"/>
      <c r="BF340" s="855"/>
      <c r="BG340" s="855"/>
      <c r="BH340" s="855"/>
      <c r="BI340" s="855"/>
      <c r="BJ340" s="855"/>
      <c r="BK340" s="855"/>
      <c r="BL340" s="855"/>
      <c r="BM340" s="855"/>
      <c r="BN340" s="855"/>
      <c r="BO340" s="848">
        <f t="shared" si="265"/>
        <v>0</v>
      </c>
      <c r="BP340" s="855"/>
      <c r="BQ340" s="855"/>
      <c r="BR340" s="855"/>
      <c r="BS340" s="855"/>
      <c r="BT340" s="855"/>
      <c r="BU340" s="855"/>
      <c r="BV340" s="855"/>
      <c r="BW340" s="855"/>
      <c r="BX340" s="855"/>
      <c r="BY340" s="855"/>
      <c r="BZ340" s="855"/>
      <c r="CA340" s="855"/>
      <c r="CB340" s="855"/>
      <c r="CC340" s="855"/>
      <c r="CD340" s="855"/>
      <c r="CE340" s="855"/>
      <c r="CF340" s="848"/>
      <c r="CG340" s="848"/>
      <c r="CH340" s="848"/>
      <c r="CI340" s="848"/>
      <c r="CJ340" s="848"/>
      <c r="CK340" s="848"/>
      <c r="CL340" s="848"/>
      <c r="CM340" s="848"/>
      <c r="CN340" s="848"/>
      <c r="CO340" s="848"/>
      <c r="CP340" s="848"/>
      <c r="CQ340" s="848"/>
      <c r="CR340" s="848"/>
      <c r="CS340" s="848"/>
      <c r="CT340" s="848"/>
      <c r="CU340" s="848"/>
      <c r="CV340" s="848"/>
      <c r="CW340" s="848"/>
    </row>
    <row r="341" spans="1:117" s="851" customFormat="1" ht="25.9" customHeight="1">
      <c r="A341" s="845" t="s">
        <v>960</v>
      </c>
      <c r="B341" s="845"/>
      <c r="C341" s="857" t="s">
        <v>795</v>
      </c>
      <c r="D341" s="846">
        <f>D342+D343+D344</f>
        <v>0</v>
      </c>
      <c r="E341" s="845">
        <f t="shared" ref="E341:CE341" si="276">E342+E343+E344</f>
        <v>0</v>
      </c>
      <c r="F341" s="847"/>
      <c r="G341" s="845"/>
      <c r="H341" s="850">
        <f t="shared" si="261"/>
        <v>1466252</v>
      </c>
      <c r="I341" s="848">
        <f t="shared" ref="I341:AX341" si="277">I342+I343+I344</f>
        <v>820000</v>
      </c>
      <c r="J341" s="848">
        <f t="shared" si="277"/>
        <v>28560</v>
      </c>
      <c r="K341" s="848">
        <f t="shared" si="277"/>
        <v>0</v>
      </c>
      <c r="L341" s="848">
        <f t="shared" si="277"/>
        <v>0</v>
      </c>
      <c r="M341" s="848">
        <f t="shared" si="277"/>
        <v>0</v>
      </c>
      <c r="N341" s="848">
        <f t="shared" si="277"/>
        <v>617692</v>
      </c>
      <c r="O341" s="848">
        <f t="shared" si="277"/>
        <v>0</v>
      </c>
      <c r="P341" s="848">
        <f t="shared" si="277"/>
        <v>0</v>
      </c>
      <c r="Q341" s="848">
        <f t="shared" si="277"/>
        <v>0</v>
      </c>
      <c r="R341" s="848">
        <v>0</v>
      </c>
      <c r="S341" s="848">
        <f t="shared" si="277"/>
        <v>0</v>
      </c>
      <c r="T341" s="848">
        <f t="shared" si="277"/>
        <v>420206.64900099998</v>
      </c>
      <c r="U341" s="848">
        <f t="shared" si="277"/>
        <v>0</v>
      </c>
      <c r="V341" s="848">
        <f t="shared" si="277"/>
        <v>0</v>
      </c>
      <c r="W341" s="848">
        <f t="shared" si="277"/>
        <v>52971</v>
      </c>
      <c r="X341" s="848">
        <f t="shared" si="277"/>
        <v>0</v>
      </c>
      <c r="Y341" s="848">
        <f t="shared" si="277"/>
        <v>0</v>
      </c>
      <c r="Z341" s="848">
        <f t="shared" si="277"/>
        <v>0</v>
      </c>
      <c r="AA341" s="848">
        <f t="shared" si="277"/>
        <v>0</v>
      </c>
      <c r="AB341" s="848">
        <f t="shared" si="277"/>
        <v>0</v>
      </c>
      <c r="AC341" s="848">
        <f t="shared" si="277"/>
        <v>367235.64900099998</v>
      </c>
      <c r="AD341" s="848">
        <f t="shared" si="277"/>
        <v>0</v>
      </c>
      <c r="AE341" s="848">
        <f t="shared" si="277"/>
        <v>0</v>
      </c>
      <c r="AF341" s="848">
        <f t="shared" si="277"/>
        <v>0</v>
      </c>
      <c r="AG341" s="848">
        <f t="shared" si="277"/>
        <v>0</v>
      </c>
      <c r="AH341" s="848">
        <f t="shared" si="277"/>
        <v>0</v>
      </c>
      <c r="AI341" s="848">
        <f t="shared" si="277"/>
        <v>384412.64900099998</v>
      </c>
      <c r="AJ341" s="848">
        <f t="shared" si="277"/>
        <v>0</v>
      </c>
      <c r="AK341" s="848">
        <f t="shared" si="277"/>
        <v>0</v>
      </c>
      <c r="AL341" s="848">
        <f t="shared" si="277"/>
        <v>16143</v>
      </c>
      <c r="AM341" s="848">
        <f t="shared" si="277"/>
        <v>0</v>
      </c>
      <c r="AN341" s="848">
        <f t="shared" si="277"/>
        <v>0</v>
      </c>
      <c r="AO341" s="848">
        <f t="shared" si="277"/>
        <v>0</v>
      </c>
      <c r="AP341" s="848">
        <f t="shared" si="277"/>
        <v>0</v>
      </c>
      <c r="AQ341" s="848">
        <f t="shared" si="277"/>
        <v>0</v>
      </c>
      <c r="AR341" s="848">
        <f t="shared" si="277"/>
        <v>367235.64900099998</v>
      </c>
      <c r="AS341" s="848">
        <f t="shared" si="277"/>
        <v>0</v>
      </c>
      <c r="AT341" s="848">
        <f t="shared" si="277"/>
        <v>0</v>
      </c>
      <c r="AU341" s="848">
        <f t="shared" si="277"/>
        <v>0</v>
      </c>
      <c r="AV341" s="848">
        <f t="shared" si="277"/>
        <v>0</v>
      </c>
      <c r="AW341" s="848">
        <f t="shared" si="277"/>
        <v>0</v>
      </c>
      <c r="AX341" s="848">
        <f t="shared" si="277"/>
        <v>1034</v>
      </c>
      <c r="AY341" s="848">
        <f t="shared" si="276"/>
        <v>281324</v>
      </c>
      <c r="AZ341" s="848">
        <f t="shared" si="276"/>
        <v>250000</v>
      </c>
      <c r="BA341" s="848"/>
      <c r="BB341" s="848"/>
      <c r="BC341" s="848">
        <f t="shared" si="276"/>
        <v>4623</v>
      </c>
      <c r="BD341" s="848">
        <f t="shared" si="276"/>
        <v>0</v>
      </c>
      <c r="BE341" s="848"/>
      <c r="BF341" s="848">
        <f t="shared" si="276"/>
        <v>26701</v>
      </c>
      <c r="BG341" s="848">
        <f t="shared" si="276"/>
        <v>0</v>
      </c>
      <c r="BH341" s="848">
        <f t="shared" si="276"/>
        <v>0</v>
      </c>
      <c r="BI341" s="848">
        <f t="shared" si="276"/>
        <v>0</v>
      </c>
      <c r="BJ341" s="848">
        <f t="shared" si="276"/>
        <v>0</v>
      </c>
      <c r="BK341" s="848">
        <f t="shared" si="276"/>
        <v>0</v>
      </c>
      <c r="BL341" s="848">
        <f t="shared" si="276"/>
        <v>0</v>
      </c>
      <c r="BM341" s="848">
        <f t="shared" si="276"/>
        <v>0</v>
      </c>
      <c r="BN341" s="848">
        <f t="shared" si="276"/>
        <v>0</v>
      </c>
      <c r="BO341" s="848">
        <f t="shared" si="265"/>
        <v>38058.41648</v>
      </c>
      <c r="BP341" s="848">
        <f>BP342+BP343+BP344</f>
        <v>6761.3779999999997</v>
      </c>
      <c r="BQ341" s="848"/>
      <c r="BR341" s="848"/>
      <c r="BS341" s="848">
        <f t="shared" si="276"/>
        <v>4596.0385420000002</v>
      </c>
      <c r="BT341" s="848">
        <f t="shared" si="276"/>
        <v>0</v>
      </c>
      <c r="BU341" s="848"/>
      <c r="BV341" s="848">
        <f t="shared" si="276"/>
        <v>0</v>
      </c>
      <c r="BW341" s="848">
        <f t="shared" si="276"/>
        <v>0</v>
      </c>
      <c r="BX341" s="848">
        <f t="shared" si="276"/>
        <v>26700.999938000001</v>
      </c>
      <c r="BY341" s="848">
        <f t="shared" si="276"/>
        <v>0</v>
      </c>
      <c r="BZ341" s="848">
        <f t="shared" si="276"/>
        <v>0</v>
      </c>
      <c r="CA341" s="848">
        <f t="shared" si="276"/>
        <v>0</v>
      </c>
      <c r="CB341" s="848">
        <f t="shared" si="276"/>
        <v>0</v>
      </c>
      <c r="CC341" s="848">
        <f t="shared" si="276"/>
        <v>0</v>
      </c>
      <c r="CD341" s="848">
        <f t="shared" si="276"/>
        <v>0</v>
      </c>
      <c r="CE341" s="848">
        <f t="shared" si="276"/>
        <v>0</v>
      </c>
      <c r="CF341" s="848">
        <f>BO341/AY341%</f>
        <v>13.528321963287883</v>
      </c>
      <c r="CG341" s="848">
        <f t="shared" si="270"/>
        <v>2.7045511999999996</v>
      </c>
      <c r="CH341" s="848"/>
      <c r="CI341" s="848"/>
      <c r="CJ341" s="848">
        <f t="shared" si="270"/>
        <v>99.416797361020997</v>
      </c>
      <c r="CK341" s="848"/>
      <c r="CL341" s="848"/>
      <c r="CM341" s="848"/>
      <c r="CN341" s="848"/>
      <c r="CO341" s="848"/>
      <c r="CP341" s="848"/>
      <c r="CQ341" s="848"/>
      <c r="CR341" s="848"/>
      <c r="CS341" s="848"/>
      <c r="CT341" s="848"/>
      <c r="CU341" s="848"/>
      <c r="CV341" s="848"/>
      <c r="CW341" s="848"/>
    </row>
    <row r="342" spans="1:117" ht="67.150000000000006" customHeight="1">
      <c r="A342" s="845"/>
      <c r="B342" s="846" t="s">
        <v>775</v>
      </c>
      <c r="C342" s="852" t="s">
        <v>961</v>
      </c>
      <c r="D342" s="846"/>
      <c r="E342" s="845"/>
      <c r="F342" s="853" t="s">
        <v>962</v>
      </c>
      <c r="G342" s="846" t="s">
        <v>963</v>
      </c>
      <c r="H342" s="850">
        <f t="shared" si="261"/>
        <v>28560</v>
      </c>
      <c r="I342" s="860"/>
      <c r="J342" s="860">
        <v>28560</v>
      </c>
      <c r="K342" s="848"/>
      <c r="L342" s="848"/>
      <c r="M342" s="848"/>
      <c r="N342" s="848"/>
      <c r="O342" s="848"/>
      <c r="P342" s="848"/>
      <c r="Q342" s="848"/>
      <c r="R342" s="848"/>
      <c r="S342" s="848"/>
      <c r="T342" s="855">
        <f t="shared" ref="T342:T364" si="278">SUM(U342:AH342)</f>
        <v>23937</v>
      </c>
      <c r="U342" s="848"/>
      <c r="V342" s="848"/>
      <c r="W342" s="855">
        <v>23937</v>
      </c>
      <c r="X342" s="848"/>
      <c r="Y342" s="848"/>
      <c r="Z342" s="848"/>
      <c r="AA342" s="848"/>
      <c r="AB342" s="848"/>
      <c r="AC342" s="848"/>
      <c r="AD342" s="848"/>
      <c r="AE342" s="848"/>
      <c r="AF342" s="848"/>
      <c r="AG342" s="848"/>
      <c r="AH342" s="855"/>
      <c r="AI342" s="855">
        <f>AL342</f>
        <v>11143</v>
      </c>
      <c r="AJ342" s="855"/>
      <c r="AK342" s="855"/>
      <c r="AL342" s="855">
        <v>11143</v>
      </c>
      <c r="AM342" s="855"/>
      <c r="AN342" s="855"/>
      <c r="AO342" s="855"/>
      <c r="AP342" s="855"/>
      <c r="AQ342" s="855"/>
      <c r="AR342" s="855"/>
      <c r="AS342" s="855"/>
      <c r="AT342" s="855"/>
      <c r="AU342" s="855"/>
      <c r="AV342" s="855"/>
      <c r="AW342" s="855"/>
      <c r="AX342" s="855"/>
      <c r="AY342" s="855">
        <f t="shared" ref="AY342:AY362" si="279">SUM(AZ342:BN342)</f>
        <v>4623</v>
      </c>
      <c r="AZ342" s="855"/>
      <c r="BA342" s="855"/>
      <c r="BB342" s="855"/>
      <c r="BC342" s="855">
        <f>'[10]bieu cu'!H267</f>
        <v>4623</v>
      </c>
      <c r="BD342" s="855"/>
      <c r="BE342" s="855"/>
      <c r="BF342" s="855"/>
      <c r="BG342" s="855"/>
      <c r="BH342" s="855"/>
      <c r="BI342" s="855"/>
      <c r="BJ342" s="855"/>
      <c r="BK342" s="855"/>
      <c r="BL342" s="855"/>
      <c r="BM342" s="855"/>
      <c r="BN342" s="855"/>
      <c r="BO342" s="848">
        <f t="shared" si="265"/>
        <v>4596.0385420000002</v>
      </c>
      <c r="BP342" s="855"/>
      <c r="BQ342" s="855"/>
      <c r="BR342" s="855"/>
      <c r="BS342" s="855">
        <v>4596.0385420000002</v>
      </c>
      <c r="BT342" s="855"/>
      <c r="BU342" s="855"/>
      <c r="BV342" s="855"/>
      <c r="BW342" s="855"/>
      <c r="BX342" s="855"/>
      <c r="BY342" s="855"/>
      <c r="BZ342" s="855"/>
      <c r="CA342" s="855"/>
      <c r="CB342" s="855"/>
      <c r="CC342" s="855"/>
      <c r="CD342" s="855"/>
      <c r="CE342" s="855"/>
      <c r="CF342" s="848">
        <f>BO342/AY342%</f>
        <v>99.416797361020997</v>
      </c>
      <c r="CG342" s="848"/>
      <c r="CH342" s="848"/>
      <c r="CI342" s="848"/>
      <c r="CJ342" s="848">
        <f t="shared" si="270"/>
        <v>99.416797361020997</v>
      </c>
      <c r="CK342" s="848"/>
      <c r="CL342" s="848"/>
      <c r="CM342" s="848"/>
      <c r="CN342" s="848"/>
      <c r="CO342" s="848"/>
      <c r="CP342" s="848"/>
      <c r="CQ342" s="848"/>
      <c r="CR342" s="848"/>
      <c r="CS342" s="848"/>
      <c r="CT342" s="848"/>
      <c r="CU342" s="848"/>
      <c r="CV342" s="848"/>
      <c r="CW342" s="848"/>
    </row>
    <row r="343" spans="1:117" ht="24.6" customHeight="1">
      <c r="A343" s="845"/>
      <c r="B343" s="846" t="s">
        <v>775</v>
      </c>
      <c r="C343" s="852" t="s">
        <v>964</v>
      </c>
      <c r="D343" s="846"/>
      <c r="E343" s="845"/>
      <c r="F343" s="858"/>
      <c r="G343" s="854" t="s">
        <v>965</v>
      </c>
      <c r="H343" s="850">
        <f t="shared" si="261"/>
        <v>820000</v>
      </c>
      <c r="I343" s="860">
        <v>820000</v>
      </c>
      <c r="J343" s="848"/>
      <c r="K343" s="848"/>
      <c r="L343" s="848"/>
      <c r="M343" s="848"/>
      <c r="N343" s="848"/>
      <c r="O343" s="848"/>
      <c r="P343" s="848"/>
      <c r="Q343" s="848"/>
      <c r="R343" s="848"/>
      <c r="S343" s="848"/>
      <c r="T343" s="855">
        <f t="shared" si="278"/>
        <v>29034</v>
      </c>
      <c r="U343" s="848"/>
      <c r="V343" s="848"/>
      <c r="W343" s="855">
        <v>29034</v>
      </c>
      <c r="X343" s="848"/>
      <c r="Y343" s="848"/>
      <c r="Z343" s="848"/>
      <c r="AA343" s="848"/>
      <c r="AB343" s="848"/>
      <c r="AC343" s="848"/>
      <c r="AD343" s="848"/>
      <c r="AE343" s="848"/>
      <c r="AF343" s="848"/>
      <c r="AG343" s="848"/>
      <c r="AH343" s="855"/>
      <c r="AI343" s="855">
        <f>SUM(AJ343:AX343)</f>
        <v>6034</v>
      </c>
      <c r="AJ343" s="855"/>
      <c r="AK343" s="855"/>
      <c r="AL343" s="855">
        <v>5000</v>
      </c>
      <c r="AM343" s="855"/>
      <c r="AN343" s="855"/>
      <c r="AO343" s="855"/>
      <c r="AP343" s="855"/>
      <c r="AQ343" s="855"/>
      <c r="AR343" s="855"/>
      <c r="AS343" s="855"/>
      <c r="AT343" s="855"/>
      <c r="AU343" s="855"/>
      <c r="AV343" s="855"/>
      <c r="AW343" s="855"/>
      <c r="AX343" s="855">
        <v>1034</v>
      </c>
      <c r="AY343" s="855">
        <f t="shared" si="279"/>
        <v>250000</v>
      </c>
      <c r="AZ343" s="855">
        <f>'[10]bieu cu'!H302</f>
        <v>250000</v>
      </c>
      <c r="BA343" s="855"/>
      <c r="BB343" s="855"/>
      <c r="BC343" s="855"/>
      <c r="BD343" s="855"/>
      <c r="BE343" s="855"/>
      <c r="BF343" s="855"/>
      <c r="BG343" s="855"/>
      <c r="BH343" s="855"/>
      <c r="BI343" s="855"/>
      <c r="BJ343" s="855"/>
      <c r="BK343" s="855"/>
      <c r="BL343" s="855"/>
      <c r="BM343" s="855"/>
      <c r="BN343" s="855"/>
      <c r="BO343" s="848">
        <f t="shared" si="265"/>
        <v>6761.3779999999997</v>
      </c>
      <c r="BP343" s="855">
        <v>6761.3779999999997</v>
      </c>
      <c r="BQ343" s="855"/>
      <c r="BR343" s="855"/>
      <c r="BS343" s="855"/>
      <c r="BT343" s="855"/>
      <c r="BU343" s="855"/>
      <c r="BV343" s="855"/>
      <c r="BW343" s="855"/>
      <c r="BX343" s="855"/>
      <c r="BY343" s="855"/>
      <c r="BZ343" s="855"/>
      <c r="CA343" s="855"/>
      <c r="CB343" s="855"/>
      <c r="CC343" s="855"/>
      <c r="CD343" s="855"/>
      <c r="CE343" s="855"/>
      <c r="CF343" s="848">
        <f>BO343/AY343%</f>
        <v>2.7045512</v>
      </c>
      <c r="CG343" s="848">
        <f t="shared" si="270"/>
        <v>2.7045511999999996</v>
      </c>
      <c r="CH343" s="848"/>
      <c r="CI343" s="848"/>
      <c r="CJ343" s="848"/>
      <c r="CK343" s="848"/>
      <c r="CL343" s="848"/>
      <c r="CM343" s="848"/>
      <c r="CN343" s="848"/>
      <c r="CO343" s="848"/>
      <c r="CP343" s="848"/>
      <c r="CQ343" s="848"/>
      <c r="CR343" s="848"/>
      <c r="CS343" s="848"/>
      <c r="CT343" s="848"/>
      <c r="CU343" s="848"/>
      <c r="CV343" s="848"/>
      <c r="CW343" s="848"/>
    </row>
    <row r="344" spans="1:117" ht="38.450000000000003" customHeight="1">
      <c r="A344" s="845"/>
      <c r="B344" s="846" t="s">
        <v>775</v>
      </c>
      <c r="C344" s="852" t="s">
        <v>966</v>
      </c>
      <c r="D344" s="846"/>
      <c r="E344" s="845"/>
      <c r="F344" s="853" t="s">
        <v>967</v>
      </c>
      <c r="G344" s="846" t="s">
        <v>968</v>
      </c>
      <c r="H344" s="850">
        <f t="shared" si="261"/>
        <v>617692</v>
      </c>
      <c r="I344" s="860"/>
      <c r="J344" s="848"/>
      <c r="K344" s="848"/>
      <c r="L344" s="848"/>
      <c r="M344" s="848"/>
      <c r="N344" s="860">
        <v>617692</v>
      </c>
      <c r="O344" s="848"/>
      <c r="P344" s="848"/>
      <c r="Q344" s="848"/>
      <c r="R344" s="848"/>
      <c r="S344" s="848"/>
      <c r="T344" s="855">
        <f t="shared" si="278"/>
        <v>367235.64900099998</v>
      </c>
      <c r="U344" s="848"/>
      <c r="V344" s="848"/>
      <c r="W344" s="855"/>
      <c r="X344" s="848"/>
      <c r="Y344" s="848"/>
      <c r="Z344" s="848"/>
      <c r="AA344" s="848"/>
      <c r="AB344" s="848"/>
      <c r="AC344" s="855">
        <f>37032.427171+163257.331977+166945.889853</f>
        <v>367235.64900099998</v>
      </c>
      <c r="AD344" s="848"/>
      <c r="AE344" s="848"/>
      <c r="AF344" s="848"/>
      <c r="AG344" s="848"/>
      <c r="AH344" s="855"/>
      <c r="AI344" s="855">
        <f>AR344</f>
        <v>367235.64900099998</v>
      </c>
      <c r="AJ344" s="855"/>
      <c r="AK344" s="855"/>
      <c r="AL344" s="855"/>
      <c r="AM344" s="855"/>
      <c r="AN344" s="855"/>
      <c r="AO344" s="855"/>
      <c r="AP344" s="855"/>
      <c r="AQ344" s="855"/>
      <c r="AR344" s="855">
        <f>AC344</f>
        <v>367235.64900099998</v>
      </c>
      <c r="AS344" s="855"/>
      <c r="AT344" s="855"/>
      <c r="AU344" s="855"/>
      <c r="AV344" s="855"/>
      <c r="AW344" s="855"/>
      <c r="AX344" s="855"/>
      <c r="AY344" s="855">
        <f t="shared" si="279"/>
        <v>26701</v>
      </c>
      <c r="AZ344" s="855"/>
      <c r="BA344" s="855"/>
      <c r="BB344" s="855"/>
      <c r="BC344" s="855"/>
      <c r="BD344" s="855"/>
      <c r="BE344" s="855"/>
      <c r="BF344" s="855">
        <f>'[10]bieu cu'!H310</f>
        <v>26701</v>
      </c>
      <c r="BG344" s="855"/>
      <c r="BH344" s="855"/>
      <c r="BI344" s="855"/>
      <c r="BJ344" s="855"/>
      <c r="BK344" s="855"/>
      <c r="BL344" s="855"/>
      <c r="BM344" s="855"/>
      <c r="BN344" s="855"/>
      <c r="BO344" s="848">
        <f t="shared" si="265"/>
        <v>26700.999938000001</v>
      </c>
      <c r="BP344" s="855"/>
      <c r="BQ344" s="855"/>
      <c r="BR344" s="855"/>
      <c r="BS344" s="855"/>
      <c r="BT344" s="855"/>
      <c r="BU344" s="855"/>
      <c r="BV344" s="855"/>
      <c r="BW344" s="855"/>
      <c r="BX344" s="855">
        <v>26700.999938000001</v>
      </c>
      <c r="BY344" s="855"/>
      <c r="BZ344" s="855"/>
      <c r="CA344" s="855"/>
      <c r="CB344" s="855"/>
      <c r="CC344" s="855"/>
      <c r="CD344" s="855"/>
      <c r="CE344" s="855"/>
      <c r="CF344" s="848">
        <f>BO344/AY344%</f>
        <v>99.999999767798968</v>
      </c>
      <c r="CG344" s="848"/>
      <c r="CH344" s="848"/>
      <c r="CI344" s="848"/>
      <c r="CJ344" s="848"/>
      <c r="CK344" s="848"/>
      <c r="CL344" s="848"/>
      <c r="CM344" s="848">
        <f t="shared" ref="CK344:CO391" si="280">BV344/BF344*100</f>
        <v>0</v>
      </c>
      <c r="CN344" s="848"/>
      <c r="CO344" s="848"/>
      <c r="CP344" s="848"/>
      <c r="CQ344" s="848"/>
      <c r="CR344" s="848"/>
      <c r="CS344" s="848"/>
      <c r="CT344" s="848"/>
      <c r="CU344" s="848"/>
      <c r="CV344" s="848"/>
      <c r="CW344" s="848"/>
    </row>
    <row r="345" spans="1:117" s="851" customFormat="1" ht="37.9" customHeight="1">
      <c r="A345" s="845" t="s">
        <v>969</v>
      </c>
      <c r="B345" s="845"/>
      <c r="C345" s="857" t="s">
        <v>406</v>
      </c>
      <c r="D345" s="846">
        <f>D346+D347</f>
        <v>0</v>
      </c>
      <c r="E345" s="845">
        <f>E346+E347</f>
        <v>0</v>
      </c>
      <c r="F345" s="847"/>
      <c r="G345" s="845"/>
      <c r="H345" s="850">
        <f t="shared" si="261"/>
        <v>414374.21799999999</v>
      </c>
      <c r="I345" s="848">
        <f t="shared" ref="I345:Q345" si="281">I346+I347</f>
        <v>0</v>
      </c>
      <c r="J345" s="848">
        <f t="shared" si="281"/>
        <v>414374.21799999999</v>
      </c>
      <c r="K345" s="848">
        <f t="shared" si="281"/>
        <v>0</v>
      </c>
      <c r="L345" s="848">
        <f t="shared" si="281"/>
        <v>0</v>
      </c>
      <c r="M345" s="848">
        <f t="shared" si="281"/>
        <v>0</v>
      </c>
      <c r="N345" s="848">
        <f t="shared" si="281"/>
        <v>0</v>
      </c>
      <c r="O345" s="848">
        <f t="shared" si="281"/>
        <v>0</v>
      </c>
      <c r="P345" s="848">
        <f t="shared" si="281"/>
        <v>0</v>
      </c>
      <c r="Q345" s="848">
        <f t="shared" si="281"/>
        <v>0</v>
      </c>
      <c r="R345" s="848">
        <v>0</v>
      </c>
      <c r="S345" s="848">
        <f t="shared" ref="S345:AX345" si="282">S346+S347</f>
        <v>0</v>
      </c>
      <c r="T345" s="848">
        <f t="shared" si="282"/>
        <v>92474.635681999993</v>
      </c>
      <c r="U345" s="848">
        <f t="shared" si="282"/>
        <v>26060</v>
      </c>
      <c r="V345" s="848">
        <f t="shared" si="282"/>
        <v>0</v>
      </c>
      <c r="W345" s="848">
        <f t="shared" si="282"/>
        <v>65414.635682</v>
      </c>
      <c r="X345" s="848">
        <f t="shared" si="282"/>
        <v>0</v>
      </c>
      <c r="Y345" s="848">
        <f t="shared" si="282"/>
        <v>0</v>
      </c>
      <c r="Z345" s="848">
        <f t="shared" si="282"/>
        <v>0</v>
      </c>
      <c r="AA345" s="848">
        <f t="shared" si="282"/>
        <v>0</v>
      </c>
      <c r="AB345" s="848">
        <f t="shared" si="282"/>
        <v>0</v>
      </c>
      <c r="AC345" s="848">
        <f t="shared" si="282"/>
        <v>0</v>
      </c>
      <c r="AD345" s="848">
        <f t="shared" si="282"/>
        <v>0</v>
      </c>
      <c r="AE345" s="848">
        <f t="shared" si="282"/>
        <v>0</v>
      </c>
      <c r="AF345" s="848">
        <f t="shared" si="282"/>
        <v>0</v>
      </c>
      <c r="AG345" s="848">
        <f t="shared" si="282"/>
        <v>0</v>
      </c>
      <c r="AH345" s="848">
        <f t="shared" si="282"/>
        <v>1000</v>
      </c>
      <c r="AI345" s="848">
        <f t="shared" si="282"/>
        <v>99476.824999999997</v>
      </c>
      <c r="AJ345" s="848">
        <f t="shared" si="282"/>
        <v>24742</v>
      </c>
      <c r="AK345" s="848">
        <f t="shared" si="282"/>
        <v>0</v>
      </c>
      <c r="AL345" s="848">
        <f t="shared" si="282"/>
        <v>71512</v>
      </c>
      <c r="AM345" s="848">
        <f t="shared" si="282"/>
        <v>0</v>
      </c>
      <c r="AN345" s="848">
        <f t="shared" si="282"/>
        <v>0</v>
      </c>
      <c r="AO345" s="848">
        <f t="shared" si="282"/>
        <v>0</v>
      </c>
      <c r="AP345" s="848">
        <f t="shared" si="282"/>
        <v>0</v>
      </c>
      <c r="AQ345" s="848">
        <f t="shared" si="282"/>
        <v>0</v>
      </c>
      <c r="AR345" s="848">
        <f t="shared" si="282"/>
        <v>0</v>
      </c>
      <c r="AS345" s="848">
        <f t="shared" si="282"/>
        <v>0</v>
      </c>
      <c r="AT345" s="848">
        <f t="shared" si="282"/>
        <v>0</v>
      </c>
      <c r="AU345" s="848">
        <f t="shared" si="282"/>
        <v>0</v>
      </c>
      <c r="AV345" s="848">
        <f t="shared" si="282"/>
        <v>0</v>
      </c>
      <c r="AW345" s="848">
        <f t="shared" si="282"/>
        <v>0</v>
      </c>
      <c r="AX345" s="848">
        <f t="shared" si="282"/>
        <v>3222.8249999999998</v>
      </c>
      <c r="AY345" s="848">
        <f t="shared" ref="AY345:BP345" si="283">AY346+BO347</f>
        <v>29979</v>
      </c>
      <c r="AZ345" s="848">
        <f t="shared" si="283"/>
        <v>0</v>
      </c>
      <c r="BA345" s="848">
        <f t="shared" si="283"/>
        <v>0</v>
      </c>
      <c r="BB345" s="848">
        <f t="shared" si="283"/>
        <v>0</v>
      </c>
      <c r="BC345" s="848">
        <f t="shared" si="283"/>
        <v>26635</v>
      </c>
      <c r="BD345" s="848">
        <f t="shared" si="283"/>
        <v>0</v>
      </c>
      <c r="BE345" s="848">
        <f t="shared" si="283"/>
        <v>0</v>
      </c>
      <c r="BF345" s="848">
        <f t="shared" si="283"/>
        <v>2344</v>
      </c>
      <c r="BG345" s="848">
        <f t="shared" si="283"/>
        <v>0</v>
      </c>
      <c r="BH345" s="848">
        <f t="shared" si="283"/>
        <v>0</v>
      </c>
      <c r="BI345" s="848">
        <f t="shared" si="283"/>
        <v>0</v>
      </c>
      <c r="BJ345" s="848">
        <f t="shared" si="283"/>
        <v>0</v>
      </c>
      <c r="BK345" s="848">
        <f t="shared" si="283"/>
        <v>0</v>
      </c>
      <c r="BL345" s="848">
        <f t="shared" si="283"/>
        <v>0</v>
      </c>
      <c r="BM345" s="848">
        <f t="shared" si="283"/>
        <v>0</v>
      </c>
      <c r="BN345" s="848">
        <f t="shared" si="283"/>
        <v>0</v>
      </c>
      <c r="BO345" s="848">
        <f t="shared" si="265"/>
        <v>29979</v>
      </c>
      <c r="BP345" s="848">
        <f t="shared" si="283"/>
        <v>0</v>
      </c>
      <c r="BQ345" s="848">
        <f>BQ346+BQ347</f>
        <v>0</v>
      </c>
      <c r="BR345" s="848">
        <f t="shared" ref="BR345:CF345" si="284">BR346+BR347</f>
        <v>0</v>
      </c>
      <c r="BS345" s="848">
        <f t="shared" si="284"/>
        <v>26635</v>
      </c>
      <c r="BT345" s="848">
        <f t="shared" si="284"/>
        <v>0</v>
      </c>
      <c r="BU345" s="848">
        <f t="shared" si="284"/>
        <v>0</v>
      </c>
      <c r="BV345" s="848">
        <f t="shared" si="284"/>
        <v>2344</v>
      </c>
      <c r="BW345" s="848">
        <f t="shared" si="284"/>
        <v>0</v>
      </c>
      <c r="BX345" s="848">
        <f t="shared" si="284"/>
        <v>0</v>
      </c>
      <c r="BY345" s="848">
        <f t="shared" si="284"/>
        <v>0</v>
      </c>
      <c r="BZ345" s="848">
        <f t="shared" si="284"/>
        <v>0</v>
      </c>
      <c r="CA345" s="848">
        <f t="shared" si="284"/>
        <v>0</v>
      </c>
      <c r="CB345" s="848">
        <f t="shared" si="284"/>
        <v>0</v>
      </c>
      <c r="CC345" s="848">
        <f t="shared" si="284"/>
        <v>0</v>
      </c>
      <c r="CD345" s="848">
        <f t="shared" si="284"/>
        <v>0</v>
      </c>
      <c r="CE345" s="848">
        <f t="shared" si="284"/>
        <v>1000</v>
      </c>
      <c r="CF345" s="848">
        <f t="shared" si="284"/>
        <v>100</v>
      </c>
      <c r="CG345" s="848"/>
      <c r="CH345" s="848"/>
      <c r="CI345" s="848"/>
      <c r="CJ345" s="848">
        <f t="shared" si="270"/>
        <v>100</v>
      </c>
      <c r="CK345" s="848"/>
      <c r="CL345" s="848"/>
      <c r="CM345" s="848">
        <f t="shared" si="280"/>
        <v>100</v>
      </c>
      <c r="CN345" s="848"/>
      <c r="CO345" s="848"/>
      <c r="CP345" s="848"/>
      <c r="CQ345" s="848"/>
      <c r="CR345" s="848"/>
      <c r="CS345" s="848">
        <f t="shared" ref="CS345" si="285">CS346+DI347</f>
        <v>0</v>
      </c>
      <c r="CT345" s="848"/>
      <c r="CU345" s="848"/>
      <c r="CV345" s="848"/>
      <c r="CW345" s="848"/>
    </row>
    <row r="346" spans="1:117" ht="62.45" customHeight="1">
      <c r="A346" s="845"/>
      <c r="B346" s="846" t="s">
        <v>775</v>
      </c>
      <c r="C346" s="852" t="s">
        <v>970</v>
      </c>
      <c r="D346" s="846"/>
      <c r="E346" s="845"/>
      <c r="F346" s="853" t="s">
        <v>971</v>
      </c>
      <c r="G346" s="846" t="s">
        <v>972</v>
      </c>
      <c r="H346" s="850">
        <f t="shared" si="261"/>
        <v>233000</v>
      </c>
      <c r="I346" s="860"/>
      <c r="J346" s="860">
        <v>233000</v>
      </c>
      <c r="K346" s="848"/>
      <c r="L346" s="848"/>
      <c r="M346" s="848"/>
      <c r="N346" s="848"/>
      <c r="O346" s="848"/>
      <c r="P346" s="848"/>
      <c r="Q346" s="848"/>
      <c r="R346" s="848"/>
      <c r="S346" s="848"/>
      <c r="T346" s="855">
        <f>W346+AH346</f>
        <v>29867</v>
      </c>
      <c r="U346" s="848"/>
      <c r="V346" s="848"/>
      <c r="W346" s="855">
        <v>29867</v>
      </c>
      <c r="X346" s="848"/>
      <c r="Y346" s="848"/>
      <c r="Z346" s="848"/>
      <c r="AA346" s="848"/>
      <c r="AB346" s="848"/>
      <c r="AC346" s="848"/>
      <c r="AD346" s="848"/>
      <c r="AE346" s="848"/>
      <c r="AF346" s="848"/>
      <c r="AG346" s="848"/>
      <c r="AH346" s="855"/>
      <c r="AI346" s="855">
        <f>AL346+AX346</f>
        <v>32222.825000000001</v>
      </c>
      <c r="AJ346" s="855"/>
      <c r="AK346" s="855"/>
      <c r="AL346" s="855">
        <v>30000</v>
      </c>
      <c r="AM346" s="855"/>
      <c r="AN346" s="855"/>
      <c r="AO346" s="855"/>
      <c r="AP346" s="855"/>
      <c r="AQ346" s="855"/>
      <c r="AR346" s="855"/>
      <c r="AS346" s="855"/>
      <c r="AT346" s="855"/>
      <c r="AU346" s="855"/>
      <c r="AV346" s="855"/>
      <c r="AW346" s="855"/>
      <c r="AX346" s="855">
        <v>2222.8249999999998</v>
      </c>
      <c r="AY346" s="855">
        <f t="shared" si="279"/>
        <v>13443</v>
      </c>
      <c r="AZ346" s="855"/>
      <c r="BA346" s="855"/>
      <c r="BB346" s="855"/>
      <c r="BC346" s="855">
        <f>'[10]bieu cu'!H289</f>
        <v>13443</v>
      </c>
      <c r="BD346" s="855"/>
      <c r="BE346" s="855"/>
      <c r="BF346" s="855"/>
      <c r="BG346" s="855"/>
      <c r="BH346" s="855"/>
      <c r="BI346" s="855"/>
      <c r="BJ346" s="855"/>
      <c r="BK346" s="855"/>
      <c r="BL346" s="855"/>
      <c r="BM346" s="855"/>
      <c r="BN346" s="855"/>
      <c r="BO346" s="848">
        <f t="shared" si="265"/>
        <v>13443</v>
      </c>
      <c r="BP346" s="855"/>
      <c r="BQ346" s="855"/>
      <c r="BR346" s="855"/>
      <c r="BS346" s="855">
        <f>'[10]bieu cu'!M289</f>
        <v>13443</v>
      </c>
      <c r="BT346" s="855"/>
      <c r="BU346" s="855"/>
      <c r="BV346" s="855"/>
      <c r="BW346" s="855"/>
      <c r="BX346" s="855"/>
      <c r="BY346" s="855"/>
      <c r="BZ346" s="855"/>
      <c r="CA346" s="855"/>
      <c r="CB346" s="855"/>
      <c r="CC346" s="855"/>
      <c r="CD346" s="855"/>
      <c r="CE346" s="855"/>
      <c r="CF346" s="848">
        <f>BO346/AY346%</f>
        <v>100</v>
      </c>
      <c r="CG346" s="848"/>
      <c r="CH346" s="848"/>
      <c r="CI346" s="848"/>
      <c r="CJ346" s="848"/>
      <c r="CK346" s="848"/>
      <c r="CL346" s="848"/>
      <c r="CM346" s="848"/>
      <c r="CN346" s="848"/>
      <c r="CO346" s="848"/>
      <c r="CP346" s="848"/>
      <c r="CQ346" s="848"/>
      <c r="CR346" s="848"/>
      <c r="CS346" s="848"/>
      <c r="CT346" s="848"/>
      <c r="CU346" s="848"/>
      <c r="CV346" s="848"/>
      <c r="CW346" s="848"/>
    </row>
    <row r="347" spans="1:117" ht="27" customHeight="1">
      <c r="A347" s="845"/>
      <c r="B347" s="846" t="s">
        <v>775</v>
      </c>
      <c r="C347" s="852" t="s">
        <v>973</v>
      </c>
      <c r="D347" s="846"/>
      <c r="E347" s="845"/>
      <c r="F347" s="853" t="s">
        <v>967</v>
      </c>
      <c r="G347" s="846" t="s">
        <v>974</v>
      </c>
      <c r="H347" s="850">
        <f t="shared" si="261"/>
        <v>181374.21799999999</v>
      </c>
      <c r="I347" s="855"/>
      <c r="J347" s="855">
        <v>181374.21799999999</v>
      </c>
      <c r="K347" s="848"/>
      <c r="L347" s="848"/>
      <c r="M347" s="848"/>
      <c r="N347" s="848"/>
      <c r="O347" s="848"/>
      <c r="P347" s="848"/>
      <c r="Q347" s="848"/>
      <c r="R347" s="848"/>
      <c r="S347" s="848"/>
      <c r="T347" s="855">
        <f>U347+AH347+W347</f>
        <v>62607.635682</v>
      </c>
      <c r="U347" s="855">
        <f>14000+12060</f>
        <v>26060</v>
      </c>
      <c r="V347" s="848"/>
      <c r="W347" s="855">
        <v>35547.635682</v>
      </c>
      <c r="X347" s="848"/>
      <c r="Y347" s="848"/>
      <c r="Z347" s="848"/>
      <c r="AA347" s="848"/>
      <c r="AB347" s="848"/>
      <c r="AC347" s="848"/>
      <c r="AD347" s="848"/>
      <c r="AE347" s="848"/>
      <c r="AF347" s="848"/>
      <c r="AG347" s="848"/>
      <c r="AH347" s="855">
        <v>1000</v>
      </c>
      <c r="AI347" s="855">
        <f>SUM(AJ347:AX347)</f>
        <v>67254</v>
      </c>
      <c r="AJ347" s="855">
        <f>14000+10742</f>
        <v>24742</v>
      </c>
      <c r="AK347" s="855"/>
      <c r="AL347" s="855">
        <f>28452+12060+1000</f>
        <v>41512</v>
      </c>
      <c r="AM347" s="855"/>
      <c r="AN347" s="855"/>
      <c r="AO347" s="855"/>
      <c r="AP347" s="855"/>
      <c r="AQ347" s="855"/>
      <c r="AR347" s="855"/>
      <c r="AS347" s="855"/>
      <c r="AT347" s="855"/>
      <c r="AU347" s="855"/>
      <c r="AV347" s="855"/>
      <c r="AW347" s="855"/>
      <c r="AX347" s="855">
        <v>1000</v>
      </c>
      <c r="AY347" s="890"/>
      <c r="AZ347" s="890"/>
      <c r="BA347" s="890"/>
      <c r="BB347" s="890"/>
      <c r="BC347" s="890"/>
      <c r="BD347" s="890"/>
      <c r="BE347" s="890"/>
      <c r="BF347" s="890"/>
      <c r="BG347" s="890"/>
      <c r="BH347" s="890"/>
      <c r="BI347" s="890"/>
      <c r="BJ347" s="890"/>
      <c r="BK347" s="890"/>
      <c r="BL347" s="890"/>
      <c r="BM347" s="890"/>
      <c r="BN347" s="890"/>
      <c r="BO347" s="848">
        <f t="shared" si="265"/>
        <v>16536</v>
      </c>
      <c r="BP347" s="855"/>
      <c r="BQ347" s="855"/>
      <c r="BR347" s="855"/>
      <c r="BS347" s="855">
        <v>13192</v>
      </c>
      <c r="BT347" s="855"/>
      <c r="BU347" s="855"/>
      <c r="BV347" s="855">
        <v>2344</v>
      </c>
      <c r="BW347" s="855"/>
      <c r="BX347" s="855"/>
      <c r="BY347" s="855"/>
      <c r="BZ347" s="855"/>
      <c r="CA347" s="855"/>
      <c r="CB347" s="855"/>
      <c r="CC347" s="855"/>
      <c r="CD347" s="855"/>
      <c r="CE347" s="855">
        <v>1000</v>
      </c>
      <c r="CF347" s="855"/>
      <c r="CG347" s="848"/>
      <c r="CH347" s="848"/>
      <c r="CI347" s="848"/>
      <c r="CJ347" s="848"/>
      <c r="CK347" s="848"/>
      <c r="CL347" s="848"/>
      <c r="CM347" s="848"/>
      <c r="CN347" s="848"/>
      <c r="CO347" s="848"/>
      <c r="CP347" s="848"/>
      <c r="CQ347" s="848"/>
      <c r="CR347" s="848"/>
      <c r="CS347" s="855"/>
      <c r="CT347" s="848"/>
      <c r="CU347" s="848"/>
      <c r="CV347" s="848"/>
      <c r="CW347" s="848"/>
      <c r="CX347" s="848">
        <f>IF(BQ347=0,0,CG347/BE%)</f>
        <v>0</v>
      </c>
      <c r="CY347" s="848">
        <f>IF(BR347=0,0,CH347/BF%)</f>
        <v>0</v>
      </c>
      <c r="CZ347" s="891">
        <f>CI347/BS347%</f>
        <v>0</v>
      </c>
      <c r="DA347" s="848"/>
      <c r="DB347" s="848"/>
      <c r="DC347" s="891">
        <f>CL347/BV347%</f>
        <v>0</v>
      </c>
      <c r="DD347" s="848"/>
      <c r="DE347" s="848"/>
      <c r="DF347" s="848"/>
      <c r="DG347" s="848"/>
      <c r="DH347" s="848"/>
      <c r="DI347" s="848"/>
      <c r="DJ347" s="848"/>
      <c r="DK347" s="848"/>
      <c r="DL347" s="1146">
        <f>CU347/CE347%</f>
        <v>0</v>
      </c>
      <c r="DM347" s="1147"/>
    </row>
    <row r="348" spans="1:117" s="851" customFormat="1" ht="34.15" customHeight="1">
      <c r="A348" s="845" t="s">
        <v>975</v>
      </c>
      <c r="B348" s="845"/>
      <c r="C348" s="857" t="s">
        <v>976</v>
      </c>
      <c r="D348" s="846">
        <f>SUM(D349:D362)</f>
        <v>0</v>
      </c>
      <c r="E348" s="845">
        <f t="shared" ref="E348:CE348" si="286">SUM(E349:E362)</f>
        <v>0</v>
      </c>
      <c r="F348" s="847"/>
      <c r="G348" s="845"/>
      <c r="H348" s="850">
        <f t="shared" si="261"/>
        <v>6129.2</v>
      </c>
      <c r="I348" s="848">
        <f t="shared" ref="I348:AX348" si="287">SUM(I349:I362)</f>
        <v>6129.2</v>
      </c>
      <c r="J348" s="848">
        <f t="shared" si="287"/>
        <v>0</v>
      </c>
      <c r="K348" s="848">
        <f t="shared" si="287"/>
        <v>0</v>
      </c>
      <c r="L348" s="848">
        <f t="shared" si="287"/>
        <v>0</v>
      </c>
      <c r="M348" s="848">
        <f t="shared" si="287"/>
        <v>0</v>
      </c>
      <c r="N348" s="848">
        <f t="shared" si="287"/>
        <v>0</v>
      </c>
      <c r="O348" s="848">
        <f t="shared" si="287"/>
        <v>0</v>
      </c>
      <c r="P348" s="848">
        <f t="shared" si="287"/>
        <v>0</v>
      </c>
      <c r="Q348" s="848">
        <f t="shared" si="287"/>
        <v>0</v>
      </c>
      <c r="R348" s="848">
        <v>0</v>
      </c>
      <c r="S348" s="848">
        <f t="shared" si="287"/>
        <v>0</v>
      </c>
      <c r="T348" s="848">
        <f t="shared" si="287"/>
        <v>3473.3241050000006</v>
      </c>
      <c r="U348" s="848">
        <f t="shared" si="287"/>
        <v>3473.3241050000006</v>
      </c>
      <c r="V348" s="848">
        <f t="shared" si="287"/>
        <v>0</v>
      </c>
      <c r="W348" s="848">
        <f t="shared" si="287"/>
        <v>0</v>
      </c>
      <c r="X348" s="848">
        <f t="shared" si="287"/>
        <v>0</v>
      </c>
      <c r="Y348" s="848">
        <f t="shared" si="287"/>
        <v>0</v>
      </c>
      <c r="Z348" s="848">
        <f t="shared" si="287"/>
        <v>0</v>
      </c>
      <c r="AA348" s="848">
        <f t="shared" si="287"/>
        <v>0</v>
      </c>
      <c r="AB348" s="848">
        <f t="shared" si="287"/>
        <v>0</v>
      </c>
      <c r="AC348" s="848">
        <f t="shared" si="287"/>
        <v>0</v>
      </c>
      <c r="AD348" s="848">
        <f t="shared" si="287"/>
        <v>0</v>
      </c>
      <c r="AE348" s="848">
        <f t="shared" si="287"/>
        <v>0</v>
      </c>
      <c r="AF348" s="848">
        <f t="shared" si="287"/>
        <v>0</v>
      </c>
      <c r="AG348" s="848">
        <f t="shared" si="287"/>
        <v>0</v>
      </c>
      <c r="AH348" s="848">
        <f t="shared" si="287"/>
        <v>0</v>
      </c>
      <c r="AI348" s="848">
        <f t="shared" si="287"/>
        <v>5984.268</v>
      </c>
      <c r="AJ348" s="848">
        <f t="shared" si="287"/>
        <v>5424</v>
      </c>
      <c r="AK348" s="848">
        <f t="shared" si="287"/>
        <v>0</v>
      </c>
      <c r="AL348" s="848">
        <f t="shared" si="287"/>
        <v>0</v>
      </c>
      <c r="AM348" s="848">
        <f t="shared" si="287"/>
        <v>0</v>
      </c>
      <c r="AN348" s="848">
        <f t="shared" si="287"/>
        <v>0</v>
      </c>
      <c r="AO348" s="848">
        <f t="shared" si="287"/>
        <v>0</v>
      </c>
      <c r="AP348" s="848">
        <f t="shared" si="287"/>
        <v>0</v>
      </c>
      <c r="AQ348" s="848">
        <f t="shared" si="287"/>
        <v>0</v>
      </c>
      <c r="AR348" s="848">
        <f t="shared" si="287"/>
        <v>0</v>
      </c>
      <c r="AS348" s="848">
        <f t="shared" si="287"/>
        <v>0</v>
      </c>
      <c r="AT348" s="848">
        <f t="shared" si="287"/>
        <v>0</v>
      </c>
      <c r="AU348" s="848">
        <f t="shared" si="287"/>
        <v>0</v>
      </c>
      <c r="AV348" s="848">
        <f t="shared" si="287"/>
        <v>0</v>
      </c>
      <c r="AW348" s="848">
        <f t="shared" si="287"/>
        <v>0</v>
      </c>
      <c r="AX348" s="848">
        <f t="shared" si="287"/>
        <v>560.26800000000003</v>
      </c>
      <c r="AY348" s="848">
        <f t="shared" si="286"/>
        <v>0</v>
      </c>
      <c r="AZ348" s="848">
        <f t="shared" si="286"/>
        <v>0</v>
      </c>
      <c r="BA348" s="848">
        <f t="shared" si="286"/>
        <v>0</v>
      </c>
      <c r="BB348" s="848">
        <f t="shared" si="286"/>
        <v>0</v>
      </c>
      <c r="BC348" s="848">
        <f t="shared" si="286"/>
        <v>0</v>
      </c>
      <c r="BD348" s="848">
        <f t="shared" si="286"/>
        <v>0</v>
      </c>
      <c r="BE348" s="848">
        <f t="shared" si="286"/>
        <v>0</v>
      </c>
      <c r="BF348" s="848">
        <f t="shared" si="286"/>
        <v>0</v>
      </c>
      <c r="BG348" s="848">
        <f t="shared" si="286"/>
        <v>0</v>
      </c>
      <c r="BH348" s="848">
        <f t="shared" si="286"/>
        <v>0</v>
      </c>
      <c r="BI348" s="848">
        <f t="shared" si="286"/>
        <v>0</v>
      </c>
      <c r="BJ348" s="848">
        <f t="shared" si="286"/>
        <v>0</v>
      </c>
      <c r="BK348" s="848">
        <f t="shared" si="286"/>
        <v>0</v>
      </c>
      <c r="BL348" s="848">
        <f t="shared" si="286"/>
        <v>0</v>
      </c>
      <c r="BM348" s="848">
        <f t="shared" si="286"/>
        <v>0</v>
      </c>
      <c r="BN348" s="848">
        <f t="shared" si="286"/>
        <v>0</v>
      </c>
      <c r="BO348" s="848">
        <f t="shared" si="265"/>
        <v>2871.3798459999998</v>
      </c>
      <c r="BP348" s="848">
        <f>SUM(BP349:BP362)</f>
        <v>2312.3288459999999</v>
      </c>
      <c r="BQ348" s="848">
        <f t="shared" si="286"/>
        <v>559.05100000000004</v>
      </c>
      <c r="BR348" s="848">
        <f t="shared" si="286"/>
        <v>0</v>
      </c>
      <c r="BS348" s="848">
        <f t="shared" si="286"/>
        <v>0</v>
      </c>
      <c r="BT348" s="848">
        <f t="shared" si="286"/>
        <v>0</v>
      </c>
      <c r="BU348" s="848">
        <f t="shared" si="286"/>
        <v>0</v>
      </c>
      <c r="BV348" s="848">
        <f t="shared" si="286"/>
        <v>0</v>
      </c>
      <c r="BW348" s="848">
        <f t="shared" si="286"/>
        <v>0</v>
      </c>
      <c r="BX348" s="848">
        <f t="shared" si="286"/>
        <v>0</v>
      </c>
      <c r="BY348" s="848">
        <f t="shared" si="286"/>
        <v>0</v>
      </c>
      <c r="BZ348" s="848">
        <f t="shared" si="286"/>
        <v>0</v>
      </c>
      <c r="CA348" s="848">
        <f t="shared" si="286"/>
        <v>0</v>
      </c>
      <c r="CB348" s="848">
        <f t="shared" si="286"/>
        <v>0</v>
      </c>
      <c r="CC348" s="848">
        <f t="shared" si="286"/>
        <v>0</v>
      </c>
      <c r="CD348" s="848">
        <f t="shared" si="286"/>
        <v>0</v>
      </c>
      <c r="CE348" s="848">
        <f t="shared" si="286"/>
        <v>0</v>
      </c>
      <c r="CF348" s="848"/>
      <c r="CG348" s="848" t="e">
        <f t="shared" si="270"/>
        <v>#DIV/0!</v>
      </c>
      <c r="CH348" s="848" t="e">
        <f t="shared" si="270"/>
        <v>#DIV/0!</v>
      </c>
      <c r="CI348" s="848" t="e">
        <f t="shared" si="270"/>
        <v>#DIV/0!</v>
      </c>
      <c r="CJ348" s="848" t="e">
        <f t="shared" si="270"/>
        <v>#DIV/0!</v>
      </c>
      <c r="CK348" s="848" t="e">
        <f t="shared" si="280"/>
        <v>#DIV/0!</v>
      </c>
      <c r="CL348" s="848" t="e">
        <f t="shared" si="280"/>
        <v>#DIV/0!</v>
      </c>
      <c r="CM348" s="848" t="e">
        <f t="shared" si="280"/>
        <v>#DIV/0!</v>
      </c>
      <c r="CN348" s="848" t="e">
        <f t="shared" si="280"/>
        <v>#DIV/0!</v>
      </c>
      <c r="CO348" s="848" t="e">
        <f t="shared" si="280"/>
        <v>#DIV/0!</v>
      </c>
      <c r="CP348" s="848" t="e">
        <f t="shared" si="271"/>
        <v>#DIV/0!</v>
      </c>
      <c r="CQ348" s="848" t="e">
        <f t="shared" si="271"/>
        <v>#DIV/0!</v>
      </c>
      <c r="CR348" s="848" t="e">
        <f t="shared" si="271"/>
        <v>#DIV/0!</v>
      </c>
      <c r="CS348" s="848"/>
      <c r="CT348" s="848" t="e">
        <f t="shared" ref="CT348" si="288">CB348/BM348*100</f>
        <v>#DIV/0!</v>
      </c>
      <c r="CU348" s="848" t="e">
        <f t="shared" ref="CU348:CW411" si="289">CC348/BL348*100</f>
        <v>#DIV/0!</v>
      </c>
      <c r="CV348" s="848" t="e">
        <f t="shared" si="289"/>
        <v>#DIV/0!</v>
      </c>
      <c r="CW348" s="848" t="e">
        <f t="shared" si="289"/>
        <v>#DIV/0!</v>
      </c>
    </row>
    <row r="349" spans="1:117" ht="34.9" customHeight="1">
      <c r="A349" s="845"/>
      <c r="B349" s="852" t="s">
        <v>976</v>
      </c>
      <c r="C349" s="852" t="s">
        <v>977</v>
      </c>
      <c r="D349" s="846"/>
      <c r="E349" s="845"/>
      <c r="F349" s="853">
        <v>2015</v>
      </c>
      <c r="G349" s="846" t="s">
        <v>978</v>
      </c>
      <c r="H349" s="850">
        <f t="shared" si="261"/>
        <v>573.20000000000005</v>
      </c>
      <c r="I349" s="876">
        <v>573.20000000000005</v>
      </c>
      <c r="J349" s="848"/>
      <c r="K349" s="848"/>
      <c r="L349" s="848"/>
      <c r="M349" s="848"/>
      <c r="N349" s="848"/>
      <c r="O349" s="848"/>
      <c r="P349" s="848"/>
      <c r="Q349" s="848"/>
      <c r="R349" s="848"/>
      <c r="S349" s="848"/>
      <c r="T349" s="855">
        <f t="shared" si="278"/>
        <v>0</v>
      </c>
      <c r="U349" s="848"/>
      <c r="V349" s="848"/>
      <c r="W349" s="848"/>
      <c r="X349" s="848"/>
      <c r="Y349" s="848"/>
      <c r="Z349" s="848"/>
      <c r="AA349" s="848"/>
      <c r="AB349" s="848"/>
      <c r="AC349" s="848"/>
      <c r="AD349" s="848"/>
      <c r="AE349" s="848"/>
      <c r="AF349" s="848"/>
      <c r="AG349" s="848"/>
      <c r="AH349" s="855">
        <v>0</v>
      </c>
      <c r="AI349" s="855">
        <f>AX349</f>
        <v>560.26800000000003</v>
      </c>
      <c r="AJ349" s="855"/>
      <c r="AK349" s="855"/>
      <c r="AL349" s="855"/>
      <c r="AM349" s="855"/>
      <c r="AN349" s="855"/>
      <c r="AO349" s="855"/>
      <c r="AP349" s="855"/>
      <c r="AQ349" s="855"/>
      <c r="AR349" s="855"/>
      <c r="AS349" s="855"/>
      <c r="AT349" s="855"/>
      <c r="AU349" s="855"/>
      <c r="AV349" s="855"/>
      <c r="AW349" s="855"/>
      <c r="AX349" s="855">
        <v>560.26800000000003</v>
      </c>
      <c r="AY349" s="855">
        <f t="shared" si="279"/>
        <v>0</v>
      </c>
      <c r="AZ349" s="855"/>
      <c r="BA349" s="855"/>
      <c r="BB349" s="855"/>
      <c r="BC349" s="855"/>
      <c r="BD349" s="855"/>
      <c r="BE349" s="855"/>
      <c r="BF349" s="855"/>
      <c r="BG349" s="855"/>
      <c r="BH349" s="855"/>
      <c r="BI349" s="855"/>
      <c r="BJ349" s="855"/>
      <c r="BK349" s="855"/>
      <c r="BL349" s="855"/>
      <c r="BM349" s="855"/>
      <c r="BN349" s="855"/>
      <c r="BO349" s="848">
        <f t="shared" si="265"/>
        <v>559.05100000000004</v>
      </c>
      <c r="BP349" s="855"/>
      <c r="BQ349" s="855">
        <v>559.05100000000004</v>
      </c>
      <c r="BR349" s="855"/>
      <c r="BS349" s="855"/>
      <c r="BT349" s="855"/>
      <c r="BU349" s="855"/>
      <c r="BV349" s="855"/>
      <c r="BW349" s="855"/>
      <c r="BX349" s="855"/>
      <c r="BY349" s="855"/>
      <c r="BZ349" s="855"/>
      <c r="CA349" s="855"/>
      <c r="CB349" s="855"/>
      <c r="CC349" s="855"/>
      <c r="CD349" s="855"/>
      <c r="CE349" s="855"/>
      <c r="CF349" s="848"/>
      <c r="CG349" s="848"/>
      <c r="CH349" s="848"/>
      <c r="CI349" s="848"/>
      <c r="CJ349" s="848"/>
      <c r="CK349" s="848"/>
      <c r="CL349" s="848"/>
      <c r="CM349" s="848"/>
      <c r="CN349" s="848"/>
      <c r="CO349" s="848"/>
      <c r="CP349" s="848"/>
      <c r="CQ349" s="848"/>
      <c r="CR349" s="848"/>
      <c r="CS349" s="848"/>
      <c r="CT349" s="848"/>
      <c r="CU349" s="848"/>
      <c r="CV349" s="848"/>
      <c r="CW349" s="848"/>
    </row>
    <row r="350" spans="1:117" ht="74.45" customHeight="1">
      <c r="A350" s="845"/>
      <c r="B350" s="852" t="s">
        <v>976</v>
      </c>
      <c r="C350" s="852" t="s">
        <v>979</v>
      </c>
      <c r="D350" s="846"/>
      <c r="E350" s="845"/>
      <c r="F350" s="853" t="s">
        <v>544</v>
      </c>
      <c r="G350" s="853" t="s">
        <v>980</v>
      </c>
      <c r="H350" s="850">
        <f t="shared" si="261"/>
        <v>1139</v>
      </c>
      <c r="I350" s="855">
        <v>1139</v>
      </c>
      <c r="J350" s="848"/>
      <c r="K350" s="848"/>
      <c r="L350" s="848"/>
      <c r="M350" s="848"/>
      <c r="N350" s="848"/>
      <c r="O350" s="848"/>
      <c r="P350" s="848"/>
      <c r="Q350" s="848"/>
      <c r="R350" s="848"/>
      <c r="S350" s="848"/>
      <c r="T350" s="855">
        <f t="shared" si="278"/>
        <v>429</v>
      </c>
      <c r="U350" s="855">
        <v>429</v>
      </c>
      <c r="V350" s="848"/>
      <c r="W350" s="848"/>
      <c r="X350" s="848"/>
      <c r="Y350" s="848"/>
      <c r="Z350" s="848"/>
      <c r="AA350" s="848"/>
      <c r="AB350" s="848"/>
      <c r="AC350" s="848"/>
      <c r="AD350" s="848"/>
      <c r="AE350" s="848"/>
      <c r="AF350" s="848"/>
      <c r="AG350" s="848"/>
      <c r="AH350" s="855"/>
      <c r="AI350" s="855">
        <f t="shared" ref="AI350:AI355" si="290">AJ350</f>
        <v>879</v>
      </c>
      <c r="AJ350" s="855">
        <v>879</v>
      </c>
      <c r="AK350" s="855"/>
      <c r="AL350" s="855"/>
      <c r="AM350" s="855"/>
      <c r="AN350" s="855"/>
      <c r="AO350" s="855"/>
      <c r="AP350" s="855"/>
      <c r="AQ350" s="855"/>
      <c r="AR350" s="855"/>
      <c r="AS350" s="855"/>
      <c r="AT350" s="855"/>
      <c r="AU350" s="855"/>
      <c r="AV350" s="855"/>
      <c r="AW350" s="855"/>
      <c r="AX350" s="855"/>
      <c r="AY350" s="855">
        <f t="shared" si="279"/>
        <v>0</v>
      </c>
      <c r="AZ350" s="855"/>
      <c r="BA350" s="855"/>
      <c r="BB350" s="855"/>
      <c r="BC350" s="855"/>
      <c r="BD350" s="855"/>
      <c r="BE350" s="855"/>
      <c r="BF350" s="855"/>
      <c r="BG350" s="855"/>
      <c r="BH350" s="855"/>
      <c r="BI350" s="855"/>
      <c r="BJ350" s="855"/>
      <c r="BK350" s="855"/>
      <c r="BL350" s="855"/>
      <c r="BM350" s="855"/>
      <c r="BN350" s="855"/>
      <c r="BO350" s="848">
        <f t="shared" si="265"/>
        <v>879</v>
      </c>
      <c r="BP350" s="855">
        <v>879</v>
      </c>
      <c r="BQ350" s="855"/>
      <c r="BR350" s="855"/>
      <c r="BS350" s="855"/>
      <c r="BT350" s="855"/>
      <c r="BU350" s="855"/>
      <c r="BV350" s="855"/>
      <c r="BW350" s="855"/>
      <c r="BX350" s="855"/>
      <c r="BY350" s="855"/>
      <c r="BZ350" s="855"/>
      <c r="CA350" s="855"/>
      <c r="CB350" s="855"/>
      <c r="CC350" s="855"/>
      <c r="CD350" s="855"/>
      <c r="CE350" s="855"/>
      <c r="CF350" s="848"/>
      <c r="CG350" s="848"/>
      <c r="CH350" s="848"/>
      <c r="CI350" s="848"/>
      <c r="CJ350" s="848"/>
      <c r="CK350" s="848"/>
      <c r="CL350" s="848"/>
      <c r="CM350" s="848"/>
      <c r="CN350" s="848"/>
      <c r="CO350" s="848"/>
      <c r="CP350" s="848"/>
      <c r="CQ350" s="848"/>
      <c r="CR350" s="848"/>
      <c r="CS350" s="848"/>
      <c r="CT350" s="848"/>
      <c r="CU350" s="848"/>
      <c r="CV350" s="848"/>
      <c r="CW350" s="848"/>
    </row>
    <row r="351" spans="1:117" ht="43.15" customHeight="1">
      <c r="A351" s="845"/>
      <c r="B351" s="852" t="s">
        <v>976</v>
      </c>
      <c r="C351" s="852" t="s">
        <v>981</v>
      </c>
      <c r="D351" s="846"/>
      <c r="E351" s="845"/>
      <c r="F351" s="853" t="s">
        <v>544</v>
      </c>
      <c r="G351" s="853" t="s">
        <v>980</v>
      </c>
      <c r="H351" s="850">
        <f t="shared" si="261"/>
        <v>302</v>
      </c>
      <c r="I351" s="855">
        <v>302</v>
      </c>
      <c r="J351" s="848"/>
      <c r="K351" s="848"/>
      <c r="L351" s="848"/>
      <c r="M351" s="848"/>
      <c r="N351" s="848"/>
      <c r="O351" s="848"/>
      <c r="P351" s="848"/>
      <c r="Q351" s="848"/>
      <c r="R351" s="848"/>
      <c r="S351" s="848"/>
      <c r="T351" s="855">
        <f t="shared" si="278"/>
        <v>225.018</v>
      </c>
      <c r="U351" s="855">
        <v>225.018</v>
      </c>
      <c r="V351" s="848"/>
      <c r="W351" s="848"/>
      <c r="X351" s="848"/>
      <c r="Y351" s="848"/>
      <c r="Z351" s="848"/>
      <c r="AA351" s="848"/>
      <c r="AB351" s="848"/>
      <c r="AC351" s="848"/>
      <c r="AD351" s="848"/>
      <c r="AE351" s="848"/>
      <c r="AF351" s="848"/>
      <c r="AG351" s="848"/>
      <c r="AH351" s="855"/>
      <c r="AI351" s="855">
        <f t="shared" si="290"/>
        <v>230</v>
      </c>
      <c r="AJ351" s="855">
        <v>230</v>
      </c>
      <c r="AK351" s="855"/>
      <c r="AL351" s="855"/>
      <c r="AM351" s="855"/>
      <c r="AN351" s="855"/>
      <c r="AO351" s="855"/>
      <c r="AP351" s="855"/>
      <c r="AQ351" s="855"/>
      <c r="AR351" s="855"/>
      <c r="AS351" s="855"/>
      <c r="AT351" s="855"/>
      <c r="AU351" s="855"/>
      <c r="AV351" s="855"/>
      <c r="AW351" s="855"/>
      <c r="AX351" s="855"/>
      <c r="AY351" s="855">
        <f t="shared" si="279"/>
        <v>0</v>
      </c>
      <c r="AZ351" s="855"/>
      <c r="BA351" s="855"/>
      <c r="BB351" s="855"/>
      <c r="BC351" s="855"/>
      <c r="BD351" s="855"/>
      <c r="BE351" s="855"/>
      <c r="BF351" s="855"/>
      <c r="BG351" s="855"/>
      <c r="BH351" s="855"/>
      <c r="BI351" s="855"/>
      <c r="BJ351" s="855"/>
      <c r="BK351" s="855"/>
      <c r="BL351" s="855"/>
      <c r="BM351" s="855"/>
      <c r="BN351" s="855"/>
      <c r="BO351" s="848">
        <f t="shared" si="265"/>
        <v>4.9819250000000004</v>
      </c>
      <c r="BP351" s="855">
        <v>4.9819250000000004</v>
      </c>
      <c r="BQ351" s="855"/>
      <c r="BR351" s="855"/>
      <c r="BS351" s="855"/>
      <c r="BT351" s="855"/>
      <c r="BU351" s="855"/>
      <c r="BV351" s="855"/>
      <c r="BW351" s="855"/>
      <c r="BX351" s="855"/>
      <c r="BY351" s="855"/>
      <c r="BZ351" s="855"/>
      <c r="CA351" s="855"/>
      <c r="CB351" s="855"/>
      <c r="CC351" s="855"/>
      <c r="CD351" s="855"/>
      <c r="CE351" s="855"/>
      <c r="CF351" s="848"/>
      <c r="CG351" s="848"/>
      <c r="CH351" s="848"/>
      <c r="CI351" s="848"/>
      <c r="CJ351" s="848"/>
      <c r="CK351" s="848"/>
      <c r="CL351" s="848"/>
      <c r="CM351" s="848"/>
      <c r="CN351" s="848"/>
      <c r="CO351" s="848"/>
      <c r="CP351" s="848"/>
      <c r="CQ351" s="848"/>
      <c r="CR351" s="848"/>
      <c r="CS351" s="848"/>
      <c r="CT351" s="848"/>
      <c r="CU351" s="848"/>
      <c r="CV351" s="848"/>
      <c r="CW351" s="848"/>
    </row>
    <row r="352" spans="1:117" ht="58.9" customHeight="1">
      <c r="A352" s="845"/>
      <c r="B352" s="852" t="s">
        <v>976</v>
      </c>
      <c r="C352" s="852" t="s">
        <v>982</v>
      </c>
      <c r="D352" s="846"/>
      <c r="E352" s="845"/>
      <c r="F352" s="853" t="s">
        <v>544</v>
      </c>
      <c r="G352" s="853" t="s">
        <v>980</v>
      </c>
      <c r="H352" s="850">
        <f t="shared" si="261"/>
        <v>527</v>
      </c>
      <c r="I352" s="855">
        <v>527</v>
      </c>
      <c r="J352" s="848"/>
      <c r="K352" s="848"/>
      <c r="L352" s="848"/>
      <c r="M352" s="848"/>
      <c r="N352" s="848"/>
      <c r="O352" s="848"/>
      <c r="P352" s="848"/>
      <c r="Q352" s="848"/>
      <c r="R352" s="848"/>
      <c r="S352" s="848"/>
      <c r="T352" s="855">
        <f t="shared" si="278"/>
        <v>0</v>
      </c>
      <c r="U352" s="855">
        <v>0</v>
      </c>
      <c r="V352" s="848"/>
      <c r="W352" s="848"/>
      <c r="X352" s="848"/>
      <c r="Y352" s="848"/>
      <c r="Z352" s="848"/>
      <c r="AA352" s="848"/>
      <c r="AB352" s="848"/>
      <c r="AC352" s="848"/>
      <c r="AD352" s="848"/>
      <c r="AE352" s="848"/>
      <c r="AF352" s="848"/>
      <c r="AG352" s="848"/>
      <c r="AH352" s="855"/>
      <c r="AI352" s="855">
        <f t="shared" si="290"/>
        <v>400</v>
      </c>
      <c r="AJ352" s="855">
        <v>400</v>
      </c>
      <c r="AK352" s="855"/>
      <c r="AL352" s="855"/>
      <c r="AM352" s="855"/>
      <c r="AN352" s="855"/>
      <c r="AO352" s="855"/>
      <c r="AP352" s="855"/>
      <c r="AQ352" s="855"/>
      <c r="AR352" s="855"/>
      <c r="AS352" s="855"/>
      <c r="AT352" s="855"/>
      <c r="AU352" s="855"/>
      <c r="AV352" s="855"/>
      <c r="AW352" s="855"/>
      <c r="AX352" s="855"/>
      <c r="AY352" s="855">
        <f t="shared" si="279"/>
        <v>0</v>
      </c>
      <c r="AZ352" s="855"/>
      <c r="BA352" s="855"/>
      <c r="BB352" s="855"/>
      <c r="BC352" s="855"/>
      <c r="BD352" s="855"/>
      <c r="BE352" s="855"/>
      <c r="BF352" s="855"/>
      <c r="BG352" s="855"/>
      <c r="BH352" s="855"/>
      <c r="BI352" s="855"/>
      <c r="BJ352" s="855"/>
      <c r="BK352" s="855"/>
      <c r="BL352" s="855"/>
      <c r="BM352" s="855"/>
      <c r="BN352" s="855"/>
      <c r="BO352" s="848">
        <f t="shared" si="265"/>
        <v>400</v>
      </c>
      <c r="BP352" s="855">
        <v>400</v>
      </c>
      <c r="BQ352" s="855"/>
      <c r="BR352" s="855"/>
      <c r="BS352" s="855"/>
      <c r="BT352" s="855"/>
      <c r="BU352" s="855"/>
      <c r="BV352" s="855"/>
      <c r="BW352" s="855"/>
      <c r="BX352" s="855"/>
      <c r="BY352" s="855"/>
      <c r="BZ352" s="855"/>
      <c r="CA352" s="855"/>
      <c r="CB352" s="855"/>
      <c r="CC352" s="855"/>
      <c r="CD352" s="855"/>
      <c r="CE352" s="855"/>
      <c r="CF352" s="848"/>
      <c r="CG352" s="848"/>
      <c r="CH352" s="848"/>
      <c r="CI352" s="848"/>
      <c r="CJ352" s="848"/>
      <c r="CK352" s="848"/>
      <c r="CL352" s="848"/>
      <c r="CM352" s="848"/>
      <c r="CN352" s="848"/>
      <c r="CO352" s="848"/>
      <c r="CP352" s="848"/>
      <c r="CQ352" s="848"/>
      <c r="CR352" s="848"/>
      <c r="CS352" s="848"/>
      <c r="CT352" s="848"/>
      <c r="CU352" s="848"/>
      <c r="CV352" s="848"/>
      <c r="CW352" s="848"/>
    </row>
    <row r="353" spans="1:101" ht="58.9" customHeight="1">
      <c r="A353" s="845"/>
      <c r="B353" s="852" t="s">
        <v>976</v>
      </c>
      <c r="C353" s="852" t="s">
        <v>983</v>
      </c>
      <c r="D353" s="846"/>
      <c r="E353" s="845"/>
      <c r="F353" s="853" t="s">
        <v>544</v>
      </c>
      <c r="G353" s="853" t="s">
        <v>980</v>
      </c>
      <c r="H353" s="850">
        <f t="shared" si="261"/>
        <v>0</v>
      </c>
      <c r="I353" s="848"/>
      <c r="J353" s="848"/>
      <c r="K353" s="848"/>
      <c r="L353" s="848"/>
      <c r="M353" s="848"/>
      <c r="N353" s="848"/>
      <c r="O353" s="848"/>
      <c r="P353" s="848"/>
      <c r="Q353" s="848"/>
      <c r="R353" s="848"/>
      <c r="S353" s="848"/>
      <c r="T353" s="855">
        <f t="shared" si="278"/>
        <v>839.63800000000003</v>
      </c>
      <c r="U353" s="855">
        <v>839.63800000000003</v>
      </c>
      <c r="V353" s="848"/>
      <c r="W353" s="848"/>
      <c r="X353" s="848"/>
      <c r="Y353" s="848"/>
      <c r="Z353" s="848"/>
      <c r="AA353" s="848"/>
      <c r="AB353" s="848"/>
      <c r="AC353" s="848"/>
      <c r="AD353" s="848"/>
      <c r="AE353" s="848"/>
      <c r="AF353" s="848"/>
      <c r="AG353" s="848"/>
      <c r="AH353" s="855"/>
      <c r="AI353" s="855">
        <f t="shared" si="290"/>
        <v>879</v>
      </c>
      <c r="AJ353" s="855">
        <v>879</v>
      </c>
      <c r="AK353" s="855"/>
      <c r="AL353" s="855"/>
      <c r="AM353" s="855"/>
      <c r="AN353" s="855"/>
      <c r="AO353" s="855"/>
      <c r="AP353" s="855"/>
      <c r="AQ353" s="855"/>
      <c r="AR353" s="855"/>
      <c r="AS353" s="855"/>
      <c r="AT353" s="855"/>
      <c r="AU353" s="855"/>
      <c r="AV353" s="855"/>
      <c r="AW353" s="855"/>
      <c r="AX353" s="855"/>
      <c r="AY353" s="855">
        <f t="shared" si="279"/>
        <v>0</v>
      </c>
      <c r="AZ353" s="855"/>
      <c r="BA353" s="855"/>
      <c r="BB353" s="855"/>
      <c r="BC353" s="855"/>
      <c r="BD353" s="855"/>
      <c r="BE353" s="855"/>
      <c r="BF353" s="855"/>
      <c r="BG353" s="855"/>
      <c r="BH353" s="855"/>
      <c r="BI353" s="855"/>
      <c r="BJ353" s="855"/>
      <c r="BK353" s="855"/>
      <c r="BL353" s="855"/>
      <c r="BM353" s="855"/>
      <c r="BN353" s="855"/>
      <c r="BO353" s="848">
        <f t="shared" si="265"/>
        <v>19.387487</v>
      </c>
      <c r="BP353" s="855">
        <v>19.387487</v>
      </c>
      <c r="BQ353" s="855"/>
      <c r="BR353" s="855"/>
      <c r="BS353" s="855"/>
      <c r="BT353" s="855"/>
      <c r="BU353" s="855"/>
      <c r="BV353" s="855"/>
      <c r="BW353" s="855"/>
      <c r="BX353" s="855"/>
      <c r="BY353" s="855"/>
      <c r="BZ353" s="855"/>
      <c r="CA353" s="855"/>
      <c r="CB353" s="855"/>
      <c r="CC353" s="855"/>
      <c r="CD353" s="855"/>
      <c r="CE353" s="855"/>
      <c r="CF353" s="848"/>
      <c r="CG353" s="848"/>
      <c r="CH353" s="848"/>
      <c r="CI353" s="848"/>
      <c r="CJ353" s="848"/>
      <c r="CK353" s="848"/>
      <c r="CL353" s="848"/>
      <c r="CM353" s="848"/>
      <c r="CN353" s="848"/>
      <c r="CO353" s="848"/>
      <c r="CP353" s="848"/>
      <c r="CQ353" s="848"/>
      <c r="CR353" s="848"/>
      <c r="CS353" s="848"/>
      <c r="CT353" s="848"/>
      <c r="CU353" s="848"/>
      <c r="CV353" s="848"/>
      <c r="CW353" s="848"/>
    </row>
    <row r="354" spans="1:101" ht="58.9" customHeight="1">
      <c r="A354" s="845"/>
      <c r="B354" s="852" t="s">
        <v>976</v>
      </c>
      <c r="C354" s="852" t="s">
        <v>984</v>
      </c>
      <c r="D354" s="846"/>
      <c r="E354" s="845"/>
      <c r="F354" s="853" t="s">
        <v>544</v>
      </c>
      <c r="G354" s="853" t="s">
        <v>980</v>
      </c>
      <c r="H354" s="850">
        <f t="shared" si="261"/>
        <v>1147</v>
      </c>
      <c r="I354" s="855">
        <v>1147</v>
      </c>
      <c r="J354" s="848"/>
      <c r="K354" s="848"/>
      <c r="L354" s="848"/>
      <c r="M354" s="848"/>
      <c r="N354" s="848"/>
      <c r="O354" s="848"/>
      <c r="P354" s="848"/>
      <c r="Q354" s="848"/>
      <c r="R354" s="848"/>
      <c r="S354" s="848"/>
      <c r="T354" s="855">
        <f t="shared" si="278"/>
        <v>812.6</v>
      </c>
      <c r="U354" s="855">
        <v>812.6</v>
      </c>
      <c r="V354" s="848"/>
      <c r="W354" s="848"/>
      <c r="X354" s="848"/>
      <c r="Y354" s="848"/>
      <c r="Z354" s="848"/>
      <c r="AA354" s="848"/>
      <c r="AB354" s="848"/>
      <c r="AC354" s="848"/>
      <c r="AD354" s="848"/>
      <c r="AE354" s="848"/>
      <c r="AF354" s="848"/>
      <c r="AG354" s="848"/>
      <c r="AH354" s="855"/>
      <c r="AI354" s="855">
        <f t="shared" si="290"/>
        <v>879</v>
      </c>
      <c r="AJ354" s="855">
        <v>879</v>
      </c>
      <c r="AK354" s="855"/>
      <c r="AL354" s="855"/>
      <c r="AM354" s="855"/>
      <c r="AN354" s="855"/>
      <c r="AO354" s="855"/>
      <c r="AP354" s="855"/>
      <c r="AQ354" s="855"/>
      <c r="AR354" s="855"/>
      <c r="AS354" s="855"/>
      <c r="AT354" s="855"/>
      <c r="AU354" s="855"/>
      <c r="AV354" s="855"/>
      <c r="AW354" s="855"/>
      <c r="AX354" s="855"/>
      <c r="AY354" s="855">
        <f t="shared" si="279"/>
        <v>0</v>
      </c>
      <c r="AZ354" s="855"/>
      <c r="BA354" s="855"/>
      <c r="BB354" s="855"/>
      <c r="BC354" s="855"/>
      <c r="BD354" s="855"/>
      <c r="BE354" s="855"/>
      <c r="BF354" s="855"/>
      <c r="BG354" s="855"/>
      <c r="BH354" s="855"/>
      <c r="BI354" s="855"/>
      <c r="BJ354" s="855"/>
      <c r="BK354" s="855"/>
      <c r="BL354" s="855"/>
      <c r="BM354" s="855"/>
      <c r="BN354" s="855"/>
      <c r="BO354" s="848">
        <f t="shared" si="265"/>
        <v>62.691648999999998</v>
      </c>
      <c r="BP354" s="855">
        <v>62.691648999999998</v>
      </c>
      <c r="BQ354" s="855"/>
      <c r="BR354" s="855"/>
      <c r="BS354" s="855"/>
      <c r="BT354" s="855"/>
      <c r="BU354" s="855"/>
      <c r="BV354" s="855"/>
      <c r="BW354" s="855"/>
      <c r="BX354" s="855"/>
      <c r="BY354" s="855"/>
      <c r="BZ354" s="855"/>
      <c r="CA354" s="855"/>
      <c r="CB354" s="855"/>
      <c r="CC354" s="855"/>
      <c r="CD354" s="855"/>
      <c r="CE354" s="855"/>
      <c r="CF354" s="848"/>
      <c r="CG354" s="848"/>
      <c r="CH354" s="848"/>
      <c r="CI354" s="848"/>
      <c r="CJ354" s="848"/>
      <c r="CK354" s="848"/>
      <c r="CL354" s="848"/>
      <c r="CM354" s="848"/>
      <c r="CN354" s="848"/>
      <c r="CO354" s="848"/>
      <c r="CP354" s="848"/>
      <c r="CQ354" s="848"/>
      <c r="CR354" s="848"/>
      <c r="CS354" s="848"/>
      <c r="CT354" s="848"/>
      <c r="CU354" s="848"/>
      <c r="CV354" s="848"/>
      <c r="CW354" s="848"/>
    </row>
    <row r="355" spans="1:101" ht="42.6" customHeight="1">
      <c r="A355" s="845"/>
      <c r="B355" s="852" t="s">
        <v>976</v>
      </c>
      <c r="C355" s="852" t="s">
        <v>985</v>
      </c>
      <c r="D355" s="846"/>
      <c r="E355" s="845"/>
      <c r="F355" s="853" t="s">
        <v>544</v>
      </c>
      <c r="G355" s="853" t="s">
        <v>980</v>
      </c>
      <c r="H355" s="850">
        <f t="shared" si="261"/>
        <v>757</v>
      </c>
      <c r="I355" s="855">
        <v>757</v>
      </c>
      <c r="J355" s="848"/>
      <c r="K355" s="848"/>
      <c r="L355" s="848"/>
      <c r="M355" s="848"/>
      <c r="N355" s="848"/>
      <c r="O355" s="848"/>
      <c r="P355" s="848"/>
      <c r="Q355" s="848"/>
      <c r="R355" s="848"/>
      <c r="S355" s="848"/>
      <c r="T355" s="855">
        <f t="shared" si="278"/>
        <v>446.42485099999999</v>
      </c>
      <c r="U355" s="855">
        <v>446.42485099999999</v>
      </c>
      <c r="V355" s="848"/>
      <c r="W355" s="848"/>
      <c r="X355" s="848"/>
      <c r="Y355" s="848"/>
      <c r="Z355" s="848"/>
      <c r="AA355" s="848"/>
      <c r="AB355" s="848"/>
      <c r="AC355" s="848"/>
      <c r="AD355" s="848"/>
      <c r="AE355" s="848"/>
      <c r="AF355" s="848"/>
      <c r="AG355" s="848"/>
      <c r="AH355" s="855"/>
      <c r="AI355" s="855">
        <f t="shared" si="290"/>
        <v>600</v>
      </c>
      <c r="AJ355" s="855">
        <v>600</v>
      </c>
      <c r="AK355" s="855"/>
      <c r="AL355" s="855"/>
      <c r="AM355" s="855"/>
      <c r="AN355" s="855"/>
      <c r="AO355" s="855"/>
      <c r="AP355" s="855"/>
      <c r="AQ355" s="855"/>
      <c r="AR355" s="855"/>
      <c r="AS355" s="855"/>
      <c r="AT355" s="855"/>
      <c r="AU355" s="855"/>
      <c r="AV355" s="855"/>
      <c r="AW355" s="855"/>
      <c r="AX355" s="855"/>
      <c r="AY355" s="855">
        <f t="shared" si="279"/>
        <v>0</v>
      </c>
      <c r="AZ355" s="855"/>
      <c r="BA355" s="855"/>
      <c r="BB355" s="855"/>
      <c r="BC355" s="855"/>
      <c r="BD355" s="855"/>
      <c r="BE355" s="855"/>
      <c r="BF355" s="855"/>
      <c r="BG355" s="855"/>
      <c r="BH355" s="855"/>
      <c r="BI355" s="855"/>
      <c r="BJ355" s="855"/>
      <c r="BK355" s="855"/>
      <c r="BL355" s="855"/>
      <c r="BM355" s="855"/>
      <c r="BN355" s="855"/>
      <c r="BO355" s="848">
        <f t="shared" si="265"/>
        <v>153.49664000000001</v>
      </c>
      <c r="BP355" s="855">
        <v>153.49664000000001</v>
      </c>
      <c r="BQ355" s="855"/>
      <c r="BR355" s="855"/>
      <c r="BS355" s="855"/>
      <c r="BT355" s="855"/>
      <c r="BU355" s="855"/>
      <c r="BV355" s="855"/>
      <c r="BW355" s="855"/>
      <c r="BX355" s="855"/>
      <c r="BY355" s="855"/>
      <c r="BZ355" s="855"/>
      <c r="CA355" s="855"/>
      <c r="CB355" s="855"/>
      <c r="CC355" s="855"/>
      <c r="CD355" s="855"/>
      <c r="CE355" s="855"/>
      <c r="CF355" s="848"/>
      <c r="CG355" s="848"/>
      <c r="CH355" s="848"/>
      <c r="CI355" s="848"/>
      <c r="CJ355" s="848"/>
      <c r="CK355" s="848"/>
      <c r="CL355" s="848"/>
      <c r="CM355" s="848"/>
      <c r="CN355" s="848"/>
      <c r="CO355" s="848"/>
      <c r="CP355" s="848"/>
      <c r="CQ355" s="848"/>
      <c r="CR355" s="848"/>
      <c r="CS355" s="848"/>
      <c r="CT355" s="848"/>
      <c r="CU355" s="848"/>
      <c r="CV355" s="848"/>
      <c r="CW355" s="848"/>
    </row>
    <row r="356" spans="1:101" ht="36" customHeight="1">
      <c r="A356" s="845"/>
      <c r="B356" s="852" t="s">
        <v>976</v>
      </c>
      <c r="C356" s="852" t="s">
        <v>986</v>
      </c>
      <c r="D356" s="846"/>
      <c r="E356" s="845"/>
      <c r="F356" s="853" t="s">
        <v>544</v>
      </c>
      <c r="G356" s="853" t="s">
        <v>980</v>
      </c>
      <c r="H356" s="850">
        <f t="shared" si="261"/>
        <v>0</v>
      </c>
      <c r="I356" s="848"/>
      <c r="J356" s="848"/>
      <c r="K356" s="848"/>
      <c r="L356" s="848"/>
      <c r="M356" s="848"/>
      <c r="N356" s="848"/>
      <c r="O356" s="848"/>
      <c r="P356" s="848"/>
      <c r="Q356" s="848"/>
      <c r="R356" s="848"/>
      <c r="S356" s="848"/>
      <c r="T356" s="855">
        <f t="shared" si="278"/>
        <v>221.16325399999999</v>
      </c>
      <c r="U356" s="855">
        <v>221.16325399999999</v>
      </c>
      <c r="V356" s="848"/>
      <c r="W356" s="848"/>
      <c r="X356" s="848"/>
      <c r="Y356" s="848"/>
      <c r="Z356" s="848"/>
      <c r="AA356" s="848"/>
      <c r="AB356" s="848"/>
      <c r="AC356" s="848"/>
      <c r="AD356" s="848"/>
      <c r="AE356" s="848"/>
      <c r="AF356" s="848"/>
      <c r="AG356" s="848"/>
      <c r="AH356" s="855"/>
      <c r="AI356" s="855">
        <f>AJ356</f>
        <v>279</v>
      </c>
      <c r="AJ356" s="855">
        <v>279</v>
      </c>
      <c r="AK356" s="855"/>
      <c r="AL356" s="855"/>
      <c r="AM356" s="855"/>
      <c r="AN356" s="855"/>
      <c r="AO356" s="855"/>
      <c r="AP356" s="855"/>
      <c r="AQ356" s="855"/>
      <c r="AR356" s="855"/>
      <c r="AS356" s="855"/>
      <c r="AT356" s="855"/>
      <c r="AU356" s="855"/>
      <c r="AV356" s="855"/>
      <c r="AW356" s="855"/>
      <c r="AX356" s="855"/>
      <c r="AY356" s="855">
        <f t="shared" si="279"/>
        <v>0</v>
      </c>
      <c r="AZ356" s="855"/>
      <c r="BA356" s="855"/>
      <c r="BB356" s="855"/>
      <c r="BC356" s="855"/>
      <c r="BD356" s="855"/>
      <c r="BE356" s="855"/>
      <c r="BF356" s="855"/>
      <c r="BG356" s="855"/>
      <c r="BH356" s="855"/>
      <c r="BI356" s="855"/>
      <c r="BJ356" s="855"/>
      <c r="BK356" s="855"/>
      <c r="BL356" s="855"/>
      <c r="BM356" s="855"/>
      <c r="BN356" s="855"/>
      <c r="BO356" s="848">
        <f t="shared" si="265"/>
        <v>54.035169000000003</v>
      </c>
      <c r="BP356" s="855">
        <v>54.035169000000003</v>
      </c>
      <c r="BQ356" s="855"/>
      <c r="BR356" s="855"/>
      <c r="BS356" s="855"/>
      <c r="BT356" s="855"/>
      <c r="BU356" s="855"/>
      <c r="BV356" s="855"/>
      <c r="BW356" s="855"/>
      <c r="BX356" s="855"/>
      <c r="BY356" s="855"/>
      <c r="BZ356" s="855"/>
      <c r="CA356" s="855"/>
      <c r="CB356" s="855"/>
      <c r="CC356" s="855"/>
      <c r="CD356" s="855"/>
      <c r="CE356" s="855"/>
      <c r="CF356" s="848"/>
      <c r="CG356" s="848"/>
      <c r="CH356" s="848"/>
      <c r="CI356" s="848"/>
      <c r="CJ356" s="848"/>
      <c r="CK356" s="848"/>
      <c r="CL356" s="848"/>
      <c r="CM356" s="848"/>
      <c r="CN356" s="848"/>
      <c r="CO356" s="848"/>
      <c r="CP356" s="848"/>
      <c r="CQ356" s="848"/>
      <c r="CR356" s="848"/>
      <c r="CS356" s="848"/>
      <c r="CT356" s="848"/>
      <c r="CU356" s="848"/>
      <c r="CV356" s="848"/>
      <c r="CW356" s="848"/>
    </row>
    <row r="357" spans="1:101" ht="58.9" customHeight="1">
      <c r="A357" s="845"/>
      <c r="B357" s="852" t="s">
        <v>976</v>
      </c>
      <c r="C357" s="852" t="s">
        <v>987</v>
      </c>
      <c r="D357" s="846"/>
      <c r="E357" s="845"/>
      <c r="F357" s="853" t="s">
        <v>544</v>
      </c>
      <c r="G357" s="853" t="s">
        <v>980</v>
      </c>
      <c r="H357" s="850">
        <f t="shared" si="261"/>
        <v>863</v>
      </c>
      <c r="I357" s="855">
        <v>863</v>
      </c>
      <c r="J357" s="848"/>
      <c r="K357" s="848"/>
      <c r="L357" s="848"/>
      <c r="M357" s="848"/>
      <c r="N357" s="848"/>
      <c r="O357" s="848"/>
      <c r="P357" s="848"/>
      <c r="Q357" s="848"/>
      <c r="R357" s="848"/>
      <c r="S357" s="848"/>
      <c r="T357" s="855">
        <f t="shared" si="278"/>
        <v>0</v>
      </c>
      <c r="U357" s="848"/>
      <c r="V357" s="848"/>
      <c r="W357" s="848"/>
      <c r="X357" s="848"/>
      <c r="Y357" s="848"/>
      <c r="Z357" s="848"/>
      <c r="AA357" s="848"/>
      <c r="AB357" s="848"/>
      <c r="AC357" s="848"/>
      <c r="AD357" s="848"/>
      <c r="AE357" s="848"/>
      <c r="AF357" s="848"/>
      <c r="AG357" s="848"/>
      <c r="AH357" s="855"/>
      <c r="AI357" s="855">
        <f t="shared" ref="AI357:AI362" si="291">AJ357</f>
        <v>629</v>
      </c>
      <c r="AJ357" s="855">
        <v>629</v>
      </c>
      <c r="AK357" s="855"/>
      <c r="AL357" s="855"/>
      <c r="AM357" s="855"/>
      <c r="AN357" s="855"/>
      <c r="AO357" s="855"/>
      <c r="AP357" s="855"/>
      <c r="AQ357" s="855"/>
      <c r="AR357" s="855"/>
      <c r="AS357" s="855"/>
      <c r="AT357" s="855"/>
      <c r="AU357" s="855"/>
      <c r="AV357" s="855"/>
      <c r="AW357" s="855"/>
      <c r="AX357" s="855"/>
      <c r="AY357" s="855">
        <f t="shared" si="279"/>
        <v>0</v>
      </c>
      <c r="AZ357" s="855"/>
      <c r="BA357" s="855"/>
      <c r="BB357" s="855"/>
      <c r="BC357" s="855"/>
      <c r="BD357" s="855"/>
      <c r="BE357" s="855"/>
      <c r="BF357" s="855"/>
      <c r="BG357" s="855"/>
      <c r="BH357" s="855"/>
      <c r="BI357" s="855"/>
      <c r="BJ357" s="855"/>
      <c r="BK357" s="855"/>
      <c r="BL357" s="855"/>
      <c r="BM357" s="855"/>
      <c r="BN357" s="855"/>
      <c r="BO357" s="848">
        <f t="shared" si="265"/>
        <v>629</v>
      </c>
      <c r="BP357" s="855">
        <v>629</v>
      </c>
      <c r="BQ357" s="855"/>
      <c r="BR357" s="855"/>
      <c r="BS357" s="855"/>
      <c r="BT357" s="855"/>
      <c r="BU357" s="855"/>
      <c r="BV357" s="855"/>
      <c r="BW357" s="855"/>
      <c r="BX357" s="855"/>
      <c r="BY357" s="855"/>
      <c r="BZ357" s="855"/>
      <c r="CA357" s="855"/>
      <c r="CB357" s="855"/>
      <c r="CC357" s="855"/>
      <c r="CD357" s="855"/>
      <c r="CE357" s="855"/>
      <c r="CF357" s="848"/>
      <c r="CG357" s="848"/>
      <c r="CH357" s="848"/>
      <c r="CI357" s="848"/>
      <c r="CJ357" s="848"/>
      <c r="CK357" s="848"/>
      <c r="CL357" s="848"/>
      <c r="CM357" s="848"/>
      <c r="CN357" s="848"/>
      <c r="CO357" s="848"/>
      <c r="CP357" s="848"/>
      <c r="CQ357" s="848"/>
      <c r="CR357" s="848"/>
      <c r="CS357" s="848"/>
      <c r="CT357" s="848"/>
      <c r="CU357" s="848"/>
      <c r="CV357" s="848"/>
      <c r="CW357" s="848"/>
    </row>
    <row r="358" spans="1:101" ht="41.45" customHeight="1">
      <c r="A358" s="845"/>
      <c r="B358" s="852" t="s">
        <v>976</v>
      </c>
      <c r="C358" s="852" t="s">
        <v>988</v>
      </c>
      <c r="D358" s="846"/>
      <c r="E358" s="845"/>
      <c r="F358" s="853" t="s">
        <v>544</v>
      </c>
      <c r="G358" s="853" t="s">
        <v>980</v>
      </c>
      <c r="H358" s="850">
        <f t="shared" si="261"/>
        <v>333</v>
      </c>
      <c r="I358" s="855">
        <v>333</v>
      </c>
      <c r="J358" s="848"/>
      <c r="K358" s="848"/>
      <c r="L358" s="848"/>
      <c r="M358" s="848"/>
      <c r="N358" s="848"/>
      <c r="O358" s="848"/>
      <c r="P358" s="848"/>
      <c r="Q358" s="848"/>
      <c r="R358" s="848"/>
      <c r="S358" s="848"/>
      <c r="T358" s="855">
        <f t="shared" si="278"/>
        <v>238.03399999999999</v>
      </c>
      <c r="U358" s="855">
        <v>238.03399999999999</v>
      </c>
      <c r="V358" s="848"/>
      <c r="W358" s="848"/>
      <c r="X358" s="848"/>
      <c r="Y358" s="848"/>
      <c r="Z358" s="848"/>
      <c r="AA358" s="848"/>
      <c r="AB358" s="848"/>
      <c r="AC358" s="848"/>
      <c r="AD358" s="848"/>
      <c r="AE358" s="848"/>
      <c r="AF358" s="848"/>
      <c r="AG358" s="848"/>
      <c r="AH358" s="855"/>
      <c r="AI358" s="855">
        <f t="shared" si="291"/>
        <v>243</v>
      </c>
      <c r="AJ358" s="855">
        <v>243</v>
      </c>
      <c r="AK358" s="855"/>
      <c r="AL358" s="855"/>
      <c r="AM358" s="855"/>
      <c r="AN358" s="855"/>
      <c r="AO358" s="855"/>
      <c r="AP358" s="855"/>
      <c r="AQ358" s="855"/>
      <c r="AR358" s="855"/>
      <c r="AS358" s="855"/>
      <c r="AT358" s="855"/>
      <c r="AU358" s="855"/>
      <c r="AV358" s="855"/>
      <c r="AW358" s="855"/>
      <c r="AX358" s="855"/>
      <c r="AY358" s="855">
        <f t="shared" si="279"/>
        <v>0</v>
      </c>
      <c r="AZ358" s="855"/>
      <c r="BA358" s="855"/>
      <c r="BB358" s="855"/>
      <c r="BC358" s="855"/>
      <c r="BD358" s="855"/>
      <c r="BE358" s="855"/>
      <c r="BF358" s="855"/>
      <c r="BG358" s="855"/>
      <c r="BH358" s="855"/>
      <c r="BI358" s="855"/>
      <c r="BJ358" s="855"/>
      <c r="BK358" s="855"/>
      <c r="BL358" s="855"/>
      <c r="BM358" s="855"/>
      <c r="BN358" s="855"/>
      <c r="BO358" s="848">
        <f t="shared" si="265"/>
        <v>4.9658949999999997</v>
      </c>
      <c r="BP358" s="855">
        <v>4.9658949999999997</v>
      </c>
      <c r="BQ358" s="855"/>
      <c r="BR358" s="855"/>
      <c r="BS358" s="855"/>
      <c r="BT358" s="855"/>
      <c r="BU358" s="855"/>
      <c r="BV358" s="855"/>
      <c r="BW358" s="855"/>
      <c r="BX358" s="855"/>
      <c r="BY358" s="855"/>
      <c r="BZ358" s="855"/>
      <c r="CA358" s="855"/>
      <c r="CB358" s="855"/>
      <c r="CC358" s="855"/>
      <c r="CD358" s="855"/>
      <c r="CE358" s="855"/>
      <c r="CF358" s="848"/>
      <c r="CG358" s="848"/>
      <c r="CH358" s="848"/>
      <c r="CI358" s="848"/>
      <c r="CJ358" s="848"/>
      <c r="CK358" s="848"/>
      <c r="CL358" s="848"/>
      <c r="CM358" s="848"/>
      <c r="CN358" s="848"/>
      <c r="CO358" s="848"/>
      <c r="CP358" s="848"/>
      <c r="CQ358" s="848"/>
      <c r="CR358" s="848"/>
      <c r="CS358" s="848"/>
      <c r="CT358" s="848"/>
      <c r="CU358" s="848"/>
      <c r="CV358" s="848"/>
      <c r="CW358" s="848"/>
    </row>
    <row r="359" spans="1:101" ht="39" customHeight="1">
      <c r="A359" s="845"/>
      <c r="B359" s="852" t="s">
        <v>976</v>
      </c>
      <c r="C359" s="852" t="s">
        <v>989</v>
      </c>
      <c r="D359" s="846"/>
      <c r="E359" s="845"/>
      <c r="F359" s="853" t="s">
        <v>544</v>
      </c>
      <c r="G359" s="853" t="s">
        <v>980</v>
      </c>
      <c r="H359" s="850">
        <f t="shared" si="261"/>
        <v>120</v>
      </c>
      <c r="I359" s="855">
        <v>120</v>
      </c>
      <c r="J359" s="848"/>
      <c r="K359" s="848"/>
      <c r="L359" s="848"/>
      <c r="M359" s="848"/>
      <c r="N359" s="848"/>
      <c r="O359" s="848"/>
      <c r="P359" s="848"/>
      <c r="Q359" s="848"/>
      <c r="R359" s="848"/>
      <c r="S359" s="848"/>
      <c r="T359" s="855">
        <f t="shared" si="278"/>
        <v>118.672</v>
      </c>
      <c r="U359" s="855">
        <v>118.672</v>
      </c>
      <c r="V359" s="848"/>
      <c r="W359" s="848"/>
      <c r="X359" s="848"/>
      <c r="Y359" s="848"/>
      <c r="Z359" s="848"/>
      <c r="AA359" s="848"/>
      <c r="AB359" s="848"/>
      <c r="AC359" s="848"/>
      <c r="AD359" s="848"/>
      <c r="AE359" s="848"/>
      <c r="AF359" s="848"/>
      <c r="AG359" s="848"/>
      <c r="AH359" s="855"/>
      <c r="AI359" s="855">
        <f t="shared" si="291"/>
        <v>120</v>
      </c>
      <c r="AJ359" s="855">
        <v>120</v>
      </c>
      <c r="AK359" s="855"/>
      <c r="AL359" s="855"/>
      <c r="AM359" s="855"/>
      <c r="AN359" s="855"/>
      <c r="AO359" s="855"/>
      <c r="AP359" s="855"/>
      <c r="AQ359" s="855"/>
      <c r="AR359" s="855"/>
      <c r="AS359" s="855"/>
      <c r="AT359" s="855"/>
      <c r="AU359" s="855"/>
      <c r="AV359" s="855"/>
      <c r="AW359" s="855"/>
      <c r="AX359" s="855"/>
      <c r="AY359" s="855">
        <f t="shared" si="279"/>
        <v>0</v>
      </c>
      <c r="AZ359" s="855"/>
      <c r="BA359" s="855"/>
      <c r="BB359" s="855"/>
      <c r="BC359" s="855"/>
      <c r="BD359" s="855"/>
      <c r="BE359" s="855"/>
      <c r="BF359" s="855"/>
      <c r="BG359" s="855"/>
      <c r="BH359" s="855"/>
      <c r="BI359" s="855"/>
      <c r="BJ359" s="855"/>
      <c r="BK359" s="855"/>
      <c r="BL359" s="855"/>
      <c r="BM359" s="855"/>
      <c r="BN359" s="855"/>
      <c r="BO359" s="848">
        <f t="shared" si="265"/>
        <v>1.3279879999999999</v>
      </c>
      <c r="BP359" s="855">
        <v>1.3279879999999999</v>
      </c>
      <c r="BQ359" s="855"/>
      <c r="BR359" s="855"/>
      <c r="BS359" s="855"/>
      <c r="BT359" s="855"/>
      <c r="BU359" s="855"/>
      <c r="BV359" s="855"/>
      <c r="BW359" s="855"/>
      <c r="BX359" s="855"/>
      <c r="BY359" s="855"/>
      <c r="BZ359" s="855"/>
      <c r="CA359" s="855"/>
      <c r="CB359" s="855"/>
      <c r="CC359" s="855"/>
      <c r="CD359" s="855"/>
      <c r="CE359" s="855"/>
      <c r="CF359" s="848"/>
      <c r="CG359" s="848"/>
      <c r="CH359" s="848"/>
      <c r="CI359" s="848"/>
      <c r="CJ359" s="848"/>
      <c r="CK359" s="848"/>
      <c r="CL359" s="848"/>
      <c r="CM359" s="848"/>
      <c r="CN359" s="848"/>
      <c r="CO359" s="848"/>
      <c r="CP359" s="848"/>
      <c r="CQ359" s="848"/>
      <c r="CR359" s="848"/>
      <c r="CS359" s="848"/>
      <c r="CT359" s="848"/>
      <c r="CU359" s="848"/>
      <c r="CV359" s="848"/>
      <c r="CW359" s="848"/>
    </row>
    <row r="360" spans="1:101" ht="43.15" customHeight="1">
      <c r="A360" s="845"/>
      <c r="B360" s="852" t="s">
        <v>976</v>
      </c>
      <c r="C360" s="852" t="s">
        <v>990</v>
      </c>
      <c r="D360" s="846"/>
      <c r="E360" s="845"/>
      <c r="F360" s="853" t="s">
        <v>544</v>
      </c>
      <c r="G360" s="853" t="s">
        <v>980</v>
      </c>
      <c r="H360" s="850">
        <f t="shared" si="261"/>
        <v>117</v>
      </c>
      <c r="I360" s="855">
        <v>117</v>
      </c>
      <c r="J360" s="848"/>
      <c r="K360" s="848"/>
      <c r="L360" s="848"/>
      <c r="M360" s="848"/>
      <c r="N360" s="848"/>
      <c r="O360" s="848"/>
      <c r="P360" s="848"/>
      <c r="Q360" s="848"/>
      <c r="R360" s="848"/>
      <c r="S360" s="848"/>
      <c r="T360" s="855">
        <f t="shared" si="278"/>
        <v>88.012</v>
      </c>
      <c r="U360" s="855">
        <v>88.012</v>
      </c>
      <c r="V360" s="848"/>
      <c r="W360" s="848"/>
      <c r="X360" s="848"/>
      <c r="Y360" s="848"/>
      <c r="Z360" s="848"/>
      <c r="AA360" s="848"/>
      <c r="AB360" s="848"/>
      <c r="AC360" s="848"/>
      <c r="AD360" s="848"/>
      <c r="AE360" s="848"/>
      <c r="AF360" s="848"/>
      <c r="AG360" s="848"/>
      <c r="AH360" s="855"/>
      <c r="AI360" s="855">
        <f t="shared" si="291"/>
        <v>90</v>
      </c>
      <c r="AJ360" s="855">
        <v>90</v>
      </c>
      <c r="AK360" s="855"/>
      <c r="AL360" s="855"/>
      <c r="AM360" s="855"/>
      <c r="AN360" s="855"/>
      <c r="AO360" s="855"/>
      <c r="AP360" s="855"/>
      <c r="AQ360" s="855"/>
      <c r="AR360" s="855"/>
      <c r="AS360" s="855"/>
      <c r="AT360" s="855"/>
      <c r="AU360" s="855"/>
      <c r="AV360" s="855"/>
      <c r="AW360" s="855"/>
      <c r="AX360" s="855"/>
      <c r="AY360" s="855">
        <f t="shared" si="279"/>
        <v>0</v>
      </c>
      <c r="AZ360" s="855"/>
      <c r="BA360" s="855"/>
      <c r="BB360" s="855"/>
      <c r="BC360" s="855"/>
      <c r="BD360" s="855"/>
      <c r="BE360" s="855"/>
      <c r="BF360" s="855"/>
      <c r="BG360" s="855"/>
      <c r="BH360" s="855"/>
      <c r="BI360" s="855"/>
      <c r="BJ360" s="855"/>
      <c r="BK360" s="855"/>
      <c r="BL360" s="855"/>
      <c r="BM360" s="855"/>
      <c r="BN360" s="855"/>
      <c r="BO360" s="848">
        <f t="shared" si="265"/>
        <v>1.98712</v>
      </c>
      <c r="BP360" s="855">
        <v>1.98712</v>
      </c>
      <c r="BQ360" s="855"/>
      <c r="BR360" s="855"/>
      <c r="BS360" s="855"/>
      <c r="BT360" s="855"/>
      <c r="BU360" s="855"/>
      <c r="BV360" s="855"/>
      <c r="BW360" s="855"/>
      <c r="BX360" s="855"/>
      <c r="BY360" s="855"/>
      <c r="BZ360" s="855"/>
      <c r="CA360" s="855"/>
      <c r="CB360" s="855"/>
      <c r="CC360" s="855"/>
      <c r="CD360" s="855"/>
      <c r="CE360" s="855"/>
      <c r="CF360" s="848"/>
      <c r="CG360" s="848"/>
      <c r="CH360" s="848"/>
      <c r="CI360" s="848"/>
      <c r="CJ360" s="848"/>
      <c r="CK360" s="848"/>
      <c r="CL360" s="848"/>
      <c r="CM360" s="848"/>
      <c r="CN360" s="848"/>
      <c r="CO360" s="848"/>
      <c r="CP360" s="848"/>
      <c r="CQ360" s="848"/>
      <c r="CR360" s="848"/>
      <c r="CS360" s="848"/>
      <c r="CT360" s="848"/>
      <c r="CU360" s="848"/>
      <c r="CV360" s="848"/>
      <c r="CW360" s="848"/>
    </row>
    <row r="361" spans="1:101" ht="58.9" customHeight="1">
      <c r="A361" s="845"/>
      <c r="B361" s="852" t="s">
        <v>976</v>
      </c>
      <c r="C361" s="852" t="s">
        <v>991</v>
      </c>
      <c r="D361" s="846"/>
      <c r="E361" s="845"/>
      <c r="F361" s="853" t="s">
        <v>544</v>
      </c>
      <c r="G361" s="853" t="s">
        <v>980</v>
      </c>
      <c r="H361" s="850">
        <f t="shared" si="261"/>
        <v>72</v>
      </c>
      <c r="I361" s="855">
        <v>72</v>
      </c>
      <c r="J361" s="848"/>
      <c r="K361" s="848"/>
      <c r="L361" s="848"/>
      <c r="M361" s="848"/>
      <c r="N361" s="848"/>
      <c r="O361" s="848"/>
      <c r="P361" s="848"/>
      <c r="Q361" s="848"/>
      <c r="R361" s="848"/>
      <c r="S361" s="848"/>
      <c r="T361" s="855">
        <f t="shared" si="278"/>
        <v>54.762</v>
      </c>
      <c r="U361" s="855">
        <v>54.762</v>
      </c>
      <c r="V361" s="848"/>
      <c r="W361" s="848"/>
      <c r="X361" s="848"/>
      <c r="Y361" s="848"/>
      <c r="Z361" s="848"/>
      <c r="AA361" s="848"/>
      <c r="AB361" s="848"/>
      <c r="AC361" s="848"/>
      <c r="AD361" s="848"/>
      <c r="AE361" s="848"/>
      <c r="AF361" s="848"/>
      <c r="AG361" s="848"/>
      <c r="AH361" s="855"/>
      <c r="AI361" s="855">
        <f t="shared" si="291"/>
        <v>56</v>
      </c>
      <c r="AJ361" s="855">
        <v>56</v>
      </c>
      <c r="AK361" s="855"/>
      <c r="AL361" s="855"/>
      <c r="AM361" s="855"/>
      <c r="AN361" s="855"/>
      <c r="AO361" s="855"/>
      <c r="AP361" s="855"/>
      <c r="AQ361" s="855"/>
      <c r="AR361" s="855"/>
      <c r="AS361" s="855"/>
      <c r="AT361" s="855"/>
      <c r="AU361" s="855"/>
      <c r="AV361" s="855"/>
      <c r="AW361" s="855"/>
      <c r="AX361" s="855"/>
      <c r="AY361" s="855">
        <f t="shared" si="279"/>
        <v>0</v>
      </c>
      <c r="AZ361" s="855"/>
      <c r="BA361" s="855"/>
      <c r="BB361" s="855"/>
      <c r="BC361" s="855"/>
      <c r="BD361" s="855"/>
      <c r="BE361" s="855"/>
      <c r="BF361" s="855"/>
      <c r="BG361" s="855"/>
      <c r="BH361" s="855"/>
      <c r="BI361" s="855"/>
      <c r="BJ361" s="855"/>
      <c r="BK361" s="855"/>
      <c r="BL361" s="855"/>
      <c r="BM361" s="855"/>
      <c r="BN361" s="855"/>
      <c r="BO361" s="848">
        <f t="shared" si="265"/>
        <v>1.2374320000000001</v>
      </c>
      <c r="BP361" s="855">
        <v>1.2374320000000001</v>
      </c>
      <c r="BQ361" s="855"/>
      <c r="BR361" s="855"/>
      <c r="BS361" s="855"/>
      <c r="BT361" s="855"/>
      <c r="BU361" s="855"/>
      <c r="BV361" s="855"/>
      <c r="BW361" s="855"/>
      <c r="BX361" s="855"/>
      <c r="BY361" s="855"/>
      <c r="BZ361" s="855"/>
      <c r="CA361" s="855"/>
      <c r="CB361" s="855"/>
      <c r="CC361" s="855"/>
      <c r="CD361" s="855"/>
      <c r="CE361" s="855"/>
      <c r="CF361" s="848"/>
      <c r="CG361" s="848"/>
      <c r="CH361" s="848"/>
      <c r="CI361" s="848"/>
      <c r="CJ361" s="848"/>
      <c r="CK361" s="848"/>
      <c r="CL361" s="848"/>
      <c r="CM361" s="848"/>
      <c r="CN361" s="848"/>
      <c r="CO361" s="848"/>
      <c r="CP361" s="848"/>
      <c r="CQ361" s="848"/>
      <c r="CR361" s="848"/>
      <c r="CS361" s="848"/>
      <c r="CT361" s="848"/>
      <c r="CU361" s="848"/>
      <c r="CV361" s="848"/>
      <c r="CW361" s="848"/>
    </row>
    <row r="362" spans="1:101" ht="58.9" customHeight="1">
      <c r="A362" s="845"/>
      <c r="B362" s="852" t="s">
        <v>976</v>
      </c>
      <c r="C362" s="852" t="s">
        <v>992</v>
      </c>
      <c r="D362" s="846"/>
      <c r="E362" s="845"/>
      <c r="F362" s="853" t="s">
        <v>544</v>
      </c>
      <c r="G362" s="853" t="s">
        <v>980</v>
      </c>
      <c r="H362" s="850">
        <f t="shared" si="261"/>
        <v>179</v>
      </c>
      <c r="I362" s="855">
        <v>179</v>
      </c>
      <c r="J362" s="848"/>
      <c r="K362" s="848"/>
      <c r="L362" s="848"/>
      <c r="M362" s="848"/>
      <c r="N362" s="848"/>
      <c r="O362" s="848"/>
      <c r="P362" s="848"/>
      <c r="Q362" s="848"/>
      <c r="R362" s="848"/>
      <c r="S362" s="848"/>
      <c r="T362" s="855">
        <f t="shared" si="278"/>
        <v>0</v>
      </c>
      <c r="U362" s="848">
        <v>0</v>
      </c>
      <c r="V362" s="848"/>
      <c r="W362" s="848"/>
      <c r="X362" s="848"/>
      <c r="Y362" s="848"/>
      <c r="Z362" s="848"/>
      <c r="AA362" s="848"/>
      <c r="AB362" s="848"/>
      <c r="AC362" s="848"/>
      <c r="AD362" s="848"/>
      <c r="AE362" s="848"/>
      <c r="AF362" s="848"/>
      <c r="AG362" s="848"/>
      <c r="AH362" s="855"/>
      <c r="AI362" s="855">
        <f t="shared" si="291"/>
        <v>140</v>
      </c>
      <c r="AJ362" s="855">
        <v>140</v>
      </c>
      <c r="AK362" s="855"/>
      <c r="AL362" s="855"/>
      <c r="AM362" s="855"/>
      <c r="AN362" s="855"/>
      <c r="AO362" s="855"/>
      <c r="AP362" s="855"/>
      <c r="AQ362" s="855"/>
      <c r="AR362" s="855"/>
      <c r="AS362" s="855"/>
      <c r="AT362" s="855"/>
      <c r="AU362" s="855"/>
      <c r="AV362" s="855"/>
      <c r="AW362" s="855"/>
      <c r="AX362" s="855"/>
      <c r="AY362" s="855">
        <f t="shared" si="279"/>
        <v>0</v>
      </c>
      <c r="AZ362" s="855"/>
      <c r="BA362" s="855"/>
      <c r="BB362" s="855"/>
      <c r="BC362" s="855"/>
      <c r="BD362" s="855"/>
      <c r="BE362" s="855"/>
      <c r="BF362" s="855"/>
      <c r="BG362" s="855"/>
      <c r="BH362" s="855"/>
      <c r="BI362" s="855"/>
      <c r="BJ362" s="855"/>
      <c r="BK362" s="855"/>
      <c r="BL362" s="855"/>
      <c r="BM362" s="855"/>
      <c r="BN362" s="855"/>
      <c r="BO362" s="848">
        <f t="shared" si="265"/>
        <v>100.217541</v>
      </c>
      <c r="BP362" s="855">
        <v>100.217541</v>
      </c>
      <c r="BQ362" s="855"/>
      <c r="BR362" s="855"/>
      <c r="BS362" s="855"/>
      <c r="BT362" s="855"/>
      <c r="BU362" s="855"/>
      <c r="BV362" s="855"/>
      <c r="BW362" s="855"/>
      <c r="BX362" s="855"/>
      <c r="BY362" s="855"/>
      <c r="BZ362" s="855"/>
      <c r="CA362" s="855"/>
      <c r="CB362" s="855"/>
      <c r="CC362" s="855"/>
      <c r="CD362" s="855"/>
      <c r="CE362" s="855"/>
      <c r="CF362" s="848"/>
      <c r="CG362" s="848"/>
      <c r="CH362" s="848"/>
      <c r="CI362" s="848"/>
      <c r="CJ362" s="848"/>
      <c r="CK362" s="848"/>
      <c r="CL362" s="848"/>
      <c r="CM362" s="848"/>
      <c r="CN362" s="848"/>
      <c r="CO362" s="848"/>
      <c r="CP362" s="848"/>
      <c r="CQ362" s="848"/>
      <c r="CR362" s="848"/>
      <c r="CS362" s="848"/>
      <c r="CT362" s="848"/>
      <c r="CU362" s="848"/>
      <c r="CV362" s="848"/>
      <c r="CW362" s="848"/>
    </row>
    <row r="363" spans="1:101" ht="36" customHeight="1">
      <c r="A363" s="845" t="s">
        <v>993</v>
      </c>
      <c r="B363" s="852"/>
      <c r="C363" s="892" t="s">
        <v>994</v>
      </c>
      <c r="D363" s="846"/>
      <c r="E363" s="845"/>
      <c r="F363" s="847"/>
      <c r="G363" s="845"/>
      <c r="H363" s="850">
        <f t="shared" si="261"/>
        <v>1191</v>
      </c>
      <c r="I363" s="848">
        <f t="shared" ref="I363:AX363" si="292">I364</f>
        <v>0</v>
      </c>
      <c r="J363" s="848">
        <f t="shared" si="292"/>
        <v>0</v>
      </c>
      <c r="K363" s="848">
        <f t="shared" si="292"/>
        <v>0</v>
      </c>
      <c r="L363" s="848">
        <f t="shared" si="292"/>
        <v>0</v>
      </c>
      <c r="M363" s="848">
        <f t="shared" si="292"/>
        <v>0</v>
      </c>
      <c r="N363" s="848">
        <f t="shared" si="292"/>
        <v>0</v>
      </c>
      <c r="O363" s="848">
        <f t="shared" si="292"/>
        <v>0</v>
      </c>
      <c r="P363" s="848">
        <f t="shared" si="292"/>
        <v>0</v>
      </c>
      <c r="Q363" s="848">
        <f t="shared" si="292"/>
        <v>0</v>
      </c>
      <c r="R363" s="848"/>
      <c r="S363" s="848">
        <f t="shared" si="292"/>
        <v>1191</v>
      </c>
      <c r="T363" s="848">
        <f t="shared" si="292"/>
        <v>0</v>
      </c>
      <c r="U363" s="848">
        <f t="shared" si="292"/>
        <v>0</v>
      </c>
      <c r="V363" s="848">
        <f t="shared" si="292"/>
        <v>0</v>
      </c>
      <c r="W363" s="848">
        <f t="shared" si="292"/>
        <v>0</v>
      </c>
      <c r="X363" s="848">
        <f t="shared" si="292"/>
        <v>0</v>
      </c>
      <c r="Y363" s="848">
        <f t="shared" si="292"/>
        <v>0</v>
      </c>
      <c r="Z363" s="848">
        <f t="shared" si="292"/>
        <v>0</v>
      </c>
      <c r="AA363" s="848">
        <f t="shared" si="292"/>
        <v>0</v>
      </c>
      <c r="AB363" s="848">
        <f t="shared" si="292"/>
        <v>0</v>
      </c>
      <c r="AC363" s="848">
        <f t="shared" si="292"/>
        <v>0</v>
      </c>
      <c r="AD363" s="848">
        <f t="shared" si="292"/>
        <v>0</v>
      </c>
      <c r="AE363" s="848">
        <f t="shared" si="292"/>
        <v>0</v>
      </c>
      <c r="AF363" s="848">
        <f t="shared" si="292"/>
        <v>0</v>
      </c>
      <c r="AG363" s="848">
        <f t="shared" si="292"/>
        <v>0</v>
      </c>
      <c r="AH363" s="848">
        <f t="shared" si="292"/>
        <v>0</v>
      </c>
      <c r="AI363" s="848">
        <f t="shared" si="292"/>
        <v>0</v>
      </c>
      <c r="AJ363" s="848">
        <f t="shared" si="292"/>
        <v>0</v>
      </c>
      <c r="AK363" s="848">
        <f t="shared" si="292"/>
        <v>0</v>
      </c>
      <c r="AL363" s="848">
        <f t="shared" si="292"/>
        <v>0</v>
      </c>
      <c r="AM363" s="848">
        <f t="shared" si="292"/>
        <v>0</v>
      </c>
      <c r="AN363" s="848">
        <f t="shared" si="292"/>
        <v>0</v>
      </c>
      <c r="AO363" s="848">
        <f t="shared" si="292"/>
        <v>0</v>
      </c>
      <c r="AP363" s="848">
        <f t="shared" si="292"/>
        <v>0</v>
      </c>
      <c r="AQ363" s="848">
        <f t="shared" si="292"/>
        <v>0</v>
      </c>
      <c r="AR363" s="848">
        <f t="shared" si="292"/>
        <v>0</v>
      </c>
      <c r="AS363" s="848">
        <f t="shared" si="292"/>
        <v>0</v>
      </c>
      <c r="AT363" s="848">
        <f t="shared" si="292"/>
        <v>0</v>
      </c>
      <c r="AU363" s="848">
        <f t="shared" si="292"/>
        <v>0</v>
      </c>
      <c r="AV363" s="848">
        <f t="shared" si="292"/>
        <v>0</v>
      </c>
      <c r="AW363" s="848">
        <f t="shared" si="292"/>
        <v>0</v>
      </c>
      <c r="AX363" s="848">
        <f t="shared" si="292"/>
        <v>0</v>
      </c>
      <c r="AY363" s="855">
        <f>BI363</f>
        <v>950</v>
      </c>
      <c r="AZ363" s="855"/>
      <c r="BA363" s="855"/>
      <c r="BB363" s="855"/>
      <c r="BC363" s="855"/>
      <c r="BD363" s="855"/>
      <c r="BE363" s="855"/>
      <c r="BF363" s="855"/>
      <c r="BG363" s="855"/>
      <c r="BH363" s="855"/>
      <c r="BI363" s="855">
        <v>950</v>
      </c>
      <c r="BJ363" s="855"/>
      <c r="BK363" s="855"/>
      <c r="BL363" s="855"/>
      <c r="BM363" s="855"/>
      <c r="BN363" s="855"/>
      <c r="BO363" s="848">
        <f t="shared" si="265"/>
        <v>0</v>
      </c>
      <c r="BP363" s="855"/>
      <c r="BQ363" s="855"/>
      <c r="BR363" s="855"/>
      <c r="BS363" s="855"/>
      <c r="BT363" s="855"/>
      <c r="BU363" s="855"/>
      <c r="BV363" s="855"/>
      <c r="BW363" s="855"/>
      <c r="BX363" s="855"/>
      <c r="BY363" s="855"/>
      <c r="BZ363" s="855"/>
      <c r="CA363" s="855"/>
      <c r="CB363" s="855"/>
      <c r="CC363" s="855"/>
      <c r="CD363" s="855"/>
      <c r="CE363" s="855"/>
      <c r="CF363" s="848">
        <f>BO363/AY363%</f>
        <v>0</v>
      </c>
      <c r="CG363" s="848"/>
      <c r="CH363" s="848"/>
      <c r="CI363" s="848"/>
      <c r="CJ363" s="848"/>
      <c r="CK363" s="848"/>
      <c r="CL363" s="848"/>
      <c r="CM363" s="848"/>
      <c r="CN363" s="848"/>
      <c r="CO363" s="848"/>
      <c r="CP363" s="848"/>
      <c r="CQ363" s="848"/>
      <c r="CR363" s="848"/>
      <c r="CS363" s="848"/>
      <c r="CT363" s="848"/>
      <c r="CU363" s="848"/>
      <c r="CV363" s="848"/>
      <c r="CW363" s="848"/>
    </row>
    <row r="364" spans="1:101" ht="31.9" customHeight="1">
      <c r="A364" s="845"/>
      <c r="B364" s="852"/>
      <c r="C364" s="893" t="s">
        <v>995</v>
      </c>
      <c r="D364" s="846"/>
      <c r="E364" s="845"/>
      <c r="F364" s="861" t="s">
        <v>382</v>
      </c>
      <c r="G364" s="861" t="s">
        <v>996</v>
      </c>
      <c r="H364" s="850">
        <f t="shared" si="261"/>
        <v>1191</v>
      </c>
      <c r="I364" s="848"/>
      <c r="J364" s="848"/>
      <c r="K364" s="848"/>
      <c r="L364" s="848"/>
      <c r="M364" s="848"/>
      <c r="N364" s="848"/>
      <c r="O364" s="848"/>
      <c r="P364" s="848"/>
      <c r="Q364" s="848"/>
      <c r="R364" s="848"/>
      <c r="S364" s="855">
        <v>1191</v>
      </c>
      <c r="T364" s="855">
        <f t="shared" si="278"/>
        <v>0</v>
      </c>
      <c r="U364" s="848"/>
      <c r="V364" s="848"/>
      <c r="W364" s="848"/>
      <c r="X364" s="848"/>
      <c r="Y364" s="848"/>
      <c r="Z364" s="848"/>
      <c r="AA364" s="848"/>
      <c r="AB364" s="848"/>
      <c r="AC364" s="848"/>
      <c r="AD364" s="848"/>
      <c r="AE364" s="848"/>
      <c r="AF364" s="848"/>
      <c r="AG364" s="848"/>
      <c r="AH364" s="855"/>
      <c r="AI364" s="855"/>
      <c r="AJ364" s="855"/>
      <c r="AK364" s="855"/>
      <c r="AL364" s="855"/>
      <c r="AM364" s="855"/>
      <c r="AN364" s="855"/>
      <c r="AO364" s="855"/>
      <c r="AP364" s="855"/>
      <c r="AQ364" s="855"/>
      <c r="AR364" s="855"/>
      <c r="AS364" s="855"/>
      <c r="AT364" s="855"/>
      <c r="AU364" s="855"/>
      <c r="AV364" s="855"/>
      <c r="AW364" s="855"/>
      <c r="AX364" s="855"/>
      <c r="AY364" s="855">
        <f>BI364</f>
        <v>950</v>
      </c>
      <c r="AZ364" s="855"/>
      <c r="BA364" s="855"/>
      <c r="BB364" s="855"/>
      <c r="BC364" s="855"/>
      <c r="BD364" s="855"/>
      <c r="BE364" s="855"/>
      <c r="BF364" s="855"/>
      <c r="BG364" s="855"/>
      <c r="BH364" s="855"/>
      <c r="BI364" s="855">
        <v>950</v>
      </c>
      <c r="BJ364" s="855"/>
      <c r="BK364" s="855"/>
      <c r="BL364" s="855"/>
      <c r="BM364" s="855"/>
      <c r="BN364" s="855"/>
      <c r="BO364" s="848">
        <f t="shared" si="265"/>
        <v>0</v>
      </c>
      <c r="BP364" s="855"/>
      <c r="BQ364" s="855"/>
      <c r="BR364" s="855"/>
      <c r="BS364" s="855"/>
      <c r="BT364" s="855"/>
      <c r="BU364" s="855"/>
      <c r="BV364" s="855"/>
      <c r="BW364" s="855"/>
      <c r="BX364" s="855"/>
      <c r="BY364" s="855"/>
      <c r="BZ364" s="855"/>
      <c r="CA364" s="855"/>
      <c r="CB364" s="855"/>
      <c r="CC364" s="855"/>
      <c r="CD364" s="855"/>
      <c r="CE364" s="855"/>
      <c r="CF364" s="848">
        <f>BO364/AY364%</f>
        <v>0</v>
      </c>
      <c r="CG364" s="848"/>
      <c r="CH364" s="848"/>
      <c r="CI364" s="848"/>
      <c r="CJ364" s="848"/>
      <c r="CK364" s="848"/>
      <c r="CL364" s="848"/>
      <c r="CM364" s="848"/>
      <c r="CN364" s="848"/>
      <c r="CO364" s="848"/>
      <c r="CP364" s="848"/>
      <c r="CQ364" s="848"/>
      <c r="CR364" s="848"/>
      <c r="CS364" s="848"/>
      <c r="CT364" s="848"/>
      <c r="CU364" s="848"/>
      <c r="CV364" s="848"/>
      <c r="CW364" s="848"/>
    </row>
    <row r="365" spans="1:101" s="851" customFormat="1" ht="22.9" customHeight="1">
      <c r="A365" s="845" t="s">
        <v>3</v>
      </c>
      <c r="B365" s="845"/>
      <c r="C365" s="857" t="s">
        <v>997</v>
      </c>
      <c r="D365" s="846">
        <f>D366+D375</f>
        <v>0</v>
      </c>
      <c r="E365" s="845">
        <f t="shared" ref="E365:CE365" si="293">E366+E375</f>
        <v>0</v>
      </c>
      <c r="F365" s="847"/>
      <c r="G365" s="845"/>
      <c r="H365" s="850">
        <f t="shared" si="261"/>
        <v>212541</v>
      </c>
      <c r="I365" s="848">
        <f>I366+I375</f>
        <v>0</v>
      </c>
      <c r="J365" s="848">
        <f t="shared" ref="I365:BR366" si="294">J366+J370</f>
        <v>0</v>
      </c>
      <c r="K365" s="848">
        <f t="shared" ref="K365:AX365" si="295">K366+K375</f>
        <v>5129</v>
      </c>
      <c r="L365" s="848">
        <f t="shared" si="295"/>
        <v>0</v>
      </c>
      <c r="M365" s="848">
        <f t="shared" si="295"/>
        <v>0</v>
      </c>
      <c r="N365" s="848">
        <f t="shared" si="295"/>
        <v>0</v>
      </c>
      <c r="O365" s="848">
        <f t="shared" si="295"/>
        <v>0</v>
      </c>
      <c r="P365" s="848">
        <f t="shared" si="295"/>
        <v>0</v>
      </c>
      <c r="Q365" s="848">
        <f t="shared" si="295"/>
        <v>0</v>
      </c>
      <c r="R365" s="848">
        <v>189026</v>
      </c>
      <c r="S365" s="848">
        <f t="shared" si="295"/>
        <v>18386</v>
      </c>
      <c r="T365" s="848">
        <f t="shared" si="295"/>
        <v>84896.784</v>
      </c>
      <c r="U365" s="848">
        <f t="shared" si="295"/>
        <v>0</v>
      </c>
      <c r="V365" s="848">
        <f t="shared" si="295"/>
        <v>0</v>
      </c>
      <c r="W365" s="848">
        <f t="shared" si="295"/>
        <v>32000</v>
      </c>
      <c r="X365" s="848">
        <f t="shared" si="295"/>
        <v>0</v>
      </c>
      <c r="Y365" s="848">
        <f t="shared" si="295"/>
        <v>0</v>
      </c>
      <c r="Z365" s="848">
        <f t="shared" si="295"/>
        <v>0</v>
      </c>
      <c r="AA365" s="848">
        <f t="shared" si="295"/>
        <v>0</v>
      </c>
      <c r="AB365" s="848">
        <f t="shared" si="295"/>
        <v>0</v>
      </c>
      <c r="AC365" s="848">
        <f t="shared" si="295"/>
        <v>0</v>
      </c>
      <c r="AD365" s="848">
        <f t="shared" si="295"/>
        <v>0</v>
      </c>
      <c r="AE365" s="848"/>
      <c r="AF365" s="848">
        <f t="shared" si="295"/>
        <v>0</v>
      </c>
      <c r="AG365" s="848">
        <f t="shared" si="295"/>
        <v>0</v>
      </c>
      <c r="AH365" s="848">
        <f t="shared" si="295"/>
        <v>52896.784</v>
      </c>
      <c r="AI365" s="848">
        <f t="shared" si="295"/>
        <v>62822.028999999995</v>
      </c>
      <c r="AJ365" s="848">
        <f t="shared" si="295"/>
        <v>0</v>
      </c>
      <c r="AK365" s="848">
        <f t="shared" si="295"/>
        <v>0</v>
      </c>
      <c r="AL365" s="848">
        <f t="shared" si="295"/>
        <v>43956</v>
      </c>
      <c r="AM365" s="848">
        <f t="shared" si="295"/>
        <v>0</v>
      </c>
      <c r="AN365" s="848">
        <f t="shared" si="295"/>
        <v>0</v>
      </c>
      <c r="AO365" s="848">
        <f t="shared" si="295"/>
        <v>0</v>
      </c>
      <c r="AP365" s="848">
        <f t="shared" si="295"/>
        <v>0</v>
      </c>
      <c r="AQ365" s="848">
        <f t="shared" si="295"/>
        <v>0</v>
      </c>
      <c r="AR365" s="848">
        <f t="shared" si="295"/>
        <v>0</v>
      </c>
      <c r="AS365" s="848"/>
      <c r="AT365" s="848">
        <f t="shared" si="295"/>
        <v>0</v>
      </c>
      <c r="AU365" s="848">
        <f t="shared" si="295"/>
        <v>0</v>
      </c>
      <c r="AV365" s="848">
        <f t="shared" si="295"/>
        <v>0</v>
      </c>
      <c r="AW365" s="848">
        <f t="shared" si="295"/>
        <v>0</v>
      </c>
      <c r="AX365" s="848">
        <f t="shared" si="295"/>
        <v>18866.028999999999</v>
      </c>
      <c r="AY365" s="848">
        <f t="shared" si="293"/>
        <v>26132</v>
      </c>
      <c r="AZ365" s="848">
        <f t="shared" si="293"/>
        <v>0</v>
      </c>
      <c r="BA365" s="848">
        <f t="shared" si="293"/>
        <v>0</v>
      </c>
      <c r="BB365" s="848">
        <f t="shared" si="293"/>
        <v>0</v>
      </c>
      <c r="BC365" s="848">
        <f t="shared" si="293"/>
        <v>20329</v>
      </c>
      <c r="BD365" s="848">
        <f t="shared" si="293"/>
        <v>0</v>
      </c>
      <c r="BE365" s="848">
        <f t="shared" si="293"/>
        <v>0</v>
      </c>
      <c r="BF365" s="848">
        <f t="shared" si="293"/>
        <v>0</v>
      </c>
      <c r="BG365" s="848">
        <f t="shared" si="293"/>
        <v>0</v>
      </c>
      <c r="BH365" s="848">
        <f t="shared" si="293"/>
        <v>0</v>
      </c>
      <c r="BI365" s="848">
        <f t="shared" si="293"/>
        <v>0</v>
      </c>
      <c r="BJ365" s="848">
        <f t="shared" si="293"/>
        <v>0</v>
      </c>
      <c r="BK365" s="848">
        <f t="shared" si="293"/>
        <v>0</v>
      </c>
      <c r="BL365" s="848">
        <f t="shared" si="293"/>
        <v>0</v>
      </c>
      <c r="BM365" s="848">
        <f t="shared" si="293"/>
        <v>0</v>
      </c>
      <c r="BN365" s="848">
        <f t="shared" si="293"/>
        <v>5803</v>
      </c>
      <c r="BO365" s="848">
        <f t="shared" si="265"/>
        <v>40132.368498000003</v>
      </c>
      <c r="BP365" s="848">
        <f t="shared" si="293"/>
        <v>0</v>
      </c>
      <c r="BQ365" s="848">
        <f t="shared" si="293"/>
        <v>153.76</v>
      </c>
      <c r="BR365" s="848">
        <f t="shared" si="293"/>
        <v>0</v>
      </c>
      <c r="BS365" s="848">
        <f t="shared" si="293"/>
        <v>34204.145598000003</v>
      </c>
      <c r="BT365" s="848">
        <f t="shared" si="293"/>
        <v>0</v>
      </c>
      <c r="BU365" s="848">
        <f t="shared" si="293"/>
        <v>0</v>
      </c>
      <c r="BV365" s="848">
        <f t="shared" si="293"/>
        <v>0</v>
      </c>
      <c r="BW365" s="848">
        <f t="shared" si="293"/>
        <v>0</v>
      </c>
      <c r="BX365" s="848">
        <f t="shared" si="293"/>
        <v>0</v>
      </c>
      <c r="BY365" s="848">
        <f t="shared" si="293"/>
        <v>0</v>
      </c>
      <c r="BZ365" s="848">
        <f t="shared" si="293"/>
        <v>0</v>
      </c>
      <c r="CA365" s="848">
        <f t="shared" si="293"/>
        <v>0</v>
      </c>
      <c r="CB365" s="848">
        <f t="shared" si="293"/>
        <v>0</v>
      </c>
      <c r="CC365" s="848">
        <f t="shared" si="293"/>
        <v>0</v>
      </c>
      <c r="CD365" s="848">
        <f t="shared" si="293"/>
        <v>0</v>
      </c>
      <c r="CE365" s="848">
        <f t="shared" si="293"/>
        <v>5774.4629000000004</v>
      </c>
      <c r="CF365" s="848">
        <f>BO365/AY365%</f>
        <v>153.57557208786164</v>
      </c>
      <c r="CG365" s="848"/>
      <c r="CH365" s="848"/>
      <c r="CI365" s="848"/>
      <c r="CJ365" s="848"/>
      <c r="CK365" s="848"/>
      <c r="CL365" s="848"/>
      <c r="CM365" s="848"/>
      <c r="CN365" s="848"/>
      <c r="CO365" s="848"/>
      <c r="CP365" s="848"/>
      <c r="CQ365" s="848"/>
      <c r="CR365" s="848"/>
      <c r="CS365" s="848"/>
      <c r="CT365" s="848"/>
      <c r="CU365" s="848"/>
      <c r="CV365" s="848"/>
      <c r="CW365" s="848">
        <f t="shared" si="289"/>
        <v>99.508235395485102</v>
      </c>
    </row>
    <row r="366" spans="1:101" ht="24.75" customHeight="1">
      <c r="A366" s="845">
        <v>1</v>
      </c>
      <c r="B366" s="845"/>
      <c r="C366" s="857" t="s">
        <v>998</v>
      </c>
      <c r="D366" s="846">
        <f>D367+D371</f>
        <v>0</v>
      </c>
      <c r="E366" s="845">
        <f t="shared" ref="E366" si="296">E367+E371</f>
        <v>0</v>
      </c>
      <c r="F366" s="847"/>
      <c r="G366" s="845"/>
      <c r="H366" s="850">
        <f t="shared" si="261"/>
        <v>207412</v>
      </c>
      <c r="I366" s="848">
        <f t="shared" si="294"/>
        <v>0</v>
      </c>
      <c r="J366" s="848">
        <f t="shared" si="294"/>
        <v>0</v>
      </c>
      <c r="K366" s="848">
        <f t="shared" si="294"/>
        <v>0</v>
      </c>
      <c r="L366" s="848">
        <f t="shared" si="294"/>
        <v>0</v>
      </c>
      <c r="M366" s="848">
        <f t="shared" si="294"/>
        <v>0</v>
      </c>
      <c r="N366" s="848">
        <f t="shared" si="294"/>
        <v>0</v>
      </c>
      <c r="O366" s="848">
        <f t="shared" si="294"/>
        <v>0</v>
      </c>
      <c r="P366" s="848">
        <f t="shared" si="294"/>
        <v>0</v>
      </c>
      <c r="Q366" s="848">
        <f t="shared" si="294"/>
        <v>0</v>
      </c>
      <c r="R366" s="848">
        <v>189026</v>
      </c>
      <c r="S366" s="848">
        <f>S367+S371</f>
        <v>18386</v>
      </c>
      <c r="T366" s="848">
        <f t="shared" si="294"/>
        <v>67896.784</v>
      </c>
      <c r="U366" s="848">
        <f t="shared" si="294"/>
        <v>0</v>
      </c>
      <c r="V366" s="848">
        <f t="shared" si="294"/>
        <v>0</v>
      </c>
      <c r="W366" s="848">
        <f t="shared" si="294"/>
        <v>15000</v>
      </c>
      <c r="X366" s="848">
        <f t="shared" si="294"/>
        <v>0</v>
      </c>
      <c r="Y366" s="848">
        <f t="shared" si="294"/>
        <v>0</v>
      </c>
      <c r="Z366" s="848">
        <f t="shared" si="294"/>
        <v>0</v>
      </c>
      <c r="AA366" s="848">
        <f t="shared" si="294"/>
        <v>0</v>
      </c>
      <c r="AB366" s="848">
        <f t="shared" si="294"/>
        <v>0</v>
      </c>
      <c r="AC366" s="848">
        <f t="shared" si="294"/>
        <v>0</v>
      </c>
      <c r="AD366" s="848">
        <f t="shared" si="294"/>
        <v>0</v>
      </c>
      <c r="AE366" s="848">
        <f t="shared" si="294"/>
        <v>0</v>
      </c>
      <c r="AF366" s="848">
        <f t="shared" si="294"/>
        <v>0</v>
      </c>
      <c r="AG366" s="848">
        <f t="shared" si="294"/>
        <v>0</v>
      </c>
      <c r="AH366" s="848">
        <f t="shared" si="294"/>
        <v>52896.784</v>
      </c>
      <c r="AI366" s="848">
        <f t="shared" si="294"/>
        <v>48322.028999999995</v>
      </c>
      <c r="AJ366" s="848">
        <f t="shared" si="294"/>
        <v>0</v>
      </c>
      <c r="AK366" s="848">
        <f t="shared" si="294"/>
        <v>0</v>
      </c>
      <c r="AL366" s="848">
        <f t="shared" si="294"/>
        <v>29456</v>
      </c>
      <c r="AM366" s="848">
        <f t="shared" si="294"/>
        <v>0</v>
      </c>
      <c r="AN366" s="848">
        <f t="shared" si="294"/>
        <v>0</v>
      </c>
      <c r="AO366" s="848">
        <f t="shared" si="294"/>
        <v>0</v>
      </c>
      <c r="AP366" s="848">
        <f t="shared" si="294"/>
        <v>0</v>
      </c>
      <c r="AQ366" s="848">
        <f t="shared" si="294"/>
        <v>0</v>
      </c>
      <c r="AR366" s="848">
        <f t="shared" si="294"/>
        <v>0</v>
      </c>
      <c r="AS366" s="848"/>
      <c r="AT366" s="848">
        <f t="shared" si="294"/>
        <v>0</v>
      </c>
      <c r="AU366" s="848">
        <f t="shared" si="294"/>
        <v>0</v>
      </c>
      <c r="AV366" s="848">
        <f t="shared" si="294"/>
        <v>0</v>
      </c>
      <c r="AW366" s="848">
        <f t="shared" si="294"/>
        <v>0</v>
      </c>
      <c r="AX366" s="848">
        <f t="shared" si="294"/>
        <v>18866.028999999999</v>
      </c>
      <c r="AY366" s="848">
        <f t="shared" si="294"/>
        <v>15803</v>
      </c>
      <c r="AZ366" s="848">
        <f t="shared" si="294"/>
        <v>0</v>
      </c>
      <c r="BA366" s="848">
        <f t="shared" si="294"/>
        <v>0</v>
      </c>
      <c r="BB366" s="848">
        <f t="shared" si="294"/>
        <v>0</v>
      </c>
      <c r="BC366" s="848">
        <f t="shared" si="294"/>
        <v>10000</v>
      </c>
      <c r="BD366" s="848">
        <f t="shared" si="294"/>
        <v>0</v>
      </c>
      <c r="BE366" s="848">
        <f t="shared" si="294"/>
        <v>0</v>
      </c>
      <c r="BF366" s="848">
        <f t="shared" si="294"/>
        <v>0</v>
      </c>
      <c r="BG366" s="848">
        <f t="shared" si="294"/>
        <v>0</v>
      </c>
      <c r="BH366" s="848">
        <f t="shared" si="294"/>
        <v>0</v>
      </c>
      <c r="BI366" s="848">
        <f t="shared" si="294"/>
        <v>0</v>
      </c>
      <c r="BJ366" s="848">
        <f t="shared" si="294"/>
        <v>0</v>
      </c>
      <c r="BK366" s="848">
        <f t="shared" si="294"/>
        <v>0</v>
      </c>
      <c r="BL366" s="848">
        <f t="shared" si="294"/>
        <v>0</v>
      </c>
      <c r="BM366" s="848">
        <f t="shared" si="294"/>
        <v>0</v>
      </c>
      <c r="BN366" s="848">
        <f t="shared" si="294"/>
        <v>5803</v>
      </c>
      <c r="BO366" s="848">
        <f t="shared" si="265"/>
        <v>25128.222900000001</v>
      </c>
      <c r="BP366" s="848">
        <f t="shared" si="294"/>
        <v>0</v>
      </c>
      <c r="BQ366" s="848">
        <f t="shared" si="294"/>
        <v>153.76</v>
      </c>
      <c r="BR366" s="848">
        <f t="shared" si="294"/>
        <v>0</v>
      </c>
      <c r="BS366" s="848">
        <f t="shared" ref="BS366:CF366" si="297">BS367+BS371</f>
        <v>19200</v>
      </c>
      <c r="BT366" s="848">
        <f t="shared" si="297"/>
        <v>0</v>
      </c>
      <c r="BU366" s="848">
        <f t="shared" si="297"/>
        <v>0</v>
      </c>
      <c r="BV366" s="848">
        <f t="shared" si="297"/>
        <v>0</v>
      </c>
      <c r="BW366" s="848">
        <f t="shared" si="297"/>
        <v>0</v>
      </c>
      <c r="BX366" s="848">
        <f t="shared" si="297"/>
        <v>0</v>
      </c>
      <c r="BY366" s="848">
        <f t="shared" si="297"/>
        <v>0</v>
      </c>
      <c r="BZ366" s="848">
        <f t="shared" si="297"/>
        <v>0</v>
      </c>
      <c r="CA366" s="848">
        <f t="shared" si="297"/>
        <v>0</v>
      </c>
      <c r="CB366" s="848">
        <f t="shared" si="297"/>
        <v>0</v>
      </c>
      <c r="CC366" s="848">
        <f t="shared" si="297"/>
        <v>0</v>
      </c>
      <c r="CD366" s="848">
        <f t="shared" si="297"/>
        <v>0</v>
      </c>
      <c r="CE366" s="848">
        <f t="shared" si="297"/>
        <v>5774.4629000000004</v>
      </c>
      <c r="CF366" s="848">
        <f t="shared" si="297"/>
        <v>371.12050190735692</v>
      </c>
      <c r="CG366" s="848"/>
      <c r="CH366" s="848"/>
      <c r="CI366" s="848"/>
      <c r="CJ366" s="848"/>
      <c r="CK366" s="848"/>
      <c r="CL366" s="848"/>
      <c r="CM366" s="848"/>
      <c r="CN366" s="848"/>
      <c r="CO366" s="848"/>
      <c r="CP366" s="848"/>
      <c r="CQ366" s="848"/>
      <c r="CR366" s="848"/>
      <c r="CS366" s="848"/>
      <c r="CT366" s="848"/>
      <c r="CU366" s="848"/>
      <c r="CV366" s="848"/>
      <c r="CW366" s="848">
        <f t="shared" si="289"/>
        <v>99.508235395485102</v>
      </c>
    </row>
    <row r="367" spans="1:101" ht="24.75" customHeight="1">
      <c r="A367" s="845" t="s">
        <v>30</v>
      </c>
      <c r="B367" s="845"/>
      <c r="C367" s="857" t="s">
        <v>358</v>
      </c>
      <c r="D367" s="846">
        <f>D368+D369+D370</f>
        <v>0</v>
      </c>
      <c r="E367" s="845">
        <f t="shared" ref="E367" si="298">E368+E369+E370</f>
        <v>0</v>
      </c>
      <c r="F367" s="847"/>
      <c r="G367" s="845"/>
      <c r="H367" s="850">
        <f t="shared" si="261"/>
        <v>25624</v>
      </c>
      <c r="I367" s="848">
        <f t="shared" ref="I367:BT367" si="299">I368+I369+I370</f>
        <v>0</v>
      </c>
      <c r="J367" s="848">
        <f>J368+J369+J370</f>
        <v>0</v>
      </c>
      <c r="K367" s="848">
        <f t="shared" si="299"/>
        <v>0</v>
      </c>
      <c r="L367" s="848">
        <f t="shared" si="299"/>
        <v>0</v>
      </c>
      <c r="M367" s="848">
        <f t="shared" si="299"/>
        <v>0</v>
      </c>
      <c r="N367" s="848">
        <f t="shared" si="299"/>
        <v>0</v>
      </c>
      <c r="O367" s="848">
        <f t="shared" si="299"/>
        <v>0</v>
      </c>
      <c r="P367" s="848">
        <f t="shared" si="299"/>
        <v>0</v>
      </c>
      <c r="Q367" s="848">
        <f t="shared" si="299"/>
        <v>0</v>
      </c>
      <c r="R367" s="848">
        <v>17738</v>
      </c>
      <c r="S367" s="848">
        <f>S368+S369+S370</f>
        <v>7886</v>
      </c>
      <c r="T367" s="848">
        <f t="shared" si="299"/>
        <v>12961.815000000001</v>
      </c>
      <c r="U367" s="848">
        <f t="shared" si="299"/>
        <v>0</v>
      </c>
      <c r="V367" s="848">
        <f t="shared" si="299"/>
        <v>0</v>
      </c>
      <c r="W367" s="848">
        <f t="shared" si="299"/>
        <v>0</v>
      </c>
      <c r="X367" s="848">
        <f t="shared" si="299"/>
        <v>0</v>
      </c>
      <c r="Y367" s="848">
        <f t="shared" si="299"/>
        <v>0</v>
      </c>
      <c r="Z367" s="848">
        <f t="shared" si="299"/>
        <v>0</v>
      </c>
      <c r="AA367" s="848">
        <f t="shared" si="299"/>
        <v>0</v>
      </c>
      <c r="AB367" s="848">
        <f t="shared" si="299"/>
        <v>0</v>
      </c>
      <c r="AC367" s="848">
        <f t="shared" si="299"/>
        <v>0</v>
      </c>
      <c r="AD367" s="848"/>
      <c r="AE367" s="848"/>
      <c r="AF367" s="848">
        <f t="shared" si="299"/>
        <v>0</v>
      </c>
      <c r="AG367" s="848">
        <f t="shared" si="299"/>
        <v>0</v>
      </c>
      <c r="AH367" s="848">
        <f t="shared" si="299"/>
        <v>12961.815000000001</v>
      </c>
      <c r="AI367" s="848">
        <f t="shared" si="299"/>
        <v>18866.028999999999</v>
      </c>
      <c r="AJ367" s="848">
        <f t="shared" si="299"/>
        <v>0</v>
      </c>
      <c r="AK367" s="848">
        <f t="shared" si="299"/>
        <v>0</v>
      </c>
      <c r="AL367" s="848">
        <f t="shared" si="299"/>
        <v>0</v>
      </c>
      <c r="AM367" s="848">
        <f t="shared" si="299"/>
        <v>0</v>
      </c>
      <c r="AN367" s="848">
        <f t="shared" si="299"/>
        <v>0</v>
      </c>
      <c r="AO367" s="848">
        <f t="shared" si="299"/>
        <v>0</v>
      </c>
      <c r="AP367" s="848">
        <f t="shared" si="299"/>
        <v>0</v>
      </c>
      <c r="AQ367" s="848">
        <f t="shared" si="299"/>
        <v>0</v>
      </c>
      <c r="AR367" s="848">
        <f t="shared" si="299"/>
        <v>0</v>
      </c>
      <c r="AS367" s="848"/>
      <c r="AT367" s="848">
        <f t="shared" si="299"/>
        <v>0</v>
      </c>
      <c r="AU367" s="848">
        <f t="shared" si="299"/>
        <v>0</v>
      </c>
      <c r="AV367" s="848">
        <f t="shared" si="299"/>
        <v>0</v>
      </c>
      <c r="AW367" s="848">
        <f t="shared" si="299"/>
        <v>0</v>
      </c>
      <c r="AX367" s="848">
        <f t="shared" si="299"/>
        <v>18866.028999999999</v>
      </c>
      <c r="AY367" s="848">
        <f t="shared" si="299"/>
        <v>3803</v>
      </c>
      <c r="AZ367" s="848">
        <f t="shared" si="299"/>
        <v>0</v>
      </c>
      <c r="BA367" s="848">
        <f t="shared" si="299"/>
        <v>0</v>
      </c>
      <c r="BB367" s="848">
        <f t="shared" si="299"/>
        <v>0</v>
      </c>
      <c r="BC367" s="848">
        <f t="shared" si="299"/>
        <v>0</v>
      </c>
      <c r="BD367" s="848">
        <f t="shared" si="299"/>
        <v>0</v>
      </c>
      <c r="BE367" s="848">
        <f t="shared" si="299"/>
        <v>0</v>
      </c>
      <c r="BF367" s="848">
        <f t="shared" si="299"/>
        <v>0</v>
      </c>
      <c r="BG367" s="848">
        <f t="shared" si="299"/>
        <v>0</v>
      </c>
      <c r="BH367" s="848">
        <f t="shared" si="299"/>
        <v>0</v>
      </c>
      <c r="BI367" s="848">
        <f t="shared" si="299"/>
        <v>0</v>
      </c>
      <c r="BJ367" s="848">
        <f t="shared" si="299"/>
        <v>0</v>
      </c>
      <c r="BK367" s="848">
        <f t="shared" si="299"/>
        <v>0</v>
      </c>
      <c r="BL367" s="848">
        <f t="shared" si="299"/>
        <v>0</v>
      </c>
      <c r="BM367" s="848">
        <f t="shared" si="299"/>
        <v>0</v>
      </c>
      <c r="BN367" s="848">
        <f t="shared" si="299"/>
        <v>3803</v>
      </c>
      <c r="BO367" s="848">
        <f t="shared" si="265"/>
        <v>3928.2228999999998</v>
      </c>
      <c r="BP367" s="848">
        <f t="shared" si="299"/>
        <v>0</v>
      </c>
      <c r="BQ367" s="848">
        <f t="shared" si="299"/>
        <v>153.76</v>
      </c>
      <c r="BR367" s="848">
        <f t="shared" si="299"/>
        <v>0</v>
      </c>
      <c r="BS367" s="848">
        <f t="shared" si="299"/>
        <v>0</v>
      </c>
      <c r="BT367" s="848">
        <f t="shared" si="299"/>
        <v>0</v>
      </c>
      <c r="BU367" s="848">
        <f t="shared" ref="BU367:CF367" si="300">BU368+BU369+BU370</f>
        <v>0</v>
      </c>
      <c r="BV367" s="848">
        <f t="shared" si="300"/>
        <v>0</v>
      </c>
      <c r="BW367" s="848">
        <f t="shared" si="300"/>
        <v>0</v>
      </c>
      <c r="BX367" s="848">
        <f t="shared" si="300"/>
        <v>0</v>
      </c>
      <c r="BY367" s="848">
        <f t="shared" si="300"/>
        <v>0</v>
      </c>
      <c r="BZ367" s="848">
        <f t="shared" si="300"/>
        <v>0</v>
      </c>
      <c r="CA367" s="848">
        <f t="shared" si="300"/>
        <v>0</v>
      </c>
      <c r="CB367" s="848">
        <f t="shared" si="300"/>
        <v>0</v>
      </c>
      <c r="CC367" s="848">
        <f t="shared" si="300"/>
        <v>0</v>
      </c>
      <c r="CD367" s="848">
        <f t="shared" si="300"/>
        <v>0</v>
      </c>
      <c r="CE367" s="848">
        <f t="shared" si="300"/>
        <v>3774.4629</v>
      </c>
      <c r="CF367" s="848">
        <f t="shared" si="300"/>
        <v>194.4538352406903</v>
      </c>
      <c r="CG367" s="848"/>
      <c r="CH367" s="848"/>
      <c r="CI367" s="848"/>
      <c r="CJ367" s="848"/>
      <c r="CK367" s="848"/>
      <c r="CL367" s="848"/>
      <c r="CM367" s="848"/>
      <c r="CN367" s="848"/>
      <c r="CO367" s="848"/>
      <c r="CP367" s="848"/>
      <c r="CQ367" s="848"/>
      <c r="CR367" s="848"/>
      <c r="CS367" s="848"/>
      <c r="CT367" s="848"/>
      <c r="CU367" s="848"/>
      <c r="CV367" s="848"/>
      <c r="CW367" s="848">
        <f t="shared" si="289"/>
        <v>99.249616092558497</v>
      </c>
    </row>
    <row r="368" spans="1:101" ht="34.15" customHeight="1">
      <c r="A368" s="845"/>
      <c r="B368" s="852" t="s">
        <v>998</v>
      </c>
      <c r="C368" s="852" t="s">
        <v>999</v>
      </c>
      <c r="D368" s="846"/>
      <c r="E368" s="845"/>
      <c r="F368" s="853" t="s">
        <v>367</v>
      </c>
      <c r="G368" s="854" t="s">
        <v>1000</v>
      </c>
      <c r="H368" s="850">
        <f t="shared" si="261"/>
        <v>6056</v>
      </c>
      <c r="I368" s="894"/>
      <c r="J368" s="848"/>
      <c r="K368" s="848"/>
      <c r="L368" s="848"/>
      <c r="M368" s="848"/>
      <c r="N368" s="848"/>
      <c r="O368" s="848"/>
      <c r="P368" s="848"/>
      <c r="Q368" s="848"/>
      <c r="R368" s="848"/>
      <c r="S368" s="894">
        <v>6056</v>
      </c>
      <c r="T368" s="855">
        <f t="shared" ref="T368:T400" si="301">SUM(U368:AH368)</f>
        <v>0</v>
      </c>
      <c r="U368" s="848"/>
      <c r="V368" s="848"/>
      <c r="W368" s="848"/>
      <c r="X368" s="848"/>
      <c r="Y368" s="848"/>
      <c r="Z368" s="848"/>
      <c r="AA368" s="848"/>
      <c r="AB368" s="848"/>
      <c r="AC368" s="848"/>
      <c r="AD368" s="848"/>
      <c r="AE368" s="848"/>
      <c r="AF368" s="848"/>
      <c r="AG368" s="848"/>
      <c r="AH368" s="855"/>
      <c r="AI368" s="855">
        <f>AX368</f>
        <v>0</v>
      </c>
      <c r="AJ368" s="855"/>
      <c r="AK368" s="855"/>
      <c r="AL368" s="855"/>
      <c r="AM368" s="855"/>
      <c r="AN368" s="855"/>
      <c r="AO368" s="855"/>
      <c r="AP368" s="855"/>
      <c r="AQ368" s="855"/>
      <c r="AR368" s="855"/>
      <c r="AS368" s="855"/>
      <c r="AT368" s="855"/>
      <c r="AU368" s="855"/>
      <c r="AV368" s="855"/>
      <c r="AW368" s="855"/>
      <c r="AX368" s="855"/>
      <c r="AY368" s="855">
        <f t="shared" ref="AY368:AY373" si="302">SUM(AZ368:BN368)</f>
        <v>3303</v>
      </c>
      <c r="AZ368" s="855"/>
      <c r="BA368" s="855"/>
      <c r="BB368" s="855"/>
      <c r="BC368" s="855"/>
      <c r="BD368" s="855"/>
      <c r="BE368" s="855"/>
      <c r="BF368" s="855"/>
      <c r="BG368" s="855"/>
      <c r="BH368" s="855"/>
      <c r="BI368" s="855"/>
      <c r="BJ368" s="855"/>
      <c r="BK368" s="855"/>
      <c r="BL368" s="855"/>
      <c r="BM368" s="855"/>
      <c r="BN368" s="855">
        <f>'[10]bieu cu'!H25</f>
        <v>3303</v>
      </c>
      <c r="BO368" s="848">
        <f t="shared" si="265"/>
        <v>3302.0499</v>
      </c>
      <c r="BP368" s="855"/>
      <c r="BQ368" s="855"/>
      <c r="BR368" s="855"/>
      <c r="BS368" s="855"/>
      <c r="BT368" s="855"/>
      <c r="BU368" s="855"/>
      <c r="BV368" s="855"/>
      <c r="BW368" s="855"/>
      <c r="BX368" s="855"/>
      <c r="BY368" s="855"/>
      <c r="BZ368" s="855"/>
      <c r="CA368" s="855"/>
      <c r="CB368" s="855"/>
      <c r="CC368" s="855"/>
      <c r="CD368" s="855"/>
      <c r="CE368" s="855">
        <f>'[10]bieu cu'!M25</f>
        <v>3302.0499</v>
      </c>
      <c r="CF368" s="848">
        <f>BO368/AY368%</f>
        <v>99.971235240690277</v>
      </c>
      <c r="CG368" s="848"/>
      <c r="CH368" s="848"/>
      <c r="CI368" s="848"/>
      <c r="CJ368" s="848"/>
      <c r="CK368" s="848"/>
      <c r="CL368" s="848"/>
      <c r="CM368" s="848"/>
      <c r="CN368" s="848"/>
      <c r="CO368" s="848"/>
      <c r="CP368" s="848"/>
      <c r="CQ368" s="848"/>
      <c r="CR368" s="848"/>
      <c r="CS368" s="848"/>
      <c r="CT368" s="848"/>
      <c r="CU368" s="848"/>
      <c r="CV368" s="848"/>
      <c r="CW368" s="848">
        <f t="shared" si="289"/>
        <v>99.971235240690277</v>
      </c>
    </row>
    <row r="369" spans="1:101" ht="45.6" customHeight="1">
      <c r="A369" s="845"/>
      <c r="B369" s="852" t="s">
        <v>998</v>
      </c>
      <c r="C369" s="852" t="s">
        <v>1001</v>
      </c>
      <c r="D369" s="846"/>
      <c r="E369" s="845"/>
      <c r="F369" s="853" t="s">
        <v>1002</v>
      </c>
      <c r="G369" s="854" t="s">
        <v>1003</v>
      </c>
      <c r="H369" s="850">
        <f t="shared" si="261"/>
        <v>1830</v>
      </c>
      <c r="I369" s="850"/>
      <c r="J369" s="848"/>
      <c r="K369" s="848"/>
      <c r="L369" s="848"/>
      <c r="M369" s="848"/>
      <c r="N369" s="848"/>
      <c r="O369" s="848"/>
      <c r="P369" s="848"/>
      <c r="Q369" s="848"/>
      <c r="R369" s="848"/>
      <c r="S369" s="850">
        <v>1830</v>
      </c>
      <c r="T369" s="855">
        <f t="shared" si="301"/>
        <v>1778.2349999999999</v>
      </c>
      <c r="U369" s="848"/>
      <c r="V369" s="848"/>
      <c r="W369" s="848"/>
      <c r="X369" s="848"/>
      <c r="Y369" s="848"/>
      <c r="Z369" s="848"/>
      <c r="AA369" s="848"/>
      <c r="AB369" s="848"/>
      <c r="AC369" s="848"/>
      <c r="AD369" s="848"/>
      <c r="AE369" s="848"/>
      <c r="AF369" s="848"/>
      <c r="AG369" s="848"/>
      <c r="AH369" s="855">
        <v>1778.2349999999999</v>
      </c>
      <c r="AI369" s="855">
        <f>AX369</f>
        <v>1178</v>
      </c>
      <c r="AJ369" s="855"/>
      <c r="AK369" s="855"/>
      <c r="AL369" s="855"/>
      <c r="AM369" s="855"/>
      <c r="AN369" s="855"/>
      <c r="AO369" s="855"/>
      <c r="AP369" s="855"/>
      <c r="AQ369" s="855"/>
      <c r="AR369" s="855"/>
      <c r="AS369" s="855"/>
      <c r="AT369" s="855"/>
      <c r="AU369" s="855"/>
      <c r="AV369" s="855"/>
      <c r="AW369" s="855"/>
      <c r="AX369" s="855">
        <v>1178</v>
      </c>
      <c r="AY369" s="855">
        <f t="shared" si="302"/>
        <v>500</v>
      </c>
      <c r="AZ369" s="855"/>
      <c r="BA369" s="855"/>
      <c r="BB369" s="855"/>
      <c r="BC369" s="855"/>
      <c r="BD369" s="855"/>
      <c r="BE369" s="855"/>
      <c r="BF369" s="855"/>
      <c r="BG369" s="855"/>
      <c r="BH369" s="855"/>
      <c r="BI369" s="855"/>
      <c r="BJ369" s="855"/>
      <c r="BK369" s="855"/>
      <c r="BL369" s="855"/>
      <c r="BM369" s="855"/>
      <c r="BN369" s="855">
        <f>'[10]bieu cu'!H37</f>
        <v>500</v>
      </c>
      <c r="BO369" s="848">
        <f t="shared" si="265"/>
        <v>472.41300000000001</v>
      </c>
      <c r="BP369" s="855"/>
      <c r="BQ369" s="855"/>
      <c r="BR369" s="855"/>
      <c r="BS369" s="855"/>
      <c r="BT369" s="855"/>
      <c r="BU369" s="855"/>
      <c r="BV369" s="855"/>
      <c r="BW369" s="855"/>
      <c r="BX369" s="855"/>
      <c r="BY369" s="855"/>
      <c r="BZ369" s="855"/>
      <c r="CA369" s="855"/>
      <c r="CB369" s="855"/>
      <c r="CC369" s="855"/>
      <c r="CD369" s="855"/>
      <c r="CE369" s="855">
        <v>472.41300000000001</v>
      </c>
      <c r="CF369" s="848">
        <f>BO369/AY369%</f>
        <v>94.482600000000005</v>
      </c>
      <c r="CG369" s="848"/>
      <c r="CH369" s="848"/>
      <c r="CI369" s="848"/>
      <c r="CJ369" s="848"/>
      <c r="CK369" s="848"/>
      <c r="CL369" s="848"/>
      <c r="CM369" s="848"/>
      <c r="CN369" s="848"/>
      <c r="CO369" s="848"/>
      <c r="CP369" s="848"/>
      <c r="CQ369" s="848"/>
      <c r="CR369" s="848"/>
      <c r="CS369" s="848"/>
      <c r="CT369" s="848"/>
      <c r="CU369" s="848"/>
      <c r="CV369" s="848"/>
      <c r="CW369" s="848">
        <f t="shared" si="289"/>
        <v>94.482600000000005</v>
      </c>
    </row>
    <row r="370" spans="1:101" ht="45.6" customHeight="1">
      <c r="A370" s="845"/>
      <c r="B370" s="852" t="s">
        <v>998</v>
      </c>
      <c r="C370" s="852" t="s">
        <v>1004</v>
      </c>
      <c r="D370" s="846"/>
      <c r="E370" s="845"/>
      <c r="F370" s="853">
        <v>2016</v>
      </c>
      <c r="G370" s="853" t="s">
        <v>1005</v>
      </c>
      <c r="H370" s="850">
        <f t="shared" si="261"/>
        <v>17738</v>
      </c>
      <c r="I370" s="848"/>
      <c r="J370" s="848"/>
      <c r="K370" s="848"/>
      <c r="L370" s="848"/>
      <c r="M370" s="848"/>
      <c r="N370" s="848"/>
      <c r="O370" s="848"/>
      <c r="P370" s="848"/>
      <c r="Q370" s="848"/>
      <c r="R370" s="855">
        <v>17738</v>
      </c>
      <c r="S370" s="848"/>
      <c r="T370" s="855">
        <f t="shared" si="301"/>
        <v>11183.58</v>
      </c>
      <c r="U370" s="848"/>
      <c r="V370" s="848"/>
      <c r="W370" s="848"/>
      <c r="X370" s="848"/>
      <c r="Y370" s="848"/>
      <c r="Z370" s="848"/>
      <c r="AA370" s="848"/>
      <c r="AB370" s="848"/>
      <c r="AC370" s="848"/>
      <c r="AD370" s="848"/>
      <c r="AE370" s="848"/>
      <c r="AF370" s="848"/>
      <c r="AG370" s="848"/>
      <c r="AH370" s="855">
        <v>11183.58</v>
      </c>
      <c r="AI370" s="855">
        <f>AX370</f>
        <v>17688.028999999999</v>
      </c>
      <c r="AJ370" s="855"/>
      <c r="AK370" s="855"/>
      <c r="AL370" s="855"/>
      <c r="AM370" s="855"/>
      <c r="AN370" s="855"/>
      <c r="AO370" s="855"/>
      <c r="AP370" s="855"/>
      <c r="AQ370" s="855"/>
      <c r="AR370" s="855"/>
      <c r="AS370" s="855"/>
      <c r="AT370" s="855"/>
      <c r="AU370" s="855"/>
      <c r="AV370" s="855"/>
      <c r="AW370" s="855"/>
      <c r="AX370" s="855">
        <v>17688.028999999999</v>
      </c>
      <c r="AY370" s="855">
        <f t="shared" si="302"/>
        <v>0</v>
      </c>
      <c r="AZ370" s="855"/>
      <c r="BA370" s="855"/>
      <c r="BB370" s="855"/>
      <c r="BC370" s="855"/>
      <c r="BD370" s="855"/>
      <c r="BE370" s="855"/>
      <c r="BF370" s="855"/>
      <c r="BG370" s="855"/>
      <c r="BH370" s="855"/>
      <c r="BI370" s="855"/>
      <c r="BJ370" s="855"/>
      <c r="BK370" s="855"/>
      <c r="BL370" s="855"/>
      <c r="BM370" s="855"/>
      <c r="BN370" s="855"/>
      <c r="BO370" s="848">
        <f t="shared" si="265"/>
        <v>153.76</v>
      </c>
      <c r="BP370" s="855"/>
      <c r="BQ370" s="855">
        <v>153.76</v>
      </c>
      <c r="BR370" s="855"/>
      <c r="BS370" s="855"/>
      <c r="BT370" s="855"/>
      <c r="BU370" s="855"/>
      <c r="BV370" s="855"/>
      <c r="BW370" s="855"/>
      <c r="BX370" s="855"/>
      <c r="BY370" s="855"/>
      <c r="BZ370" s="855"/>
      <c r="CA370" s="855"/>
      <c r="CB370" s="855"/>
      <c r="CC370" s="855"/>
      <c r="CD370" s="855"/>
      <c r="CE370" s="855"/>
      <c r="CF370" s="848"/>
      <c r="CG370" s="848"/>
      <c r="CH370" s="848"/>
      <c r="CI370" s="848"/>
      <c r="CJ370" s="848"/>
      <c r="CK370" s="848"/>
      <c r="CL370" s="848"/>
      <c r="CM370" s="848"/>
      <c r="CN370" s="848"/>
      <c r="CO370" s="848"/>
      <c r="CP370" s="848"/>
      <c r="CQ370" s="848"/>
      <c r="CR370" s="848"/>
      <c r="CS370" s="848"/>
      <c r="CT370" s="848"/>
      <c r="CU370" s="848"/>
      <c r="CV370" s="848"/>
      <c r="CW370" s="848"/>
    </row>
    <row r="371" spans="1:101" s="851" customFormat="1" ht="33.6" customHeight="1">
      <c r="A371" s="845" t="s">
        <v>31</v>
      </c>
      <c r="B371" s="845"/>
      <c r="C371" s="857" t="s">
        <v>508</v>
      </c>
      <c r="D371" s="846">
        <f>D372+D373+D374</f>
        <v>0</v>
      </c>
      <c r="E371" s="845">
        <f t="shared" ref="E371:CE371" si="303">E372+E373+E374</f>
        <v>0</v>
      </c>
      <c r="F371" s="847"/>
      <c r="G371" s="845"/>
      <c r="H371" s="850">
        <f t="shared" si="261"/>
        <v>181788</v>
      </c>
      <c r="I371" s="848">
        <f t="shared" ref="I371:AX371" si="304">I372+I373+I374</f>
        <v>0</v>
      </c>
      <c r="J371" s="848">
        <f t="shared" si="304"/>
        <v>0</v>
      </c>
      <c r="K371" s="848">
        <f t="shared" si="304"/>
        <v>0</v>
      </c>
      <c r="L371" s="848">
        <f t="shared" si="304"/>
        <v>0</v>
      </c>
      <c r="M371" s="848">
        <f t="shared" si="304"/>
        <v>0</v>
      </c>
      <c r="N371" s="848">
        <f t="shared" si="304"/>
        <v>0</v>
      </c>
      <c r="O371" s="848">
        <f t="shared" si="304"/>
        <v>0</v>
      </c>
      <c r="P371" s="848">
        <f t="shared" si="304"/>
        <v>0</v>
      </c>
      <c r="Q371" s="848">
        <f t="shared" si="304"/>
        <v>0</v>
      </c>
      <c r="R371" s="848">
        <v>171288</v>
      </c>
      <c r="S371" s="848">
        <f t="shared" si="304"/>
        <v>10500</v>
      </c>
      <c r="T371" s="848">
        <f t="shared" si="304"/>
        <v>54934.968999999997</v>
      </c>
      <c r="U371" s="848">
        <f t="shared" si="304"/>
        <v>0</v>
      </c>
      <c r="V371" s="848">
        <f t="shared" si="304"/>
        <v>0</v>
      </c>
      <c r="W371" s="848">
        <f t="shared" si="304"/>
        <v>15000</v>
      </c>
      <c r="X371" s="848">
        <f t="shared" si="304"/>
        <v>0</v>
      </c>
      <c r="Y371" s="848">
        <f t="shared" si="304"/>
        <v>0</v>
      </c>
      <c r="Z371" s="848">
        <f t="shared" si="304"/>
        <v>0</v>
      </c>
      <c r="AA371" s="848">
        <f t="shared" si="304"/>
        <v>0</v>
      </c>
      <c r="AB371" s="848">
        <f t="shared" si="304"/>
        <v>0</v>
      </c>
      <c r="AC371" s="848">
        <f t="shared" si="304"/>
        <v>0</v>
      </c>
      <c r="AD371" s="848"/>
      <c r="AE371" s="848"/>
      <c r="AF371" s="848">
        <f t="shared" si="304"/>
        <v>0</v>
      </c>
      <c r="AG371" s="848">
        <f t="shared" si="304"/>
        <v>0</v>
      </c>
      <c r="AH371" s="848">
        <f t="shared" si="304"/>
        <v>39934.968999999997</v>
      </c>
      <c r="AI371" s="848">
        <f t="shared" si="304"/>
        <v>29456</v>
      </c>
      <c r="AJ371" s="848">
        <f t="shared" si="304"/>
        <v>0</v>
      </c>
      <c r="AK371" s="848">
        <f t="shared" si="304"/>
        <v>0</v>
      </c>
      <c r="AL371" s="848">
        <f t="shared" si="304"/>
        <v>29456</v>
      </c>
      <c r="AM371" s="848">
        <f t="shared" si="304"/>
        <v>0</v>
      </c>
      <c r="AN371" s="848">
        <f t="shared" si="304"/>
        <v>0</v>
      </c>
      <c r="AO371" s="848">
        <f t="shared" si="304"/>
        <v>0</v>
      </c>
      <c r="AP371" s="848">
        <f t="shared" si="304"/>
        <v>0</v>
      </c>
      <c r="AQ371" s="848">
        <f t="shared" si="304"/>
        <v>0</v>
      </c>
      <c r="AR371" s="848">
        <f t="shared" si="304"/>
        <v>0</v>
      </c>
      <c r="AS371" s="848"/>
      <c r="AT371" s="848">
        <f t="shared" si="304"/>
        <v>0</v>
      </c>
      <c r="AU371" s="848">
        <f t="shared" si="304"/>
        <v>0</v>
      </c>
      <c r="AV371" s="848">
        <f t="shared" si="304"/>
        <v>0</v>
      </c>
      <c r="AW371" s="848">
        <f t="shared" si="304"/>
        <v>0</v>
      </c>
      <c r="AX371" s="848">
        <f t="shared" si="304"/>
        <v>0</v>
      </c>
      <c r="AY371" s="848">
        <f t="shared" si="303"/>
        <v>12000</v>
      </c>
      <c r="AZ371" s="848">
        <f t="shared" si="303"/>
        <v>0</v>
      </c>
      <c r="BA371" s="848">
        <f t="shared" si="303"/>
        <v>0</v>
      </c>
      <c r="BB371" s="848">
        <f t="shared" si="303"/>
        <v>0</v>
      </c>
      <c r="BC371" s="848">
        <f t="shared" si="303"/>
        <v>10000</v>
      </c>
      <c r="BD371" s="848">
        <f t="shared" si="303"/>
        <v>0</v>
      </c>
      <c r="BE371" s="848">
        <f t="shared" si="303"/>
        <v>0</v>
      </c>
      <c r="BF371" s="848">
        <f t="shared" si="303"/>
        <v>0</v>
      </c>
      <c r="BG371" s="848">
        <f t="shared" si="303"/>
        <v>0</v>
      </c>
      <c r="BH371" s="848">
        <f t="shared" si="303"/>
        <v>0</v>
      </c>
      <c r="BI371" s="848">
        <f t="shared" si="303"/>
        <v>0</v>
      </c>
      <c r="BJ371" s="848">
        <f t="shared" si="303"/>
        <v>0</v>
      </c>
      <c r="BK371" s="848">
        <f t="shared" si="303"/>
        <v>0</v>
      </c>
      <c r="BL371" s="848">
        <f t="shared" si="303"/>
        <v>0</v>
      </c>
      <c r="BM371" s="848">
        <f t="shared" si="303"/>
        <v>0</v>
      </c>
      <c r="BN371" s="848">
        <f t="shared" si="303"/>
        <v>2000</v>
      </c>
      <c r="BO371" s="848">
        <f t="shared" si="265"/>
        <v>21200</v>
      </c>
      <c r="BP371" s="848">
        <f t="shared" si="303"/>
        <v>0</v>
      </c>
      <c r="BQ371" s="848">
        <f t="shared" si="303"/>
        <v>0</v>
      </c>
      <c r="BR371" s="848">
        <f t="shared" si="303"/>
        <v>0</v>
      </c>
      <c r="BS371" s="848">
        <f t="shared" si="303"/>
        <v>19200</v>
      </c>
      <c r="BT371" s="848">
        <f t="shared" si="303"/>
        <v>0</v>
      </c>
      <c r="BU371" s="848">
        <f t="shared" si="303"/>
        <v>0</v>
      </c>
      <c r="BV371" s="848">
        <f t="shared" si="303"/>
        <v>0</v>
      </c>
      <c r="BW371" s="848">
        <f t="shared" si="303"/>
        <v>0</v>
      </c>
      <c r="BX371" s="848">
        <f t="shared" si="303"/>
        <v>0</v>
      </c>
      <c r="BY371" s="848">
        <f t="shared" si="303"/>
        <v>0</v>
      </c>
      <c r="BZ371" s="848">
        <f t="shared" si="303"/>
        <v>0</v>
      </c>
      <c r="CA371" s="848">
        <f t="shared" si="303"/>
        <v>0</v>
      </c>
      <c r="CB371" s="848">
        <f t="shared" si="303"/>
        <v>0</v>
      </c>
      <c r="CC371" s="848">
        <f t="shared" si="303"/>
        <v>0</v>
      </c>
      <c r="CD371" s="848">
        <f t="shared" si="303"/>
        <v>0</v>
      </c>
      <c r="CE371" s="848">
        <f t="shared" si="303"/>
        <v>2000</v>
      </c>
      <c r="CF371" s="848">
        <f>BO371/AY371%</f>
        <v>176.66666666666666</v>
      </c>
      <c r="CG371" s="848"/>
      <c r="CH371" s="848"/>
      <c r="CI371" s="848"/>
      <c r="CJ371" s="848"/>
      <c r="CK371" s="848"/>
      <c r="CL371" s="848"/>
      <c r="CM371" s="848"/>
      <c r="CN371" s="848"/>
      <c r="CO371" s="848"/>
      <c r="CP371" s="848"/>
      <c r="CQ371" s="848"/>
      <c r="CR371" s="848"/>
      <c r="CS371" s="848"/>
      <c r="CT371" s="848"/>
      <c r="CU371" s="848"/>
      <c r="CV371" s="848"/>
      <c r="CW371" s="848">
        <f t="shared" si="289"/>
        <v>100</v>
      </c>
    </row>
    <row r="372" spans="1:101" ht="46.9" customHeight="1">
      <c r="A372" s="845"/>
      <c r="B372" s="852" t="s">
        <v>998</v>
      </c>
      <c r="C372" s="852" t="s">
        <v>1006</v>
      </c>
      <c r="D372" s="846"/>
      <c r="E372" s="845"/>
      <c r="F372" s="853" t="s">
        <v>1007</v>
      </c>
      <c r="G372" s="846" t="s">
        <v>1008</v>
      </c>
      <c r="H372" s="850">
        <f t="shared" si="261"/>
        <v>37500</v>
      </c>
      <c r="I372" s="894"/>
      <c r="J372" s="848"/>
      <c r="K372" s="848"/>
      <c r="L372" s="848"/>
      <c r="M372" s="848"/>
      <c r="N372" s="848"/>
      <c r="O372" s="848"/>
      <c r="P372" s="848"/>
      <c r="Q372" s="848"/>
      <c r="R372" s="855">
        <v>30000</v>
      </c>
      <c r="S372" s="855">
        <v>7500</v>
      </c>
      <c r="T372" s="855">
        <f t="shared" si="301"/>
        <v>0</v>
      </c>
      <c r="U372" s="848"/>
      <c r="V372" s="848"/>
      <c r="W372" s="848"/>
      <c r="X372" s="848"/>
      <c r="Y372" s="848"/>
      <c r="Z372" s="848"/>
      <c r="AA372" s="848"/>
      <c r="AB372" s="848"/>
      <c r="AC372" s="848"/>
      <c r="AD372" s="848"/>
      <c r="AE372" s="848"/>
      <c r="AF372" s="848"/>
      <c r="AG372" s="848"/>
      <c r="AH372" s="855"/>
      <c r="AI372" s="855">
        <f>AX372</f>
        <v>0</v>
      </c>
      <c r="AJ372" s="855"/>
      <c r="AK372" s="855"/>
      <c r="AL372" s="855"/>
      <c r="AM372" s="855"/>
      <c r="AN372" s="855"/>
      <c r="AO372" s="855"/>
      <c r="AP372" s="855"/>
      <c r="AQ372" s="855"/>
      <c r="AR372" s="855"/>
      <c r="AS372" s="855"/>
      <c r="AT372" s="855"/>
      <c r="AU372" s="855"/>
      <c r="AV372" s="855"/>
      <c r="AW372" s="855"/>
      <c r="AX372" s="855"/>
      <c r="AY372" s="855">
        <f t="shared" si="302"/>
        <v>1000</v>
      </c>
      <c r="AZ372" s="855"/>
      <c r="BA372" s="855"/>
      <c r="BB372" s="855"/>
      <c r="BC372" s="855"/>
      <c r="BD372" s="855"/>
      <c r="BE372" s="855"/>
      <c r="BF372" s="855"/>
      <c r="BG372" s="855"/>
      <c r="BH372" s="855"/>
      <c r="BI372" s="855"/>
      <c r="BJ372" s="855"/>
      <c r="BK372" s="855"/>
      <c r="BL372" s="855"/>
      <c r="BM372" s="855"/>
      <c r="BN372" s="855">
        <f>'[10]bieu cu'!H123</f>
        <v>1000</v>
      </c>
      <c r="BO372" s="848">
        <f t="shared" si="265"/>
        <v>1000</v>
      </c>
      <c r="BP372" s="855"/>
      <c r="BQ372" s="855"/>
      <c r="BR372" s="855"/>
      <c r="BS372" s="855"/>
      <c r="BT372" s="855"/>
      <c r="BU372" s="855"/>
      <c r="BV372" s="855"/>
      <c r="BW372" s="855"/>
      <c r="BX372" s="855"/>
      <c r="BY372" s="855"/>
      <c r="BZ372" s="855"/>
      <c r="CA372" s="855"/>
      <c r="CB372" s="855"/>
      <c r="CC372" s="855"/>
      <c r="CD372" s="855"/>
      <c r="CE372" s="855">
        <f>'[10]bieu cu'!M123</f>
        <v>1000</v>
      </c>
      <c r="CF372" s="848">
        <f>BO372/AY372%</f>
        <v>100</v>
      </c>
      <c r="CG372" s="848"/>
      <c r="CH372" s="848"/>
      <c r="CI372" s="848"/>
      <c r="CJ372" s="848"/>
      <c r="CK372" s="848"/>
      <c r="CL372" s="848"/>
      <c r="CM372" s="848"/>
      <c r="CN372" s="848"/>
      <c r="CO372" s="848"/>
      <c r="CP372" s="848"/>
      <c r="CQ372" s="848"/>
      <c r="CR372" s="848"/>
      <c r="CS372" s="848"/>
      <c r="CT372" s="848"/>
      <c r="CU372" s="848"/>
      <c r="CV372" s="848"/>
      <c r="CW372" s="848">
        <f t="shared" si="289"/>
        <v>100</v>
      </c>
    </row>
    <row r="373" spans="1:101" ht="39.6" customHeight="1">
      <c r="A373" s="845"/>
      <c r="B373" s="852" t="s">
        <v>998</v>
      </c>
      <c r="C373" s="852" t="s">
        <v>1009</v>
      </c>
      <c r="D373" s="846"/>
      <c r="E373" s="845"/>
      <c r="F373" s="853" t="s">
        <v>1010</v>
      </c>
      <c r="G373" s="846" t="s">
        <v>1011</v>
      </c>
      <c r="H373" s="850">
        <f t="shared" si="261"/>
        <v>38000</v>
      </c>
      <c r="I373" s="894"/>
      <c r="J373" s="848"/>
      <c r="K373" s="848"/>
      <c r="L373" s="848"/>
      <c r="M373" s="848"/>
      <c r="N373" s="848"/>
      <c r="O373" s="848"/>
      <c r="P373" s="848"/>
      <c r="Q373" s="848"/>
      <c r="R373" s="855">
        <v>35000</v>
      </c>
      <c r="S373" s="855">
        <v>3000</v>
      </c>
      <c r="T373" s="855">
        <f t="shared" si="301"/>
        <v>0</v>
      </c>
      <c r="U373" s="848"/>
      <c r="V373" s="848"/>
      <c r="W373" s="848"/>
      <c r="X373" s="848"/>
      <c r="Y373" s="848"/>
      <c r="Z373" s="848"/>
      <c r="AA373" s="848"/>
      <c r="AB373" s="848"/>
      <c r="AC373" s="848"/>
      <c r="AD373" s="848"/>
      <c r="AE373" s="848"/>
      <c r="AF373" s="848"/>
      <c r="AG373" s="848"/>
      <c r="AH373" s="855"/>
      <c r="AI373" s="855">
        <f>AX373</f>
        <v>0</v>
      </c>
      <c r="AJ373" s="855"/>
      <c r="AK373" s="855"/>
      <c r="AL373" s="855"/>
      <c r="AM373" s="855"/>
      <c r="AN373" s="855"/>
      <c r="AO373" s="855"/>
      <c r="AP373" s="855"/>
      <c r="AQ373" s="855"/>
      <c r="AR373" s="855"/>
      <c r="AS373" s="855"/>
      <c r="AT373" s="855"/>
      <c r="AU373" s="855"/>
      <c r="AV373" s="855"/>
      <c r="AW373" s="855"/>
      <c r="AX373" s="855"/>
      <c r="AY373" s="855">
        <f t="shared" si="302"/>
        <v>1000</v>
      </c>
      <c r="AZ373" s="855"/>
      <c r="BA373" s="855"/>
      <c r="BB373" s="855"/>
      <c r="BC373" s="855"/>
      <c r="BD373" s="855"/>
      <c r="BE373" s="855"/>
      <c r="BF373" s="855"/>
      <c r="BG373" s="855"/>
      <c r="BH373" s="855"/>
      <c r="BI373" s="855"/>
      <c r="BJ373" s="855"/>
      <c r="BK373" s="855"/>
      <c r="BL373" s="855"/>
      <c r="BM373" s="855"/>
      <c r="BN373" s="855">
        <f>'[10]bieu cu'!H125</f>
        <v>1000</v>
      </c>
      <c r="BO373" s="848">
        <f t="shared" si="265"/>
        <v>1000</v>
      </c>
      <c r="BP373" s="855"/>
      <c r="BQ373" s="855"/>
      <c r="BR373" s="855"/>
      <c r="BS373" s="855"/>
      <c r="BT373" s="855"/>
      <c r="BU373" s="855"/>
      <c r="BV373" s="855"/>
      <c r="BW373" s="855"/>
      <c r="BX373" s="855"/>
      <c r="BY373" s="855"/>
      <c r="BZ373" s="855"/>
      <c r="CA373" s="855"/>
      <c r="CB373" s="855"/>
      <c r="CC373" s="855"/>
      <c r="CD373" s="855"/>
      <c r="CE373" s="855">
        <f>'[10]bieu cu'!M125</f>
        <v>1000</v>
      </c>
      <c r="CF373" s="848">
        <f>BO373/AY373%</f>
        <v>100</v>
      </c>
      <c r="CG373" s="848"/>
      <c r="CH373" s="848"/>
      <c r="CI373" s="848"/>
      <c r="CJ373" s="848"/>
      <c r="CK373" s="848"/>
      <c r="CL373" s="848"/>
      <c r="CM373" s="848"/>
      <c r="CN373" s="848"/>
      <c r="CO373" s="848"/>
      <c r="CP373" s="848"/>
      <c r="CQ373" s="848"/>
      <c r="CR373" s="848"/>
      <c r="CS373" s="848"/>
      <c r="CT373" s="848"/>
      <c r="CU373" s="848"/>
      <c r="CV373" s="848"/>
      <c r="CW373" s="848">
        <f t="shared" si="289"/>
        <v>100</v>
      </c>
    </row>
    <row r="374" spans="1:101" ht="33" customHeight="1">
      <c r="A374" s="845"/>
      <c r="B374" s="852" t="s">
        <v>998</v>
      </c>
      <c r="C374" s="852" t="s">
        <v>1012</v>
      </c>
      <c r="D374" s="846"/>
      <c r="E374" s="845"/>
      <c r="F374" s="853">
        <v>2016</v>
      </c>
      <c r="G374" s="846" t="s">
        <v>1013</v>
      </c>
      <c r="H374" s="850">
        <f t="shared" si="261"/>
        <v>106288</v>
      </c>
      <c r="I374" s="860"/>
      <c r="J374" s="848"/>
      <c r="K374" s="848"/>
      <c r="L374" s="848"/>
      <c r="M374" s="848"/>
      <c r="N374" s="848"/>
      <c r="O374" s="848"/>
      <c r="P374" s="848"/>
      <c r="Q374" s="848"/>
      <c r="R374" s="855">
        <v>106288</v>
      </c>
      <c r="S374" s="848"/>
      <c r="T374" s="855">
        <f t="shared" si="301"/>
        <v>54934.968999999997</v>
      </c>
      <c r="U374" s="848"/>
      <c r="V374" s="848"/>
      <c r="W374" s="855">
        <v>15000</v>
      </c>
      <c r="X374" s="848"/>
      <c r="Y374" s="848"/>
      <c r="Z374" s="848"/>
      <c r="AA374" s="848"/>
      <c r="AB374" s="848"/>
      <c r="AC374" s="848"/>
      <c r="AD374" s="848"/>
      <c r="AE374" s="848"/>
      <c r="AF374" s="848"/>
      <c r="AG374" s="848"/>
      <c r="AH374" s="895">
        <v>39934.968999999997</v>
      </c>
      <c r="AI374" s="855">
        <f>AL374</f>
        <v>29456</v>
      </c>
      <c r="AJ374" s="855"/>
      <c r="AK374" s="855"/>
      <c r="AL374" s="855">
        <v>29456</v>
      </c>
      <c r="AM374" s="855"/>
      <c r="AN374" s="855"/>
      <c r="AO374" s="855"/>
      <c r="AP374" s="855"/>
      <c r="AQ374" s="855"/>
      <c r="AR374" s="855"/>
      <c r="AS374" s="855"/>
      <c r="AT374" s="855"/>
      <c r="AU374" s="855"/>
      <c r="AV374" s="855"/>
      <c r="AW374" s="855"/>
      <c r="AX374" s="855"/>
      <c r="AY374" s="855">
        <f>SUM(AZ374:BN374)</f>
        <v>10000</v>
      </c>
      <c r="AZ374" s="855"/>
      <c r="BA374" s="855"/>
      <c r="BB374" s="855"/>
      <c r="BC374" s="855">
        <v>10000</v>
      </c>
      <c r="BD374" s="855"/>
      <c r="BE374" s="855"/>
      <c r="BF374" s="855"/>
      <c r="BG374" s="855"/>
      <c r="BH374" s="855"/>
      <c r="BI374" s="855"/>
      <c r="BJ374" s="855"/>
      <c r="BK374" s="855"/>
      <c r="BL374" s="855"/>
      <c r="BM374" s="855"/>
      <c r="BN374" s="855"/>
      <c r="BO374" s="848">
        <f t="shared" si="265"/>
        <v>19200</v>
      </c>
      <c r="BP374" s="855"/>
      <c r="BQ374" s="855"/>
      <c r="BR374" s="855"/>
      <c r="BS374" s="855">
        <v>19200</v>
      </c>
      <c r="BT374" s="855"/>
      <c r="BU374" s="855"/>
      <c r="BV374" s="855"/>
      <c r="BW374" s="855"/>
      <c r="BX374" s="855"/>
      <c r="BY374" s="855"/>
      <c r="BZ374" s="855"/>
      <c r="CA374" s="855"/>
      <c r="CB374" s="855"/>
      <c r="CC374" s="855"/>
      <c r="CD374" s="855"/>
      <c r="CE374" s="855"/>
      <c r="CF374" s="848">
        <f>BO374/AY374%</f>
        <v>192</v>
      </c>
      <c r="CG374" s="848"/>
      <c r="CH374" s="848"/>
      <c r="CI374" s="848"/>
      <c r="CJ374" s="848">
        <f t="shared" si="270"/>
        <v>192</v>
      </c>
      <c r="CK374" s="848"/>
      <c r="CL374" s="848"/>
      <c r="CM374" s="848"/>
      <c r="CN374" s="848"/>
      <c r="CO374" s="848"/>
      <c r="CP374" s="848"/>
      <c r="CQ374" s="848"/>
      <c r="CR374" s="848"/>
      <c r="CS374" s="848"/>
      <c r="CT374" s="848"/>
      <c r="CU374" s="848"/>
      <c r="CV374" s="848"/>
      <c r="CW374" s="848"/>
    </row>
    <row r="375" spans="1:101" ht="24.75" customHeight="1">
      <c r="A375" s="845" t="s">
        <v>7</v>
      </c>
      <c r="B375" s="845"/>
      <c r="C375" s="857" t="s">
        <v>465</v>
      </c>
      <c r="D375" s="846">
        <f>D376</f>
        <v>0</v>
      </c>
      <c r="E375" s="845">
        <f t="shared" ref="E375:CE375" si="305">E376</f>
        <v>0</v>
      </c>
      <c r="F375" s="847"/>
      <c r="G375" s="845"/>
      <c r="H375" s="850">
        <f t="shared" si="261"/>
        <v>90258</v>
      </c>
      <c r="I375" s="848">
        <f t="shared" ref="I375:AX375" si="306">I376</f>
        <v>0</v>
      </c>
      <c r="J375" s="848">
        <f t="shared" si="306"/>
        <v>85129</v>
      </c>
      <c r="K375" s="848">
        <f t="shared" si="306"/>
        <v>5129</v>
      </c>
      <c r="L375" s="848">
        <f t="shared" si="306"/>
        <v>0</v>
      </c>
      <c r="M375" s="848">
        <f t="shared" si="306"/>
        <v>0</v>
      </c>
      <c r="N375" s="848">
        <f t="shared" si="306"/>
        <v>0</v>
      </c>
      <c r="O375" s="848">
        <f t="shared" si="306"/>
        <v>0</v>
      </c>
      <c r="P375" s="848">
        <f t="shared" si="306"/>
        <v>0</v>
      </c>
      <c r="Q375" s="848">
        <f t="shared" si="306"/>
        <v>0</v>
      </c>
      <c r="R375" s="848">
        <v>0</v>
      </c>
      <c r="S375" s="848">
        <f t="shared" si="306"/>
        <v>0</v>
      </c>
      <c r="T375" s="848">
        <f t="shared" si="306"/>
        <v>17000</v>
      </c>
      <c r="U375" s="848">
        <f t="shared" si="306"/>
        <v>0</v>
      </c>
      <c r="V375" s="848">
        <f t="shared" si="306"/>
        <v>0</v>
      </c>
      <c r="W375" s="848">
        <f t="shared" si="306"/>
        <v>17000</v>
      </c>
      <c r="X375" s="848">
        <f t="shared" si="306"/>
        <v>0</v>
      </c>
      <c r="Y375" s="848">
        <f t="shared" si="306"/>
        <v>0</v>
      </c>
      <c r="Z375" s="848">
        <f t="shared" si="306"/>
        <v>0</v>
      </c>
      <c r="AA375" s="848">
        <f t="shared" si="306"/>
        <v>0</v>
      </c>
      <c r="AB375" s="848">
        <f t="shared" si="306"/>
        <v>0</v>
      </c>
      <c r="AC375" s="848">
        <f t="shared" si="306"/>
        <v>0</v>
      </c>
      <c r="AD375" s="848"/>
      <c r="AE375" s="848"/>
      <c r="AF375" s="848">
        <f t="shared" si="306"/>
        <v>0</v>
      </c>
      <c r="AG375" s="848">
        <f t="shared" si="306"/>
        <v>0</v>
      </c>
      <c r="AH375" s="848">
        <f t="shared" si="306"/>
        <v>0</v>
      </c>
      <c r="AI375" s="848">
        <f t="shared" si="306"/>
        <v>14500</v>
      </c>
      <c r="AJ375" s="848">
        <f t="shared" si="306"/>
        <v>0</v>
      </c>
      <c r="AK375" s="848">
        <f t="shared" si="306"/>
        <v>0</v>
      </c>
      <c r="AL375" s="848">
        <f t="shared" si="306"/>
        <v>14500</v>
      </c>
      <c r="AM375" s="848">
        <f t="shared" si="306"/>
        <v>0</v>
      </c>
      <c r="AN375" s="848">
        <f t="shared" si="306"/>
        <v>0</v>
      </c>
      <c r="AO375" s="848">
        <f t="shared" si="306"/>
        <v>0</v>
      </c>
      <c r="AP375" s="848">
        <f t="shared" si="306"/>
        <v>0</v>
      </c>
      <c r="AQ375" s="848">
        <f t="shared" si="306"/>
        <v>0</v>
      </c>
      <c r="AR375" s="848">
        <f t="shared" si="306"/>
        <v>0</v>
      </c>
      <c r="AS375" s="848"/>
      <c r="AT375" s="848">
        <f t="shared" si="306"/>
        <v>0</v>
      </c>
      <c r="AU375" s="848">
        <f t="shared" si="306"/>
        <v>0</v>
      </c>
      <c r="AV375" s="848">
        <f t="shared" si="306"/>
        <v>0</v>
      </c>
      <c r="AW375" s="848">
        <f t="shared" si="306"/>
        <v>0</v>
      </c>
      <c r="AX375" s="848">
        <f t="shared" si="306"/>
        <v>0</v>
      </c>
      <c r="AY375" s="848">
        <f t="shared" si="305"/>
        <v>10329</v>
      </c>
      <c r="AZ375" s="848">
        <f t="shared" si="305"/>
        <v>0</v>
      </c>
      <c r="BA375" s="848"/>
      <c r="BB375" s="848"/>
      <c r="BC375" s="848">
        <f t="shared" si="305"/>
        <v>10329</v>
      </c>
      <c r="BD375" s="848">
        <f t="shared" si="305"/>
        <v>0</v>
      </c>
      <c r="BE375" s="848"/>
      <c r="BF375" s="848">
        <f t="shared" si="305"/>
        <v>0</v>
      </c>
      <c r="BG375" s="848">
        <f t="shared" si="305"/>
        <v>0</v>
      </c>
      <c r="BH375" s="848">
        <f t="shared" si="305"/>
        <v>0</v>
      </c>
      <c r="BI375" s="848">
        <f t="shared" si="305"/>
        <v>0</v>
      </c>
      <c r="BJ375" s="848">
        <f t="shared" si="305"/>
        <v>0</v>
      </c>
      <c r="BK375" s="848">
        <f t="shared" si="305"/>
        <v>0</v>
      </c>
      <c r="BL375" s="848">
        <f t="shared" si="305"/>
        <v>0</v>
      </c>
      <c r="BM375" s="848">
        <f t="shared" si="305"/>
        <v>0</v>
      </c>
      <c r="BN375" s="848">
        <f t="shared" si="305"/>
        <v>0</v>
      </c>
      <c r="BO375" s="848">
        <f t="shared" si="265"/>
        <v>15004.145597999999</v>
      </c>
      <c r="BP375" s="848">
        <f t="shared" si="305"/>
        <v>0</v>
      </c>
      <c r="BQ375" s="848"/>
      <c r="BR375" s="848"/>
      <c r="BS375" s="848">
        <f t="shared" si="305"/>
        <v>15004.145597999999</v>
      </c>
      <c r="BT375" s="848">
        <f t="shared" si="305"/>
        <v>0</v>
      </c>
      <c r="BU375" s="848"/>
      <c r="BV375" s="848">
        <f t="shared" si="305"/>
        <v>0</v>
      </c>
      <c r="BW375" s="848">
        <f t="shared" si="305"/>
        <v>0</v>
      </c>
      <c r="BX375" s="848">
        <f t="shared" si="305"/>
        <v>0</v>
      </c>
      <c r="BY375" s="848">
        <f t="shared" si="305"/>
        <v>0</v>
      </c>
      <c r="BZ375" s="848">
        <f t="shared" si="305"/>
        <v>0</v>
      </c>
      <c r="CA375" s="848">
        <f t="shared" si="305"/>
        <v>0</v>
      </c>
      <c r="CB375" s="848">
        <f t="shared" si="305"/>
        <v>0</v>
      </c>
      <c r="CC375" s="848">
        <f t="shared" si="305"/>
        <v>0</v>
      </c>
      <c r="CD375" s="848">
        <f t="shared" si="305"/>
        <v>0</v>
      </c>
      <c r="CE375" s="848">
        <f t="shared" si="305"/>
        <v>0</v>
      </c>
      <c r="CF375" s="848">
        <f>BO375/AY375%</f>
        <v>145.2623254719721</v>
      </c>
      <c r="CG375" s="848"/>
      <c r="CH375" s="848"/>
      <c r="CI375" s="848"/>
      <c r="CJ375" s="848">
        <f t="shared" si="270"/>
        <v>145.2623254719721</v>
      </c>
      <c r="CK375" s="848"/>
      <c r="CL375" s="848"/>
      <c r="CM375" s="848"/>
      <c r="CN375" s="848"/>
      <c r="CO375" s="848"/>
      <c r="CP375" s="848"/>
      <c r="CQ375" s="848"/>
      <c r="CR375" s="848"/>
      <c r="CS375" s="848"/>
      <c r="CT375" s="848"/>
      <c r="CU375" s="848"/>
      <c r="CV375" s="848"/>
      <c r="CW375" s="848"/>
    </row>
    <row r="376" spans="1:101" s="851" customFormat="1" ht="36.6" customHeight="1">
      <c r="A376" s="845"/>
      <c r="B376" s="845"/>
      <c r="C376" s="857" t="s">
        <v>406</v>
      </c>
      <c r="D376" s="846">
        <f>D377+D378</f>
        <v>0</v>
      </c>
      <c r="E376" s="845">
        <f t="shared" ref="E376" si="307">E377+E378</f>
        <v>0</v>
      </c>
      <c r="F376" s="847"/>
      <c r="G376" s="845"/>
      <c r="H376" s="850">
        <f t="shared" si="261"/>
        <v>90258</v>
      </c>
      <c r="I376" s="848">
        <f t="shared" ref="I376:BT376" si="308">I377+I378</f>
        <v>0</v>
      </c>
      <c r="J376" s="848">
        <f>J377+J378</f>
        <v>85129</v>
      </c>
      <c r="K376" s="848">
        <f>K377+J378</f>
        <v>5129</v>
      </c>
      <c r="L376" s="848">
        <f t="shared" si="308"/>
        <v>0</v>
      </c>
      <c r="M376" s="848">
        <f t="shared" si="308"/>
        <v>0</v>
      </c>
      <c r="N376" s="848">
        <f t="shared" si="308"/>
        <v>0</v>
      </c>
      <c r="O376" s="848">
        <f t="shared" si="308"/>
        <v>0</v>
      </c>
      <c r="P376" s="848">
        <f t="shared" si="308"/>
        <v>0</v>
      </c>
      <c r="Q376" s="848">
        <f t="shared" si="308"/>
        <v>0</v>
      </c>
      <c r="R376" s="848">
        <v>0</v>
      </c>
      <c r="S376" s="848">
        <f t="shared" si="308"/>
        <v>0</v>
      </c>
      <c r="T376" s="848">
        <f t="shared" si="308"/>
        <v>17000</v>
      </c>
      <c r="U376" s="848">
        <f t="shared" si="308"/>
        <v>0</v>
      </c>
      <c r="V376" s="848">
        <f t="shared" si="308"/>
        <v>0</v>
      </c>
      <c r="W376" s="848">
        <f t="shared" si="308"/>
        <v>17000</v>
      </c>
      <c r="X376" s="848">
        <f t="shared" si="308"/>
        <v>0</v>
      </c>
      <c r="Y376" s="848">
        <f t="shared" si="308"/>
        <v>0</v>
      </c>
      <c r="Z376" s="848">
        <f t="shared" si="308"/>
        <v>0</v>
      </c>
      <c r="AA376" s="848">
        <f t="shared" si="308"/>
        <v>0</v>
      </c>
      <c r="AB376" s="848">
        <f t="shared" si="308"/>
        <v>0</v>
      </c>
      <c r="AC376" s="848">
        <f t="shared" si="308"/>
        <v>0</v>
      </c>
      <c r="AD376" s="848"/>
      <c r="AE376" s="848"/>
      <c r="AF376" s="848">
        <f t="shared" si="308"/>
        <v>0</v>
      </c>
      <c r="AG376" s="848">
        <f t="shared" si="308"/>
        <v>0</v>
      </c>
      <c r="AH376" s="848">
        <f t="shared" si="308"/>
        <v>0</v>
      </c>
      <c r="AI376" s="848">
        <f t="shared" si="308"/>
        <v>14500</v>
      </c>
      <c r="AJ376" s="848">
        <f t="shared" si="308"/>
        <v>0</v>
      </c>
      <c r="AK376" s="848">
        <f t="shared" si="308"/>
        <v>0</v>
      </c>
      <c r="AL376" s="848">
        <f t="shared" si="308"/>
        <v>14500</v>
      </c>
      <c r="AM376" s="848">
        <f t="shared" si="308"/>
        <v>0</v>
      </c>
      <c r="AN376" s="848">
        <f t="shared" si="308"/>
        <v>0</v>
      </c>
      <c r="AO376" s="848">
        <f t="shared" si="308"/>
        <v>0</v>
      </c>
      <c r="AP376" s="848">
        <f t="shared" si="308"/>
        <v>0</v>
      </c>
      <c r="AQ376" s="848">
        <f t="shared" si="308"/>
        <v>0</v>
      </c>
      <c r="AR376" s="848">
        <f t="shared" si="308"/>
        <v>0</v>
      </c>
      <c r="AS376" s="848"/>
      <c r="AT376" s="848">
        <f t="shared" si="308"/>
        <v>0</v>
      </c>
      <c r="AU376" s="848">
        <f t="shared" si="308"/>
        <v>0</v>
      </c>
      <c r="AV376" s="848">
        <f t="shared" si="308"/>
        <v>0</v>
      </c>
      <c r="AW376" s="848">
        <f t="shared" si="308"/>
        <v>0</v>
      </c>
      <c r="AX376" s="848">
        <f t="shared" si="308"/>
        <v>0</v>
      </c>
      <c r="AY376" s="848">
        <f t="shared" si="308"/>
        <v>10329</v>
      </c>
      <c r="AZ376" s="848">
        <f t="shared" si="308"/>
        <v>0</v>
      </c>
      <c r="BA376" s="848">
        <f t="shared" si="308"/>
        <v>0</v>
      </c>
      <c r="BB376" s="848">
        <f t="shared" si="308"/>
        <v>0</v>
      </c>
      <c r="BC376" s="848">
        <f t="shared" si="308"/>
        <v>10329</v>
      </c>
      <c r="BD376" s="848">
        <f t="shared" si="308"/>
        <v>0</v>
      </c>
      <c r="BE376" s="848">
        <f t="shared" si="308"/>
        <v>0</v>
      </c>
      <c r="BF376" s="848">
        <f t="shared" si="308"/>
        <v>0</v>
      </c>
      <c r="BG376" s="848">
        <f t="shared" si="308"/>
        <v>0</v>
      </c>
      <c r="BH376" s="848">
        <f t="shared" si="308"/>
        <v>0</v>
      </c>
      <c r="BI376" s="848">
        <f t="shared" si="308"/>
        <v>0</v>
      </c>
      <c r="BJ376" s="848">
        <f t="shared" si="308"/>
        <v>0</v>
      </c>
      <c r="BK376" s="848">
        <f t="shared" si="308"/>
        <v>0</v>
      </c>
      <c r="BL376" s="848">
        <f t="shared" si="308"/>
        <v>0</v>
      </c>
      <c r="BM376" s="848">
        <f t="shared" si="308"/>
        <v>0</v>
      </c>
      <c r="BN376" s="848">
        <f t="shared" si="308"/>
        <v>0</v>
      </c>
      <c r="BO376" s="848">
        <f t="shared" si="265"/>
        <v>15004.145597999999</v>
      </c>
      <c r="BP376" s="848">
        <f t="shared" si="308"/>
        <v>0</v>
      </c>
      <c r="BQ376" s="848">
        <f t="shared" si="308"/>
        <v>0</v>
      </c>
      <c r="BR376" s="848">
        <f t="shared" si="308"/>
        <v>0</v>
      </c>
      <c r="BS376" s="848">
        <f t="shared" si="308"/>
        <v>15004.145597999999</v>
      </c>
      <c r="BT376" s="848">
        <f t="shared" si="308"/>
        <v>0</v>
      </c>
      <c r="BU376" s="848">
        <f t="shared" ref="BU376:CF376" si="309">BU377+BU378</f>
        <v>0</v>
      </c>
      <c r="BV376" s="848">
        <f t="shared" si="309"/>
        <v>0</v>
      </c>
      <c r="BW376" s="848">
        <f t="shared" si="309"/>
        <v>0</v>
      </c>
      <c r="BX376" s="848">
        <f t="shared" si="309"/>
        <v>0</v>
      </c>
      <c r="BY376" s="848">
        <f t="shared" si="309"/>
        <v>0</v>
      </c>
      <c r="BZ376" s="848">
        <f t="shared" si="309"/>
        <v>0</v>
      </c>
      <c r="CA376" s="848">
        <f t="shared" si="309"/>
        <v>0</v>
      </c>
      <c r="CB376" s="848">
        <f t="shared" si="309"/>
        <v>0</v>
      </c>
      <c r="CC376" s="848">
        <f t="shared" si="309"/>
        <v>0</v>
      </c>
      <c r="CD376" s="848">
        <f t="shared" si="309"/>
        <v>0</v>
      </c>
      <c r="CE376" s="848">
        <f t="shared" si="309"/>
        <v>0</v>
      </c>
      <c r="CF376" s="848">
        <f t="shared" si="309"/>
        <v>245.1543194311854</v>
      </c>
      <c r="CG376" s="848"/>
      <c r="CH376" s="848"/>
      <c r="CI376" s="848"/>
      <c r="CJ376" s="848">
        <f t="shared" si="270"/>
        <v>145.2623254719721</v>
      </c>
      <c r="CK376" s="848"/>
      <c r="CL376" s="848"/>
      <c r="CM376" s="848"/>
      <c r="CN376" s="848"/>
      <c r="CO376" s="848"/>
      <c r="CP376" s="848"/>
      <c r="CQ376" s="848"/>
      <c r="CR376" s="848"/>
      <c r="CS376" s="848"/>
      <c r="CT376" s="848"/>
      <c r="CU376" s="848"/>
      <c r="CV376" s="848"/>
      <c r="CW376" s="848"/>
    </row>
    <row r="377" spans="1:101" ht="37.9" customHeight="1">
      <c r="A377" s="845"/>
      <c r="B377" s="852" t="s">
        <v>465</v>
      </c>
      <c r="C377" s="852" t="s">
        <v>1014</v>
      </c>
      <c r="D377" s="846"/>
      <c r="E377" s="845"/>
      <c r="F377" s="853">
        <v>2016</v>
      </c>
      <c r="G377" s="846" t="s">
        <v>1015</v>
      </c>
      <c r="H377" s="850">
        <f t="shared" si="261"/>
        <v>80000</v>
      </c>
      <c r="I377" s="860"/>
      <c r="J377" s="860">
        <v>80000</v>
      </c>
      <c r="K377" s="848"/>
      <c r="L377" s="848"/>
      <c r="M377" s="848"/>
      <c r="N377" s="848"/>
      <c r="O377" s="848"/>
      <c r="P377" s="848"/>
      <c r="Q377" s="848"/>
      <c r="R377" s="848"/>
      <c r="S377" s="848"/>
      <c r="T377" s="855">
        <f t="shared" si="301"/>
        <v>12000</v>
      </c>
      <c r="U377" s="848"/>
      <c r="V377" s="848"/>
      <c r="W377" s="855">
        <v>12000</v>
      </c>
      <c r="X377" s="848"/>
      <c r="Y377" s="848"/>
      <c r="Z377" s="848"/>
      <c r="AA377" s="848"/>
      <c r="AB377" s="848"/>
      <c r="AC377" s="848"/>
      <c r="AD377" s="848"/>
      <c r="AE377" s="848"/>
      <c r="AF377" s="848"/>
      <c r="AG377" s="848"/>
      <c r="AH377" s="855"/>
      <c r="AI377" s="855">
        <f>AL377</f>
        <v>12000</v>
      </c>
      <c r="AJ377" s="855"/>
      <c r="AK377" s="855"/>
      <c r="AL377" s="855">
        <v>12000</v>
      </c>
      <c r="AM377" s="855"/>
      <c r="AN377" s="855"/>
      <c r="AO377" s="855"/>
      <c r="AP377" s="855"/>
      <c r="AQ377" s="855"/>
      <c r="AR377" s="855"/>
      <c r="AS377" s="855"/>
      <c r="AT377" s="855"/>
      <c r="AU377" s="855"/>
      <c r="AV377" s="855"/>
      <c r="AW377" s="855"/>
      <c r="AX377" s="855"/>
      <c r="AY377" s="855">
        <f t="shared" ref="AY377:AY378" si="310">SUM(AZ377:BN377)</f>
        <v>10000</v>
      </c>
      <c r="AZ377" s="855"/>
      <c r="BA377" s="855"/>
      <c r="BB377" s="855"/>
      <c r="BC377" s="855">
        <v>10000</v>
      </c>
      <c r="BD377" s="855"/>
      <c r="BE377" s="855"/>
      <c r="BF377" s="855"/>
      <c r="BG377" s="855"/>
      <c r="BH377" s="855"/>
      <c r="BI377" s="855"/>
      <c r="BJ377" s="855"/>
      <c r="BK377" s="855"/>
      <c r="BL377" s="855"/>
      <c r="BM377" s="855"/>
      <c r="BN377" s="855"/>
      <c r="BO377" s="848">
        <f t="shared" si="265"/>
        <v>14680.578933999999</v>
      </c>
      <c r="BP377" s="855"/>
      <c r="BQ377" s="855"/>
      <c r="BR377" s="855"/>
      <c r="BS377" s="855">
        <v>14680.578933999999</v>
      </c>
      <c r="BT377" s="855"/>
      <c r="BU377" s="855"/>
      <c r="BV377" s="855"/>
      <c r="BW377" s="855"/>
      <c r="BX377" s="855"/>
      <c r="BY377" s="855"/>
      <c r="BZ377" s="855"/>
      <c r="CA377" s="855"/>
      <c r="CB377" s="855"/>
      <c r="CC377" s="855"/>
      <c r="CD377" s="855"/>
      <c r="CE377" s="855"/>
      <c r="CF377" s="848">
        <f>BO377/AY377%</f>
        <v>146.80578933999999</v>
      </c>
      <c r="CG377" s="848"/>
      <c r="CH377" s="848"/>
      <c r="CI377" s="848"/>
      <c r="CJ377" s="848">
        <f t="shared" si="270"/>
        <v>146.80578933999999</v>
      </c>
      <c r="CK377" s="848"/>
      <c r="CL377" s="848"/>
      <c r="CM377" s="848"/>
      <c r="CN377" s="848"/>
      <c r="CO377" s="848"/>
      <c r="CP377" s="848"/>
      <c r="CQ377" s="848"/>
      <c r="CR377" s="848"/>
      <c r="CS377" s="848"/>
      <c r="CT377" s="848"/>
      <c r="CU377" s="848"/>
      <c r="CV377" s="848"/>
      <c r="CW377" s="848"/>
    </row>
    <row r="378" spans="1:101" ht="24.75" customHeight="1">
      <c r="A378" s="845"/>
      <c r="B378" s="852" t="s">
        <v>465</v>
      </c>
      <c r="C378" s="852" t="s">
        <v>1016</v>
      </c>
      <c r="D378" s="846"/>
      <c r="E378" s="845"/>
      <c r="F378" s="853" t="s">
        <v>367</v>
      </c>
      <c r="G378" s="846" t="s">
        <v>1017</v>
      </c>
      <c r="H378" s="850">
        <f t="shared" si="261"/>
        <v>5129</v>
      </c>
      <c r="I378" s="855"/>
      <c r="J378" s="848">
        <v>5129</v>
      </c>
      <c r="K378" s="890"/>
      <c r="L378" s="848"/>
      <c r="M378" s="848"/>
      <c r="N378" s="848"/>
      <c r="O378" s="848"/>
      <c r="P378" s="848"/>
      <c r="Q378" s="848"/>
      <c r="R378" s="848"/>
      <c r="S378" s="848"/>
      <c r="T378" s="855">
        <f t="shared" si="301"/>
        <v>5000</v>
      </c>
      <c r="U378" s="848"/>
      <c r="V378" s="848"/>
      <c r="W378" s="855">
        <v>5000</v>
      </c>
      <c r="X378" s="848"/>
      <c r="Y378" s="848"/>
      <c r="Z378" s="848"/>
      <c r="AA378" s="848"/>
      <c r="AB378" s="848"/>
      <c r="AC378" s="848"/>
      <c r="AD378" s="848"/>
      <c r="AE378" s="848"/>
      <c r="AF378" s="848"/>
      <c r="AG378" s="848"/>
      <c r="AH378" s="855"/>
      <c r="AI378" s="855">
        <f>AL378</f>
        <v>2500</v>
      </c>
      <c r="AJ378" s="855"/>
      <c r="AK378" s="855"/>
      <c r="AL378" s="855">
        <v>2500</v>
      </c>
      <c r="AM378" s="855"/>
      <c r="AN378" s="855"/>
      <c r="AO378" s="855"/>
      <c r="AP378" s="855"/>
      <c r="AQ378" s="855"/>
      <c r="AR378" s="855"/>
      <c r="AS378" s="855"/>
      <c r="AT378" s="855"/>
      <c r="AU378" s="855"/>
      <c r="AV378" s="855"/>
      <c r="AW378" s="855"/>
      <c r="AX378" s="855"/>
      <c r="AY378" s="855">
        <f t="shared" si="310"/>
        <v>329</v>
      </c>
      <c r="AZ378" s="855"/>
      <c r="BA378" s="855"/>
      <c r="BB378" s="855"/>
      <c r="BC378" s="855">
        <v>329</v>
      </c>
      <c r="BD378" s="855"/>
      <c r="BE378" s="855"/>
      <c r="BF378" s="855"/>
      <c r="BG378" s="855"/>
      <c r="BH378" s="855"/>
      <c r="BI378" s="855"/>
      <c r="BJ378" s="855"/>
      <c r="BK378" s="855"/>
      <c r="BL378" s="855"/>
      <c r="BM378" s="855"/>
      <c r="BN378" s="855"/>
      <c r="BO378" s="848">
        <f t="shared" si="265"/>
        <v>323.566664</v>
      </c>
      <c r="BP378" s="855"/>
      <c r="BQ378" s="855"/>
      <c r="BR378" s="855"/>
      <c r="BS378" s="855">
        <v>323.566664</v>
      </c>
      <c r="BT378" s="855"/>
      <c r="BU378" s="855"/>
      <c r="BV378" s="855"/>
      <c r="BW378" s="855"/>
      <c r="BX378" s="855"/>
      <c r="BY378" s="855"/>
      <c r="BZ378" s="855"/>
      <c r="CA378" s="855"/>
      <c r="CB378" s="855"/>
      <c r="CC378" s="855"/>
      <c r="CD378" s="855"/>
      <c r="CE378" s="855"/>
      <c r="CF378" s="848">
        <f>BO378/AY378%</f>
        <v>98.34853009118541</v>
      </c>
      <c r="CG378" s="848"/>
      <c r="CH378" s="848"/>
      <c r="CI378" s="848"/>
      <c r="CJ378" s="848">
        <f t="shared" si="270"/>
        <v>98.34853009118541</v>
      </c>
      <c r="CK378" s="848"/>
      <c r="CL378" s="848"/>
      <c r="CM378" s="848"/>
      <c r="CN378" s="848"/>
      <c r="CO378" s="848"/>
      <c r="CP378" s="848"/>
      <c r="CQ378" s="848"/>
      <c r="CR378" s="848"/>
      <c r="CS378" s="848"/>
      <c r="CT378" s="848"/>
      <c r="CU378" s="848"/>
      <c r="CV378" s="848"/>
      <c r="CW378" s="848"/>
    </row>
    <row r="379" spans="1:101" s="851" customFormat="1" ht="24.75" customHeight="1">
      <c r="A379" s="845" t="s">
        <v>10</v>
      </c>
      <c r="B379" s="845"/>
      <c r="C379" s="857" t="s">
        <v>1018</v>
      </c>
      <c r="D379" s="846">
        <f>D380</f>
        <v>0</v>
      </c>
      <c r="E379" s="845">
        <f t="shared" ref="E379:CE381" si="311">E380</f>
        <v>0</v>
      </c>
      <c r="F379" s="847"/>
      <c r="G379" s="845"/>
      <c r="H379" s="850">
        <f t="shared" si="261"/>
        <v>16008</v>
      </c>
      <c r="I379" s="848">
        <f t="shared" si="311"/>
        <v>0</v>
      </c>
      <c r="J379" s="848">
        <f t="shared" si="311"/>
        <v>0</v>
      </c>
      <c r="K379" s="848">
        <f t="shared" si="311"/>
        <v>0</v>
      </c>
      <c r="L379" s="848">
        <f t="shared" si="311"/>
        <v>0</v>
      </c>
      <c r="M379" s="848">
        <f t="shared" si="311"/>
        <v>0</v>
      </c>
      <c r="N379" s="848">
        <f t="shared" si="311"/>
        <v>0</v>
      </c>
      <c r="O379" s="848">
        <f t="shared" si="311"/>
        <v>0</v>
      </c>
      <c r="P379" s="848">
        <f t="shared" si="311"/>
        <v>0</v>
      </c>
      <c r="Q379" s="848">
        <f t="shared" si="311"/>
        <v>0</v>
      </c>
      <c r="R379" s="848">
        <v>0</v>
      </c>
      <c r="S379" s="848">
        <f t="shared" si="311"/>
        <v>16008</v>
      </c>
      <c r="T379" s="848">
        <f t="shared" si="311"/>
        <v>2000</v>
      </c>
      <c r="U379" s="848">
        <f t="shared" si="311"/>
        <v>0</v>
      </c>
      <c r="V379" s="848">
        <f t="shared" si="311"/>
        <v>0</v>
      </c>
      <c r="W379" s="848">
        <f t="shared" si="311"/>
        <v>0</v>
      </c>
      <c r="X379" s="848">
        <f t="shared" si="311"/>
        <v>0</v>
      </c>
      <c r="Y379" s="848">
        <f t="shared" si="311"/>
        <v>0</v>
      </c>
      <c r="Z379" s="848">
        <f t="shared" si="311"/>
        <v>0</v>
      </c>
      <c r="AA379" s="848">
        <f t="shared" si="311"/>
        <v>0</v>
      </c>
      <c r="AB379" s="848">
        <f t="shared" si="311"/>
        <v>0</v>
      </c>
      <c r="AC379" s="848">
        <f t="shared" si="311"/>
        <v>0</v>
      </c>
      <c r="AD379" s="848"/>
      <c r="AE379" s="848"/>
      <c r="AF379" s="848">
        <f t="shared" si="311"/>
        <v>0</v>
      </c>
      <c r="AG379" s="848">
        <f t="shared" si="311"/>
        <v>0</v>
      </c>
      <c r="AH379" s="848">
        <f t="shared" si="311"/>
        <v>2000</v>
      </c>
      <c r="AI379" s="848">
        <f t="shared" si="311"/>
        <v>1000</v>
      </c>
      <c r="AJ379" s="848">
        <f t="shared" si="311"/>
        <v>0</v>
      </c>
      <c r="AK379" s="848">
        <f t="shared" si="311"/>
        <v>0</v>
      </c>
      <c r="AL379" s="848">
        <f t="shared" si="311"/>
        <v>0</v>
      </c>
      <c r="AM379" s="848">
        <f t="shared" si="311"/>
        <v>0</v>
      </c>
      <c r="AN379" s="848">
        <f t="shared" si="311"/>
        <v>0</v>
      </c>
      <c r="AO379" s="848">
        <f t="shared" si="311"/>
        <v>0</v>
      </c>
      <c r="AP379" s="848">
        <f t="shared" si="311"/>
        <v>0</v>
      </c>
      <c r="AQ379" s="848">
        <f t="shared" si="311"/>
        <v>0</v>
      </c>
      <c r="AR379" s="848">
        <f t="shared" si="311"/>
        <v>0</v>
      </c>
      <c r="AS379" s="848"/>
      <c r="AT379" s="848">
        <f t="shared" si="311"/>
        <v>0</v>
      </c>
      <c r="AU379" s="848">
        <f t="shared" si="311"/>
        <v>0</v>
      </c>
      <c r="AV379" s="848">
        <f t="shared" si="311"/>
        <v>0</v>
      </c>
      <c r="AW379" s="848">
        <f t="shared" si="311"/>
        <v>0</v>
      </c>
      <c r="AX379" s="848">
        <f t="shared" si="311"/>
        <v>1000</v>
      </c>
      <c r="AY379" s="848">
        <f t="shared" si="311"/>
        <v>2400</v>
      </c>
      <c r="AZ379" s="848">
        <f t="shared" si="311"/>
        <v>0</v>
      </c>
      <c r="BA379" s="848">
        <f t="shared" si="311"/>
        <v>0</v>
      </c>
      <c r="BB379" s="848">
        <f t="shared" si="311"/>
        <v>0</v>
      </c>
      <c r="BC379" s="848">
        <f t="shared" si="311"/>
        <v>0</v>
      </c>
      <c r="BD379" s="848">
        <f t="shared" si="311"/>
        <v>0</v>
      </c>
      <c r="BE379" s="848">
        <f t="shared" si="311"/>
        <v>0</v>
      </c>
      <c r="BF379" s="848">
        <f t="shared" si="311"/>
        <v>0</v>
      </c>
      <c r="BG379" s="848">
        <f t="shared" si="311"/>
        <v>0</v>
      </c>
      <c r="BH379" s="848">
        <f t="shared" si="311"/>
        <v>0</v>
      </c>
      <c r="BI379" s="848">
        <f t="shared" si="311"/>
        <v>0</v>
      </c>
      <c r="BJ379" s="848">
        <f t="shared" si="311"/>
        <v>0</v>
      </c>
      <c r="BK379" s="848">
        <f t="shared" si="311"/>
        <v>0</v>
      </c>
      <c r="BL379" s="848">
        <f t="shared" si="311"/>
        <v>0</v>
      </c>
      <c r="BM379" s="848">
        <f t="shared" si="311"/>
        <v>0</v>
      </c>
      <c r="BN379" s="848">
        <f t="shared" si="311"/>
        <v>2400</v>
      </c>
      <c r="BO379" s="848">
        <f t="shared" si="265"/>
        <v>2400</v>
      </c>
      <c r="BP379" s="848">
        <f t="shared" si="311"/>
        <v>0</v>
      </c>
      <c r="BQ379" s="848">
        <f t="shared" si="311"/>
        <v>0</v>
      </c>
      <c r="BR379" s="848">
        <f t="shared" si="311"/>
        <v>0</v>
      </c>
      <c r="BS379" s="848">
        <f t="shared" si="311"/>
        <v>0</v>
      </c>
      <c r="BT379" s="848">
        <f t="shared" si="311"/>
        <v>0</v>
      </c>
      <c r="BU379" s="848">
        <f t="shared" si="311"/>
        <v>0</v>
      </c>
      <c r="BV379" s="848">
        <f t="shared" si="311"/>
        <v>0</v>
      </c>
      <c r="BW379" s="848">
        <f t="shared" si="311"/>
        <v>0</v>
      </c>
      <c r="BX379" s="848">
        <f t="shared" si="311"/>
        <v>0</v>
      </c>
      <c r="BY379" s="848">
        <f t="shared" si="311"/>
        <v>0</v>
      </c>
      <c r="BZ379" s="848">
        <f t="shared" si="311"/>
        <v>0</v>
      </c>
      <c r="CA379" s="848">
        <f t="shared" si="311"/>
        <v>0</v>
      </c>
      <c r="CB379" s="848">
        <f t="shared" si="311"/>
        <v>0</v>
      </c>
      <c r="CC379" s="848">
        <f t="shared" si="311"/>
        <v>0</v>
      </c>
      <c r="CD379" s="848">
        <f t="shared" si="311"/>
        <v>0</v>
      </c>
      <c r="CE379" s="848">
        <f t="shared" si="311"/>
        <v>2400</v>
      </c>
      <c r="CF379" s="848">
        <f t="shared" ref="CF379" si="312">CF380</f>
        <v>100</v>
      </c>
      <c r="CG379" s="848"/>
      <c r="CH379" s="848"/>
      <c r="CI379" s="848"/>
      <c r="CJ379" s="848"/>
      <c r="CK379" s="848"/>
      <c r="CL379" s="848"/>
      <c r="CM379" s="848"/>
      <c r="CN379" s="848"/>
      <c r="CO379" s="848"/>
      <c r="CP379" s="848"/>
      <c r="CQ379" s="848"/>
      <c r="CR379" s="848"/>
      <c r="CS379" s="848"/>
      <c r="CT379" s="848"/>
      <c r="CU379" s="848"/>
      <c r="CV379" s="848"/>
      <c r="CW379" s="848">
        <f t="shared" si="289"/>
        <v>100</v>
      </c>
    </row>
    <row r="380" spans="1:101" s="851" customFormat="1" ht="24.75" customHeight="1">
      <c r="A380" s="845" t="s">
        <v>11</v>
      </c>
      <c r="B380" s="845"/>
      <c r="C380" s="857" t="s">
        <v>677</v>
      </c>
      <c r="D380" s="846">
        <f>D381</f>
        <v>0</v>
      </c>
      <c r="E380" s="845">
        <f t="shared" si="311"/>
        <v>0</v>
      </c>
      <c r="F380" s="847"/>
      <c r="G380" s="845"/>
      <c r="H380" s="850">
        <f t="shared" si="261"/>
        <v>16008</v>
      </c>
      <c r="I380" s="848">
        <f t="shared" si="311"/>
        <v>0</v>
      </c>
      <c r="J380" s="848">
        <f t="shared" si="311"/>
        <v>0</v>
      </c>
      <c r="K380" s="848">
        <f t="shared" si="311"/>
        <v>0</v>
      </c>
      <c r="L380" s="848">
        <f t="shared" si="311"/>
        <v>0</v>
      </c>
      <c r="M380" s="848">
        <f t="shared" si="311"/>
        <v>0</v>
      </c>
      <c r="N380" s="848">
        <f t="shared" si="311"/>
        <v>0</v>
      </c>
      <c r="O380" s="848">
        <f t="shared" si="311"/>
        <v>0</v>
      </c>
      <c r="P380" s="848">
        <f t="shared" si="311"/>
        <v>0</v>
      </c>
      <c r="Q380" s="848">
        <f t="shared" si="311"/>
        <v>0</v>
      </c>
      <c r="R380" s="848">
        <v>0</v>
      </c>
      <c r="S380" s="848">
        <f t="shared" si="311"/>
        <v>16008</v>
      </c>
      <c r="T380" s="848">
        <f t="shared" si="311"/>
        <v>2000</v>
      </c>
      <c r="U380" s="848">
        <f t="shared" si="311"/>
        <v>0</v>
      </c>
      <c r="V380" s="848">
        <f t="shared" si="311"/>
        <v>0</v>
      </c>
      <c r="W380" s="848">
        <f t="shared" si="311"/>
        <v>0</v>
      </c>
      <c r="X380" s="848">
        <f t="shared" si="311"/>
        <v>0</v>
      </c>
      <c r="Y380" s="848">
        <f t="shared" si="311"/>
        <v>0</v>
      </c>
      <c r="Z380" s="848">
        <f t="shared" si="311"/>
        <v>0</v>
      </c>
      <c r="AA380" s="848">
        <f t="shared" si="311"/>
        <v>0</v>
      </c>
      <c r="AB380" s="848">
        <f t="shared" si="311"/>
        <v>0</v>
      </c>
      <c r="AC380" s="848">
        <f t="shared" si="311"/>
        <v>0</v>
      </c>
      <c r="AD380" s="848"/>
      <c r="AE380" s="848"/>
      <c r="AF380" s="848">
        <f t="shared" si="311"/>
        <v>0</v>
      </c>
      <c r="AG380" s="848">
        <f t="shared" si="311"/>
        <v>0</v>
      </c>
      <c r="AH380" s="848">
        <f t="shared" si="311"/>
        <v>2000</v>
      </c>
      <c r="AI380" s="848">
        <f t="shared" si="311"/>
        <v>1000</v>
      </c>
      <c r="AJ380" s="848">
        <f t="shared" si="311"/>
        <v>0</v>
      </c>
      <c r="AK380" s="848">
        <f t="shared" si="311"/>
        <v>0</v>
      </c>
      <c r="AL380" s="848">
        <f t="shared" si="311"/>
        <v>0</v>
      </c>
      <c r="AM380" s="848">
        <f t="shared" si="311"/>
        <v>0</v>
      </c>
      <c r="AN380" s="848">
        <f t="shared" si="311"/>
        <v>0</v>
      </c>
      <c r="AO380" s="848">
        <f t="shared" si="311"/>
        <v>0</v>
      </c>
      <c r="AP380" s="848">
        <f t="shared" si="311"/>
        <v>0</v>
      </c>
      <c r="AQ380" s="848">
        <f t="shared" si="311"/>
        <v>0</v>
      </c>
      <c r="AR380" s="848">
        <f t="shared" si="311"/>
        <v>0</v>
      </c>
      <c r="AS380" s="848"/>
      <c r="AT380" s="848">
        <f t="shared" si="311"/>
        <v>0</v>
      </c>
      <c r="AU380" s="848">
        <f t="shared" si="311"/>
        <v>0</v>
      </c>
      <c r="AV380" s="848">
        <f t="shared" si="311"/>
        <v>0</v>
      </c>
      <c r="AW380" s="848">
        <f t="shared" si="311"/>
        <v>0</v>
      </c>
      <c r="AX380" s="848">
        <f t="shared" si="311"/>
        <v>1000</v>
      </c>
      <c r="AY380" s="848">
        <f t="shared" si="311"/>
        <v>2400</v>
      </c>
      <c r="AZ380" s="848">
        <f t="shared" si="311"/>
        <v>0</v>
      </c>
      <c r="BA380" s="848"/>
      <c r="BB380" s="848"/>
      <c r="BC380" s="848">
        <f t="shared" si="311"/>
        <v>0</v>
      </c>
      <c r="BD380" s="848">
        <f t="shared" si="311"/>
        <v>0</v>
      </c>
      <c r="BE380" s="848"/>
      <c r="BF380" s="848">
        <f t="shared" si="311"/>
        <v>0</v>
      </c>
      <c r="BG380" s="848">
        <f t="shared" si="311"/>
        <v>0</v>
      </c>
      <c r="BH380" s="848">
        <f t="shared" si="311"/>
        <v>0</v>
      </c>
      <c r="BI380" s="848">
        <f t="shared" si="311"/>
        <v>0</v>
      </c>
      <c r="BJ380" s="848">
        <f t="shared" si="311"/>
        <v>0</v>
      </c>
      <c r="BK380" s="848">
        <f t="shared" si="311"/>
        <v>0</v>
      </c>
      <c r="BL380" s="848">
        <f t="shared" si="311"/>
        <v>0</v>
      </c>
      <c r="BM380" s="848">
        <f t="shared" si="311"/>
        <v>0</v>
      </c>
      <c r="BN380" s="848">
        <f t="shared" si="311"/>
        <v>2400</v>
      </c>
      <c r="BO380" s="848">
        <f t="shared" si="265"/>
        <v>2400</v>
      </c>
      <c r="BP380" s="848">
        <f t="shared" si="311"/>
        <v>0</v>
      </c>
      <c r="BQ380" s="848">
        <f t="shared" si="311"/>
        <v>0</v>
      </c>
      <c r="BR380" s="848">
        <f t="shared" si="311"/>
        <v>0</v>
      </c>
      <c r="BS380" s="848">
        <f t="shared" si="311"/>
        <v>0</v>
      </c>
      <c r="BT380" s="848">
        <f t="shared" si="311"/>
        <v>0</v>
      </c>
      <c r="BU380" s="848">
        <f t="shared" si="311"/>
        <v>0</v>
      </c>
      <c r="BV380" s="848">
        <f t="shared" si="311"/>
        <v>0</v>
      </c>
      <c r="BW380" s="848">
        <f t="shared" si="311"/>
        <v>0</v>
      </c>
      <c r="BX380" s="848">
        <f t="shared" si="311"/>
        <v>0</v>
      </c>
      <c r="BY380" s="848">
        <f t="shared" si="311"/>
        <v>0</v>
      </c>
      <c r="BZ380" s="848">
        <f t="shared" si="311"/>
        <v>0</v>
      </c>
      <c r="CA380" s="848">
        <f t="shared" si="311"/>
        <v>0</v>
      </c>
      <c r="CB380" s="848">
        <f t="shared" si="311"/>
        <v>0</v>
      </c>
      <c r="CC380" s="848">
        <f t="shared" si="311"/>
        <v>0</v>
      </c>
      <c r="CD380" s="848">
        <f t="shared" si="311"/>
        <v>0</v>
      </c>
      <c r="CE380" s="848">
        <f t="shared" si="311"/>
        <v>2400</v>
      </c>
      <c r="CF380" s="848">
        <f t="shared" ref="CF380:CF393" si="313">BO380/AY380%</f>
        <v>100</v>
      </c>
      <c r="CG380" s="848"/>
      <c r="CH380" s="848"/>
      <c r="CI380" s="848"/>
      <c r="CJ380" s="848"/>
      <c r="CK380" s="848"/>
      <c r="CL380" s="848"/>
      <c r="CM380" s="848"/>
      <c r="CN380" s="848"/>
      <c r="CO380" s="848"/>
      <c r="CP380" s="848"/>
      <c r="CQ380" s="848"/>
      <c r="CR380" s="848"/>
      <c r="CS380" s="848"/>
      <c r="CT380" s="848"/>
      <c r="CU380" s="848"/>
      <c r="CV380" s="848"/>
      <c r="CW380" s="848">
        <f t="shared" si="289"/>
        <v>100</v>
      </c>
    </row>
    <row r="381" spans="1:101" s="851" customFormat="1" ht="14.45" customHeight="1">
      <c r="A381" s="845"/>
      <c r="B381" s="845"/>
      <c r="C381" s="857" t="s">
        <v>358</v>
      </c>
      <c r="D381" s="846">
        <f>D382</f>
        <v>0</v>
      </c>
      <c r="E381" s="845">
        <f t="shared" si="311"/>
        <v>0</v>
      </c>
      <c r="F381" s="847"/>
      <c r="G381" s="845"/>
      <c r="H381" s="850">
        <f t="shared" si="261"/>
        <v>16008</v>
      </c>
      <c r="I381" s="848">
        <f t="shared" si="311"/>
        <v>0</v>
      </c>
      <c r="J381" s="848">
        <f t="shared" si="311"/>
        <v>0</v>
      </c>
      <c r="K381" s="848">
        <f t="shared" si="311"/>
        <v>0</v>
      </c>
      <c r="L381" s="848">
        <f t="shared" si="311"/>
        <v>0</v>
      </c>
      <c r="M381" s="848">
        <f t="shared" si="311"/>
        <v>0</v>
      </c>
      <c r="N381" s="848">
        <f t="shared" si="311"/>
        <v>0</v>
      </c>
      <c r="O381" s="848">
        <f t="shared" si="311"/>
        <v>0</v>
      </c>
      <c r="P381" s="848">
        <f t="shared" si="311"/>
        <v>0</v>
      </c>
      <c r="Q381" s="848">
        <f t="shared" si="311"/>
        <v>0</v>
      </c>
      <c r="R381" s="848">
        <v>0</v>
      </c>
      <c r="S381" s="848">
        <f t="shared" si="311"/>
        <v>16008</v>
      </c>
      <c r="T381" s="848">
        <f t="shared" si="311"/>
        <v>2000</v>
      </c>
      <c r="U381" s="848">
        <f t="shared" si="311"/>
        <v>0</v>
      </c>
      <c r="V381" s="848">
        <f t="shared" si="311"/>
        <v>0</v>
      </c>
      <c r="W381" s="848">
        <f t="shared" si="311"/>
        <v>0</v>
      </c>
      <c r="X381" s="848">
        <f t="shared" si="311"/>
        <v>0</v>
      </c>
      <c r="Y381" s="848">
        <f t="shared" si="311"/>
        <v>0</v>
      </c>
      <c r="Z381" s="848">
        <f t="shared" si="311"/>
        <v>0</v>
      </c>
      <c r="AA381" s="848">
        <f t="shared" si="311"/>
        <v>0</v>
      </c>
      <c r="AB381" s="848">
        <f t="shared" si="311"/>
        <v>0</v>
      </c>
      <c r="AC381" s="848">
        <f t="shared" si="311"/>
        <v>0</v>
      </c>
      <c r="AD381" s="848"/>
      <c r="AE381" s="848"/>
      <c r="AF381" s="848">
        <f t="shared" si="311"/>
        <v>0</v>
      </c>
      <c r="AG381" s="848">
        <f t="shared" si="311"/>
        <v>0</v>
      </c>
      <c r="AH381" s="848">
        <f t="shared" si="311"/>
        <v>2000</v>
      </c>
      <c r="AI381" s="848">
        <f t="shared" si="311"/>
        <v>1000</v>
      </c>
      <c r="AJ381" s="848">
        <f t="shared" si="311"/>
        <v>0</v>
      </c>
      <c r="AK381" s="848">
        <f t="shared" si="311"/>
        <v>0</v>
      </c>
      <c r="AL381" s="848">
        <f t="shared" si="311"/>
        <v>0</v>
      </c>
      <c r="AM381" s="848">
        <f t="shared" si="311"/>
        <v>0</v>
      </c>
      <c r="AN381" s="848">
        <f t="shared" si="311"/>
        <v>0</v>
      </c>
      <c r="AO381" s="848">
        <f t="shared" si="311"/>
        <v>0</v>
      </c>
      <c r="AP381" s="848">
        <f t="shared" si="311"/>
        <v>0</v>
      </c>
      <c r="AQ381" s="848">
        <f t="shared" si="311"/>
        <v>0</v>
      </c>
      <c r="AR381" s="848">
        <f t="shared" si="311"/>
        <v>0</v>
      </c>
      <c r="AS381" s="848"/>
      <c r="AT381" s="848">
        <f t="shared" si="311"/>
        <v>0</v>
      </c>
      <c r="AU381" s="848">
        <f t="shared" si="311"/>
        <v>0</v>
      </c>
      <c r="AV381" s="848">
        <f t="shared" si="311"/>
        <v>0</v>
      </c>
      <c r="AW381" s="848">
        <f t="shared" si="311"/>
        <v>0</v>
      </c>
      <c r="AX381" s="848">
        <f t="shared" si="311"/>
        <v>1000</v>
      </c>
      <c r="AY381" s="848">
        <f t="shared" si="311"/>
        <v>2400</v>
      </c>
      <c r="AZ381" s="848">
        <f t="shared" si="311"/>
        <v>0</v>
      </c>
      <c r="BA381" s="848"/>
      <c r="BB381" s="848"/>
      <c r="BC381" s="848">
        <f t="shared" si="311"/>
        <v>0</v>
      </c>
      <c r="BD381" s="848">
        <f t="shared" si="311"/>
        <v>0</v>
      </c>
      <c r="BE381" s="848"/>
      <c r="BF381" s="848">
        <f t="shared" si="311"/>
        <v>0</v>
      </c>
      <c r="BG381" s="848">
        <f t="shared" si="311"/>
        <v>0</v>
      </c>
      <c r="BH381" s="848">
        <f t="shared" si="311"/>
        <v>0</v>
      </c>
      <c r="BI381" s="848">
        <f t="shared" si="311"/>
        <v>0</v>
      </c>
      <c r="BJ381" s="848">
        <f t="shared" si="311"/>
        <v>0</v>
      </c>
      <c r="BK381" s="848">
        <f t="shared" si="311"/>
        <v>0</v>
      </c>
      <c r="BL381" s="848">
        <f t="shared" si="311"/>
        <v>0</v>
      </c>
      <c r="BM381" s="848">
        <f t="shared" si="311"/>
        <v>0</v>
      </c>
      <c r="BN381" s="848">
        <f t="shared" si="311"/>
        <v>2400</v>
      </c>
      <c r="BO381" s="848">
        <f t="shared" si="265"/>
        <v>2400</v>
      </c>
      <c r="BP381" s="848">
        <f t="shared" si="311"/>
        <v>0</v>
      </c>
      <c r="BQ381" s="848"/>
      <c r="BR381" s="848"/>
      <c r="BS381" s="848">
        <f t="shared" si="311"/>
        <v>0</v>
      </c>
      <c r="BT381" s="848">
        <f t="shared" si="311"/>
        <v>0</v>
      </c>
      <c r="BU381" s="848"/>
      <c r="BV381" s="848">
        <f t="shared" si="311"/>
        <v>0</v>
      </c>
      <c r="BW381" s="848">
        <f t="shared" si="311"/>
        <v>0</v>
      </c>
      <c r="BX381" s="848">
        <f t="shared" si="311"/>
        <v>0</v>
      </c>
      <c r="BY381" s="848">
        <f t="shared" si="311"/>
        <v>0</v>
      </c>
      <c r="BZ381" s="848">
        <f t="shared" si="311"/>
        <v>0</v>
      </c>
      <c r="CA381" s="848">
        <f t="shared" si="311"/>
        <v>0</v>
      </c>
      <c r="CB381" s="848">
        <f t="shared" si="311"/>
        <v>0</v>
      </c>
      <c r="CC381" s="848">
        <f t="shared" si="311"/>
        <v>0</v>
      </c>
      <c r="CD381" s="848">
        <f t="shared" si="311"/>
        <v>0</v>
      </c>
      <c r="CE381" s="848">
        <f t="shared" si="311"/>
        <v>2400</v>
      </c>
      <c r="CF381" s="848">
        <f t="shared" si="313"/>
        <v>100</v>
      </c>
      <c r="CG381" s="848"/>
      <c r="CH381" s="848"/>
      <c r="CI381" s="848"/>
      <c r="CJ381" s="848"/>
      <c r="CK381" s="848"/>
      <c r="CL381" s="848"/>
      <c r="CM381" s="848"/>
      <c r="CN381" s="848"/>
      <c r="CO381" s="848"/>
      <c r="CP381" s="848"/>
      <c r="CQ381" s="848"/>
      <c r="CR381" s="848"/>
      <c r="CS381" s="848"/>
      <c r="CT381" s="848"/>
      <c r="CU381" s="848"/>
      <c r="CV381" s="848"/>
      <c r="CW381" s="848">
        <f t="shared" si="289"/>
        <v>100</v>
      </c>
    </row>
    <row r="382" spans="1:101" ht="29.45" customHeight="1">
      <c r="A382" s="845"/>
      <c r="B382" s="852" t="s">
        <v>677</v>
      </c>
      <c r="C382" s="852" t="s">
        <v>1019</v>
      </c>
      <c r="D382" s="846"/>
      <c r="E382" s="845"/>
      <c r="F382" s="896" t="s">
        <v>1020</v>
      </c>
      <c r="G382" s="897" t="s">
        <v>1021</v>
      </c>
      <c r="H382" s="850">
        <f t="shared" si="261"/>
        <v>16008</v>
      </c>
      <c r="I382" s="898"/>
      <c r="J382" s="848"/>
      <c r="K382" s="848"/>
      <c r="L382" s="848"/>
      <c r="M382" s="848"/>
      <c r="N382" s="848"/>
      <c r="O382" s="848"/>
      <c r="P382" s="848"/>
      <c r="Q382" s="848"/>
      <c r="R382" s="848"/>
      <c r="S382" s="898">
        <v>16008</v>
      </c>
      <c r="T382" s="855">
        <f t="shared" si="301"/>
        <v>2000</v>
      </c>
      <c r="U382" s="848"/>
      <c r="V382" s="848"/>
      <c r="W382" s="848"/>
      <c r="X382" s="848"/>
      <c r="Y382" s="848"/>
      <c r="Z382" s="848"/>
      <c r="AA382" s="848"/>
      <c r="AB382" s="848"/>
      <c r="AC382" s="848"/>
      <c r="AD382" s="848"/>
      <c r="AE382" s="848"/>
      <c r="AF382" s="848"/>
      <c r="AG382" s="848"/>
      <c r="AH382" s="855">
        <v>2000</v>
      </c>
      <c r="AI382" s="855">
        <f>AX382</f>
        <v>1000</v>
      </c>
      <c r="AJ382" s="855"/>
      <c r="AK382" s="855"/>
      <c r="AL382" s="855"/>
      <c r="AM382" s="855"/>
      <c r="AN382" s="855"/>
      <c r="AO382" s="855"/>
      <c r="AP382" s="855"/>
      <c r="AQ382" s="855"/>
      <c r="AR382" s="855"/>
      <c r="AS382" s="855"/>
      <c r="AT382" s="855"/>
      <c r="AU382" s="855"/>
      <c r="AV382" s="855"/>
      <c r="AW382" s="855"/>
      <c r="AX382" s="855">
        <v>1000</v>
      </c>
      <c r="AY382" s="855">
        <f t="shared" ref="AY382" si="314">SUM(AZ382:BN382)</f>
        <v>2400</v>
      </c>
      <c r="AZ382" s="855"/>
      <c r="BA382" s="855"/>
      <c r="BB382" s="855"/>
      <c r="BC382" s="855"/>
      <c r="BD382" s="855"/>
      <c r="BE382" s="855"/>
      <c r="BF382" s="855"/>
      <c r="BG382" s="855"/>
      <c r="BH382" s="855"/>
      <c r="BI382" s="855"/>
      <c r="BJ382" s="855"/>
      <c r="BK382" s="855"/>
      <c r="BL382" s="855"/>
      <c r="BM382" s="855"/>
      <c r="BN382" s="855">
        <f>'[10]bieu cu'!H48</f>
        <v>2400</v>
      </c>
      <c r="BO382" s="848">
        <f t="shared" si="265"/>
        <v>2400</v>
      </c>
      <c r="BP382" s="855"/>
      <c r="BQ382" s="855"/>
      <c r="BR382" s="855"/>
      <c r="BS382" s="855"/>
      <c r="BT382" s="855"/>
      <c r="BU382" s="855"/>
      <c r="BV382" s="855"/>
      <c r="BW382" s="855"/>
      <c r="BX382" s="855"/>
      <c r="BY382" s="855"/>
      <c r="BZ382" s="855"/>
      <c r="CA382" s="855"/>
      <c r="CB382" s="855"/>
      <c r="CC382" s="855"/>
      <c r="CD382" s="855"/>
      <c r="CE382" s="855">
        <f>'[10]bieu cu'!M48</f>
        <v>2400</v>
      </c>
      <c r="CF382" s="848">
        <f t="shared" si="313"/>
        <v>100</v>
      </c>
      <c r="CG382" s="848"/>
      <c r="CH382" s="848"/>
      <c r="CI382" s="848"/>
      <c r="CJ382" s="848"/>
      <c r="CK382" s="848"/>
      <c r="CL382" s="848"/>
      <c r="CM382" s="848"/>
      <c r="CN382" s="848"/>
      <c r="CO382" s="848"/>
      <c r="CP382" s="848"/>
      <c r="CQ382" s="848"/>
      <c r="CR382" s="848"/>
      <c r="CS382" s="848"/>
      <c r="CT382" s="848"/>
      <c r="CU382" s="848"/>
      <c r="CV382" s="848"/>
      <c r="CW382" s="848">
        <f t="shared" si="289"/>
        <v>100</v>
      </c>
    </row>
    <row r="383" spans="1:101" s="851" customFormat="1" ht="31.15" customHeight="1">
      <c r="A383" s="845" t="s">
        <v>13</v>
      </c>
      <c r="B383" s="845"/>
      <c r="C383" s="857" t="s">
        <v>1022</v>
      </c>
      <c r="D383" s="845">
        <f>D384</f>
        <v>0</v>
      </c>
      <c r="E383" s="845">
        <f t="shared" ref="E383:CE384" si="315">E384</f>
        <v>0</v>
      </c>
      <c r="F383" s="847"/>
      <c r="G383" s="845"/>
      <c r="H383" s="899">
        <f>SUM(I383:S383)</f>
        <v>40920</v>
      </c>
      <c r="I383" s="848">
        <f t="shared" ref="I383:AX384" si="316">I384</f>
        <v>0</v>
      </c>
      <c r="J383" s="848">
        <f t="shared" si="316"/>
        <v>19999</v>
      </c>
      <c r="K383" s="848">
        <f t="shared" si="316"/>
        <v>0</v>
      </c>
      <c r="L383" s="848">
        <f t="shared" si="316"/>
        <v>0</v>
      </c>
      <c r="M383" s="848">
        <f t="shared" si="316"/>
        <v>0</v>
      </c>
      <c r="N383" s="848">
        <f t="shared" si="316"/>
        <v>0</v>
      </c>
      <c r="O383" s="848">
        <f t="shared" si="316"/>
        <v>0</v>
      </c>
      <c r="P383" s="848">
        <f t="shared" si="316"/>
        <v>0</v>
      </c>
      <c r="Q383" s="848">
        <f t="shared" si="316"/>
        <v>0</v>
      </c>
      <c r="R383" s="848">
        <v>0</v>
      </c>
      <c r="S383" s="848">
        <f t="shared" si="316"/>
        <v>20921</v>
      </c>
      <c r="T383" s="848">
        <f t="shared" si="316"/>
        <v>28500</v>
      </c>
      <c r="U383" s="848">
        <f t="shared" si="316"/>
        <v>0</v>
      </c>
      <c r="V383" s="848">
        <f t="shared" si="316"/>
        <v>0</v>
      </c>
      <c r="W383" s="848">
        <f t="shared" si="316"/>
        <v>19000</v>
      </c>
      <c r="X383" s="848">
        <f t="shared" si="316"/>
        <v>0</v>
      </c>
      <c r="Y383" s="848">
        <f t="shared" si="316"/>
        <v>0</v>
      </c>
      <c r="Z383" s="848">
        <f t="shared" si="316"/>
        <v>0</v>
      </c>
      <c r="AA383" s="848">
        <f t="shared" si="316"/>
        <v>0</v>
      </c>
      <c r="AB383" s="848">
        <f t="shared" si="316"/>
        <v>0</v>
      </c>
      <c r="AC383" s="848">
        <f t="shared" si="316"/>
        <v>0</v>
      </c>
      <c r="AD383" s="848"/>
      <c r="AE383" s="848"/>
      <c r="AF383" s="848">
        <f t="shared" si="316"/>
        <v>0</v>
      </c>
      <c r="AG383" s="848">
        <f t="shared" si="316"/>
        <v>0</v>
      </c>
      <c r="AH383" s="848">
        <f t="shared" si="316"/>
        <v>9500</v>
      </c>
      <c r="AI383" s="848">
        <f t="shared" si="316"/>
        <v>42359</v>
      </c>
      <c r="AJ383" s="848">
        <f t="shared" si="316"/>
        <v>0</v>
      </c>
      <c r="AK383" s="848">
        <f t="shared" si="316"/>
        <v>0</v>
      </c>
      <c r="AL383" s="848">
        <f t="shared" si="316"/>
        <v>19000</v>
      </c>
      <c r="AM383" s="848">
        <f t="shared" si="316"/>
        <v>0</v>
      </c>
      <c r="AN383" s="848">
        <f t="shared" si="316"/>
        <v>0</v>
      </c>
      <c r="AO383" s="848">
        <f t="shared" si="316"/>
        <v>0</v>
      </c>
      <c r="AP383" s="848">
        <f t="shared" si="316"/>
        <v>0</v>
      </c>
      <c r="AQ383" s="848">
        <f t="shared" si="316"/>
        <v>0</v>
      </c>
      <c r="AR383" s="848">
        <f t="shared" si="316"/>
        <v>0</v>
      </c>
      <c r="AS383" s="848"/>
      <c r="AT383" s="848">
        <f t="shared" si="316"/>
        <v>0</v>
      </c>
      <c r="AU383" s="848">
        <f t="shared" si="316"/>
        <v>0</v>
      </c>
      <c r="AV383" s="848">
        <f t="shared" si="316"/>
        <v>0</v>
      </c>
      <c r="AW383" s="848">
        <f t="shared" si="316"/>
        <v>0</v>
      </c>
      <c r="AX383" s="848">
        <f t="shared" si="316"/>
        <v>23359</v>
      </c>
      <c r="AY383" s="848">
        <f t="shared" si="315"/>
        <v>1076</v>
      </c>
      <c r="AZ383" s="848">
        <f t="shared" si="315"/>
        <v>0</v>
      </c>
      <c r="BA383" s="848"/>
      <c r="BB383" s="848"/>
      <c r="BC383" s="848">
        <f t="shared" si="315"/>
        <v>0</v>
      </c>
      <c r="BD383" s="848">
        <f t="shared" si="315"/>
        <v>0</v>
      </c>
      <c r="BE383" s="848"/>
      <c r="BF383" s="848">
        <f t="shared" si="315"/>
        <v>0</v>
      </c>
      <c r="BG383" s="848">
        <f t="shared" si="315"/>
        <v>0</v>
      </c>
      <c r="BH383" s="848">
        <f t="shared" si="315"/>
        <v>0</v>
      </c>
      <c r="BI383" s="848">
        <f t="shared" si="315"/>
        <v>0</v>
      </c>
      <c r="BJ383" s="848">
        <f t="shared" si="315"/>
        <v>0</v>
      </c>
      <c r="BK383" s="848">
        <f t="shared" si="315"/>
        <v>0</v>
      </c>
      <c r="BL383" s="848">
        <f t="shared" si="315"/>
        <v>0</v>
      </c>
      <c r="BM383" s="848">
        <f t="shared" si="315"/>
        <v>0</v>
      </c>
      <c r="BN383" s="848">
        <f t="shared" si="315"/>
        <v>1076</v>
      </c>
      <c r="BO383" s="848">
        <f t="shared" si="265"/>
        <v>1075.394</v>
      </c>
      <c r="BP383" s="848">
        <f t="shared" si="315"/>
        <v>0</v>
      </c>
      <c r="BQ383" s="848">
        <f t="shared" si="315"/>
        <v>0</v>
      </c>
      <c r="BR383" s="848">
        <f t="shared" si="315"/>
        <v>0</v>
      </c>
      <c r="BS383" s="848">
        <f t="shared" si="315"/>
        <v>0</v>
      </c>
      <c r="BT383" s="848">
        <f t="shared" si="315"/>
        <v>0</v>
      </c>
      <c r="BU383" s="848">
        <f t="shared" si="315"/>
        <v>0</v>
      </c>
      <c r="BV383" s="848">
        <f t="shared" si="315"/>
        <v>0</v>
      </c>
      <c r="BW383" s="848">
        <f t="shared" si="315"/>
        <v>0</v>
      </c>
      <c r="BX383" s="848">
        <f t="shared" si="315"/>
        <v>0</v>
      </c>
      <c r="BY383" s="848">
        <f t="shared" si="315"/>
        <v>0</v>
      </c>
      <c r="BZ383" s="848">
        <f t="shared" si="315"/>
        <v>0</v>
      </c>
      <c r="CA383" s="848">
        <f t="shared" si="315"/>
        <v>0</v>
      </c>
      <c r="CB383" s="848">
        <f t="shared" si="315"/>
        <v>0</v>
      </c>
      <c r="CC383" s="848">
        <f t="shared" si="315"/>
        <v>0</v>
      </c>
      <c r="CD383" s="848">
        <f t="shared" si="315"/>
        <v>0</v>
      </c>
      <c r="CE383" s="848">
        <f t="shared" si="315"/>
        <v>1075.394</v>
      </c>
      <c r="CF383" s="848">
        <f t="shared" si="313"/>
        <v>99.943680297397776</v>
      </c>
      <c r="CG383" s="848"/>
      <c r="CH383" s="848"/>
      <c r="CI383" s="848"/>
      <c r="CJ383" s="848"/>
      <c r="CK383" s="848"/>
      <c r="CL383" s="848"/>
      <c r="CM383" s="848"/>
      <c r="CN383" s="848"/>
      <c r="CO383" s="848"/>
      <c r="CP383" s="848"/>
      <c r="CQ383" s="848"/>
      <c r="CR383" s="848"/>
      <c r="CS383" s="848"/>
      <c r="CT383" s="848"/>
      <c r="CU383" s="848"/>
      <c r="CV383" s="848"/>
      <c r="CW383" s="848">
        <f t="shared" si="289"/>
        <v>99.943680297397776</v>
      </c>
    </row>
    <row r="384" spans="1:101" ht="21.6" customHeight="1">
      <c r="A384" s="845" t="s">
        <v>11</v>
      </c>
      <c r="B384" s="845"/>
      <c r="C384" s="857" t="s">
        <v>1023</v>
      </c>
      <c r="D384" s="846">
        <f>D385</f>
        <v>0</v>
      </c>
      <c r="E384" s="845">
        <f t="shared" si="315"/>
        <v>0</v>
      </c>
      <c r="F384" s="847"/>
      <c r="G384" s="845"/>
      <c r="H384" s="850">
        <f t="shared" si="261"/>
        <v>40920</v>
      </c>
      <c r="I384" s="848">
        <f t="shared" si="315"/>
        <v>0</v>
      </c>
      <c r="J384" s="848">
        <f t="shared" si="315"/>
        <v>19999</v>
      </c>
      <c r="K384" s="848">
        <f t="shared" si="315"/>
        <v>0</v>
      </c>
      <c r="L384" s="848">
        <f t="shared" si="315"/>
        <v>0</v>
      </c>
      <c r="M384" s="848">
        <f t="shared" si="315"/>
        <v>0</v>
      </c>
      <c r="N384" s="848">
        <f t="shared" si="315"/>
        <v>0</v>
      </c>
      <c r="O384" s="848">
        <f t="shared" si="315"/>
        <v>0</v>
      </c>
      <c r="P384" s="848">
        <f t="shared" si="315"/>
        <v>0</v>
      </c>
      <c r="Q384" s="848">
        <f t="shared" si="315"/>
        <v>0</v>
      </c>
      <c r="R384" s="848">
        <v>0</v>
      </c>
      <c r="S384" s="848">
        <f t="shared" si="315"/>
        <v>20921</v>
      </c>
      <c r="T384" s="848">
        <f t="shared" si="316"/>
        <v>28500</v>
      </c>
      <c r="U384" s="848">
        <f t="shared" si="316"/>
        <v>0</v>
      </c>
      <c r="V384" s="848">
        <f t="shared" si="316"/>
        <v>0</v>
      </c>
      <c r="W384" s="848">
        <f t="shared" si="316"/>
        <v>19000</v>
      </c>
      <c r="X384" s="848">
        <f t="shared" si="316"/>
        <v>0</v>
      </c>
      <c r="Y384" s="848">
        <f t="shared" si="316"/>
        <v>0</v>
      </c>
      <c r="Z384" s="848">
        <f t="shared" si="316"/>
        <v>0</v>
      </c>
      <c r="AA384" s="848">
        <f t="shared" si="316"/>
        <v>0</v>
      </c>
      <c r="AB384" s="848">
        <f t="shared" si="316"/>
        <v>0</v>
      </c>
      <c r="AC384" s="848">
        <f t="shared" si="316"/>
        <v>0</v>
      </c>
      <c r="AD384" s="848"/>
      <c r="AE384" s="848"/>
      <c r="AF384" s="848">
        <f t="shared" si="316"/>
        <v>0</v>
      </c>
      <c r="AG384" s="848">
        <f t="shared" si="316"/>
        <v>0</v>
      </c>
      <c r="AH384" s="848">
        <f t="shared" si="316"/>
        <v>9500</v>
      </c>
      <c r="AI384" s="848">
        <f t="shared" si="315"/>
        <v>42359</v>
      </c>
      <c r="AJ384" s="848">
        <f t="shared" si="315"/>
        <v>0</v>
      </c>
      <c r="AK384" s="848">
        <f t="shared" si="315"/>
        <v>0</v>
      </c>
      <c r="AL384" s="848">
        <f t="shared" si="315"/>
        <v>19000</v>
      </c>
      <c r="AM384" s="848">
        <f t="shared" si="315"/>
        <v>0</v>
      </c>
      <c r="AN384" s="848">
        <f t="shared" si="315"/>
        <v>0</v>
      </c>
      <c r="AO384" s="848">
        <f t="shared" si="315"/>
        <v>0</v>
      </c>
      <c r="AP384" s="848">
        <f t="shared" si="315"/>
        <v>0</v>
      </c>
      <c r="AQ384" s="848">
        <f t="shared" si="315"/>
        <v>0</v>
      </c>
      <c r="AR384" s="848">
        <f t="shared" si="315"/>
        <v>0</v>
      </c>
      <c r="AS384" s="848"/>
      <c r="AT384" s="848">
        <f t="shared" si="315"/>
        <v>0</v>
      </c>
      <c r="AU384" s="848">
        <f t="shared" si="315"/>
        <v>0</v>
      </c>
      <c r="AV384" s="848">
        <f t="shared" si="315"/>
        <v>0</v>
      </c>
      <c r="AW384" s="848">
        <f t="shared" si="315"/>
        <v>0</v>
      </c>
      <c r="AX384" s="848">
        <f t="shared" si="315"/>
        <v>23359</v>
      </c>
      <c r="AY384" s="848">
        <f t="shared" si="315"/>
        <v>1076</v>
      </c>
      <c r="AZ384" s="848">
        <f t="shared" si="315"/>
        <v>0</v>
      </c>
      <c r="BA384" s="848"/>
      <c r="BB384" s="848"/>
      <c r="BC384" s="848">
        <f t="shared" si="315"/>
        <v>0</v>
      </c>
      <c r="BD384" s="848">
        <f t="shared" si="315"/>
        <v>0</v>
      </c>
      <c r="BE384" s="848"/>
      <c r="BF384" s="848">
        <f t="shared" si="315"/>
        <v>0</v>
      </c>
      <c r="BG384" s="848">
        <f t="shared" si="315"/>
        <v>0</v>
      </c>
      <c r="BH384" s="848">
        <f t="shared" si="315"/>
        <v>0</v>
      </c>
      <c r="BI384" s="848">
        <f t="shared" si="315"/>
        <v>0</v>
      </c>
      <c r="BJ384" s="848">
        <f t="shared" si="315"/>
        <v>0</v>
      </c>
      <c r="BK384" s="848">
        <f t="shared" si="315"/>
        <v>0</v>
      </c>
      <c r="BL384" s="848">
        <f t="shared" si="315"/>
        <v>0</v>
      </c>
      <c r="BM384" s="848">
        <f t="shared" si="315"/>
        <v>0</v>
      </c>
      <c r="BN384" s="848">
        <f t="shared" si="315"/>
        <v>1076</v>
      </c>
      <c r="BO384" s="848">
        <f t="shared" si="265"/>
        <v>1075.394</v>
      </c>
      <c r="BP384" s="848">
        <f t="shared" si="315"/>
        <v>0</v>
      </c>
      <c r="BQ384" s="848"/>
      <c r="BR384" s="848"/>
      <c r="BS384" s="848">
        <f t="shared" si="315"/>
        <v>0</v>
      </c>
      <c r="BT384" s="848">
        <f t="shared" si="315"/>
        <v>0</v>
      </c>
      <c r="BU384" s="848"/>
      <c r="BV384" s="848">
        <f t="shared" si="315"/>
        <v>0</v>
      </c>
      <c r="BW384" s="848">
        <f t="shared" si="315"/>
        <v>0</v>
      </c>
      <c r="BX384" s="848">
        <f t="shared" si="315"/>
        <v>0</v>
      </c>
      <c r="BY384" s="848">
        <f t="shared" si="315"/>
        <v>0</v>
      </c>
      <c r="BZ384" s="848">
        <f t="shared" si="315"/>
        <v>0</v>
      </c>
      <c r="CA384" s="848">
        <f t="shared" si="315"/>
        <v>0</v>
      </c>
      <c r="CB384" s="848">
        <f t="shared" si="315"/>
        <v>0</v>
      </c>
      <c r="CC384" s="848">
        <f t="shared" si="315"/>
        <v>0</v>
      </c>
      <c r="CD384" s="848">
        <f t="shared" si="315"/>
        <v>0</v>
      </c>
      <c r="CE384" s="848">
        <f t="shared" si="315"/>
        <v>1075.394</v>
      </c>
      <c r="CF384" s="848">
        <f t="shared" si="313"/>
        <v>99.943680297397776</v>
      </c>
      <c r="CG384" s="848"/>
      <c r="CH384" s="848"/>
      <c r="CI384" s="848"/>
      <c r="CJ384" s="848"/>
      <c r="CK384" s="848"/>
      <c r="CL384" s="848"/>
      <c r="CM384" s="848"/>
      <c r="CN384" s="848"/>
      <c r="CO384" s="848"/>
      <c r="CP384" s="848"/>
      <c r="CQ384" s="848"/>
      <c r="CR384" s="848"/>
      <c r="CS384" s="848"/>
      <c r="CT384" s="848"/>
      <c r="CU384" s="848"/>
      <c r="CV384" s="848"/>
      <c r="CW384" s="848">
        <f t="shared" si="289"/>
        <v>99.943680297397776</v>
      </c>
    </row>
    <row r="385" spans="1:101" ht="37.15" customHeight="1">
      <c r="A385" s="845"/>
      <c r="B385" s="845"/>
      <c r="C385" s="857" t="s">
        <v>358</v>
      </c>
      <c r="D385" s="846">
        <f>D386+D387</f>
        <v>0</v>
      </c>
      <c r="E385" s="845">
        <f t="shared" ref="E385:CE385" si="317">E386+E387</f>
        <v>0</v>
      </c>
      <c r="F385" s="847"/>
      <c r="G385" s="845"/>
      <c r="H385" s="850">
        <f t="shared" si="261"/>
        <v>40920</v>
      </c>
      <c r="I385" s="848">
        <f t="shared" ref="I385:AX385" si="318">I386+I387</f>
        <v>0</v>
      </c>
      <c r="J385" s="848">
        <f t="shared" si="318"/>
        <v>19999</v>
      </c>
      <c r="K385" s="848">
        <f t="shared" si="318"/>
        <v>0</v>
      </c>
      <c r="L385" s="848">
        <f t="shared" si="318"/>
        <v>0</v>
      </c>
      <c r="M385" s="848">
        <f t="shared" si="318"/>
        <v>0</v>
      </c>
      <c r="N385" s="848">
        <f t="shared" si="318"/>
        <v>0</v>
      </c>
      <c r="O385" s="848">
        <f t="shared" si="318"/>
        <v>0</v>
      </c>
      <c r="P385" s="848">
        <f t="shared" si="318"/>
        <v>0</v>
      </c>
      <c r="Q385" s="848">
        <f t="shared" si="318"/>
        <v>0</v>
      </c>
      <c r="R385" s="848"/>
      <c r="S385" s="848">
        <f>S386+S387</f>
        <v>20921</v>
      </c>
      <c r="T385" s="848">
        <f t="shared" si="318"/>
        <v>28500</v>
      </c>
      <c r="U385" s="848">
        <f t="shared" si="318"/>
        <v>0</v>
      </c>
      <c r="V385" s="848">
        <f t="shared" si="318"/>
        <v>0</v>
      </c>
      <c r="W385" s="848">
        <f t="shared" si="318"/>
        <v>19000</v>
      </c>
      <c r="X385" s="848">
        <f t="shared" si="318"/>
        <v>0</v>
      </c>
      <c r="Y385" s="848">
        <f t="shared" si="318"/>
        <v>0</v>
      </c>
      <c r="Z385" s="848">
        <f t="shared" si="318"/>
        <v>0</v>
      </c>
      <c r="AA385" s="848">
        <f t="shared" si="318"/>
        <v>0</v>
      </c>
      <c r="AB385" s="848">
        <f t="shared" si="318"/>
        <v>0</v>
      </c>
      <c r="AC385" s="848">
        <f t="shared" si="318"/>
        <v>0</v>
      </c>
      <c r="AD385" s="848"/>
      <c r="AE385" s="848"/>
      <c r="AF385" s="848">
        <f t="shared" si="318"/>
        <v>0</v>
      </c>
      <c r="AG385" s="848">
        <f t="shared" si="318"/>
        <v>0</v>
      </c>
      <c r="AH385" s="848">
        <f t="shared" si="318"/>
        <v>9500</v>
      </c>
      <c r="AI385" s="848">
        <f t="shared" si="318"/>
        <v>42359</v>
      </c>
      <c r="AJ385" s="848">
        <f t="shared" si="318"/>
        <v>0</v>
      </c>
      <c r="AK385" s="848">
        <f t="shared" si="318"/>
        <v>0</v>
      </c>
      <c r="AL385" s="848">
        <f t="shared" si="318"/>
        <v>19000</v>
      </c>
      <c r="AM385" s="848">
        <f t="shared" si="318"/>
        <v>0</v>
      </c>
      <c r="AN385" s="848">
        <f t="shared" si="318"/>
        <v>0</v>
      </c>
      <c r="AO385" s="848">
        <f t="shared" si="318"/>
        <v>0</v>
      </c>
      <c r="AP385" s="848">
        <f t="shared" si="318"/>
        <v>0</v>
      </c>
      <c r="AQ385" s="848">
        <f t="shared" si="318"/>
        <v>0</v>
      </c>
      <c r="AR385" s="848">
        <f t="shared" si="318"/>
        <v>0</v>
      </c>
      <c r="AS385" s="848"/>
      <c r="AT385" s="848">
        <f t="shared" si="318"/>
        <v>0</v>
      </c>
      <c r="AU385" s="848">
        <f t="shared" si="318"/>
        <v>0</v>
      </c>
      <c r="AV385" s="848">
        <f t="shared" si="318"/>
        <v>0</v>
      </c>
      <c r="AW385" s="848">
        <f t="shared" si="318"/>
        <v>0</v>
      </c>
      <c r="AX385" s="848">
        <f t="shared" si="318"/>
        <v>23359</v>
      </c>
      <c r="AY385" s="848">
        <f t="shared" si="317"/>
        <v>1076</v>
      </c>
      <c r="AZ385" s="848">
        <f t="shared" si="317"/>
        <v>0</v>
      </c>
      <c r="BA385" s="848">
        <f t="shared" si="317"/>
        <v>0</v>
      </c>
      <c r="BB385" s="848">
        <f t="shared" si="317"/>
        <v>0</v>
      </c>
      <c r="BC385" s="848">
        <f t="shared" si="317"/>
        <v>0</v>
      </c>
      <c r="BD385" s="848">
        <f t="shared" si="317"/>
        <v>0</v>
      </c>
      <c r="BE385" s="848">
        <f t="shared" si="317"/>
        <v>0</v>
      </c>
      <c r="BF385" s="848">
        <f t="shared" si="317"/>
        <v>0</v>
      </c>
      <c r="BG385" s="848">
        <f t="shared" si="317"/>
        <v>0</v>
      </c>
      <c r="BH385" s="848">
        <f t="shared" si="317"/>
        <v>0</v>
      </c>
      <c r="BI385" s="848">
        <f t="shared" si="317"/>
        <v>0</v>
      </c>
      <c r="BJ385" s="848">
        <f t="shared" si="317"/>
        <v>0</v>
      </c>
      <c r="BK385" s="848">
        <f t="shared" si="317"/>
        <v>0</v>
      </c>
      <c r="BL385" s="848">
        <f t="shared" si="317"/>
        <v>0</v>
      </c>
      <c r="BM385" s="848">
        <f t="shared" si="317"/>
        <v>0</v>
      </c>
      <c r="BN385" s="848">
        <f t="shared" si="317"/>
        <v>1076</v>
      </c>
      <c r="BO385" s="848">
        <f t="shared" si="265"/>
        <v>1075.394</v>
      </c>
      <c r="BP385" s="848">
        <f t="shared" si="317"/>
        <v>0</v>
      </c>
      <c r="BQ385" s="848">
        <f t="shared" si="317"/>
        <v>0</v>
      </c>
      <c r="BR385" s="848">
        <f t="shared" si="317"/>
        <v>0</v>
      </c>
      <c r="BS385" s="848">
        <f t="shared" si="317"/>
        <v>0</v>
      </c>
      <c r="BT385" s="848">
        <f t="shared" si="317"/>
        <v>0</v>
      </c>
      <c r="BU385" s="848">
        <f t="shared" si="317"/>
        <v>0</v>
      </c>
      <c r="BV385" s="848">
        <f t="shared" si="317"/>
        <v>0</v>
      </c>
      <c r="BW385" s="848">
        <f t="shared" si="317"/>
        <v>0</v>
      </c>
      <c r="BX385" s="848">
        <f t="shared" si="317"/>
        <v>0</v>
      </c>
      <c r="BY385" s="848">
        <f t="shared" si="317"/>
        <v>0</v>
      </c>
      <c r="BZ385" s="848">
        <f t="shared" si="317"/>
        <v>0</v>
      </c>
      <c r="CA385" s="848">
        <f t="shared" si="317"/>
        <v>0</v>
      </c>
      <c r="CB385" s="848">
        <f t="shared" si="317"/>
        <v>0</v>
      </c>
      <c r="CC385" s="848">
        <f t="shared" si="317"/>
        <v>0</v>
      </c>
      <c r="CD385" s="848">
        <f t="shared" si="317"/>
        <v>0</v>
      </c>
      <c r="CE385" s="848">
        <f t="shared" si="317"/>
        <v>1075.394</v>
      </c>
      <c r="CF385" s="848">
        <f t="shared" si="313"/>
        <v>99.943680297397776</v>
      </c>
      <c r="CG385" s="848"/>
      <c r="CH385" s="848"/>
      <c r="CI385" s="848"/>
      <c r="CJ385" s="848"/>
      <c r="CK385" s="848"/>
      <c r="CL385" s="848"/>
      <c r="CM385" s="848"/>
      <c r="CN385" s="848"/>
      <c r="CO385" s="848"/>
      <c r="CP385" s="848"/>
      <c r="CQ385" s="848"/>
      <c r="CR385" s="848"/>
      <c r="CS385" s="848"/>
      <c r="CT385" s="848"/>
      <c r="CU385" s="848"/>
      <c r="CV385" s="848"/>
      <c r="CW385" s="848">
        <f t="shared" si="289"/>
        <v>99.943680297397776</v>
      </c>
    </row>
    <row r="386" spans="1:101" ht="37.15" customHeight="1">
      <c r="A386" s="845"/>
      <c r="B386" s="852" t="s">
        <v>1023</v>
      </c>
      <c r="C386" s="852" t="s">
        <v>1024</v>
      </c>
      <c r="D386" s="846"/>
      <c r="E386" s="845"/>
      <c r="F386" s="853">
        <v>2006</v>
      </c>
      <c r="G386" s="846" t="s">
        <v>1025</v>
      </c>
      <c r="H386" s="850">
        <f>SUM(I386:S386)</f>
        <v>20921</v>
      </c>
      <c r="I386" s="860"/>
      <c r="J386" s="848"/>
      <c r="K386" s="848"/>
      <c r="L386" s="848"/>
      <c r="M386" s="848"/>
      <c r="N386" s="848"/>
      <c r="O386" s="848"/>
      <c r="P386" s="848"/>
      <c r="Q386" s="848"/>
      <c r="R386" s="848"/>
      <c r="S386" s="848">
        <v>20921</v>
      </c>
      <c r="T386" s="855">
        <f t="shared" si="301"/>
        <v>9500</v>
      </c>
      <c r="U386" s="848"/>
      <c r="V386" s="848"/>
      <c r="W386" s="848"/>
      <c r="X386" s="848"/>
      <c r="Y386" s="848"/>
      <c r="Z386" s="848"/>
      <c r="AA386" s="848"/>
      <c r="AB386" s="848"/>
      <c r="AC386" s="848"/>
      <c r="AD386" s="848"/>
      <c r="AE386" s="848"/>
      <c r="AF386" s="848"/>
      <c r="AG386" s="848"/>
      <c r="AH386" s="855">
        <v>9500</v>
      </c>
      <c r="AI386" s="855">
        <f>AX386</f>
        <v>23359</v>
      </c>
      <c r="AJ386" s="855"/>
      <c r="AK386" s="855"/>
      <c r="AL386" s="855"/>
      <c r="AM386" s="855"/>
      <c r="AN386" s="855"/>
      <c r="AO386" s="855"/>
      <c r="AP386" s="855"/>
      <c r="AQ386" s="855"/>
      <c r="AR386" s="855"/>
      <c r="AS386" s="855"/>
      <c r="AT386" s="855"/>
      <c r="AU386" s="855"/>
      <c r="AV386" s="855"/>
      <c r="AW386" s="855"/>
      <c r="AX386" s="855">
        <v>23359</v>
      </c>
      <c r="AY386" s="855">
        <f t="shared" ref="AY386:AY387" si="319">SUM(AZ386:BN386)</f>
        <v>1000</v>
      </c>
      <c r="AZ386" s="855"/>
      <c r="BA386" s="855"/>
      <c r="BB386" s="855"/>
      <c r="BC386" s="855"/>
      <c r="BD386" s="855"/>
      <c r="BE386" s="855"/>
      <c r="BF386" s="855"/>
      <c r="BG386" s="855"/>
      <c r="BH386" s="855"/>
      <c r="BI386" s="855"/>
      <c r="BJ386" s="855"/>
      <c r="BK386" s="855"/>
      <c r="BL386" s="855"/>
      <c r="BM386" s="855"/>
      <c r="BN386" s="855">
        <f>'[10]bieu cu'!H79</f>
        <v>1000</v>
      </c>
      <c r="BO386" s="848">
        <f t="shared" si="265"/>
        <v>1000</v>
      </c>
      <c r="BP386" s="855"/>
      <c r="BQ386" s="855"/>
      <c r="BR386" s="855"/>
      <c r="BS386" s="855"/>
      <c r="BT386" s="855"/>
      <c r="BU386" s="855"/>
      <c r="BV386" s="855"/>
      <c r="BW386" s="855"/>
      <c r="BX386" s="855"/>
      <c r="BY386" s="855"/>
      <c r="BZ386" s="855"/>
      <c r="CA386" s="855"/>
      <c r="CB386" s="855"/>
      <c r="CC386" s="855"/>
      <c r="CD386" s="855"/>
      <c r="CE386" s="855">
        <f>'[10]bieu cu'!M79</f>
        <v>1000</v>
      </c>
      <c r="CF386" s="848">
        <f t="shared" si="313"/>
        <v>100</v>
      </c>
      <c r="CG386" s="848"/>
      <c r="CH386" s="848"/>
      <c r="CI386" s="848"/>
      <c r="CJ386" s="848"/>
      <c r="CK386" s="848"/>
      <c r="CL386" s="848"/>
      <c r="CM386" s="848"/>
      <c r="CN386" s="848"/>
      <c r="CO386" s="848"/>
      <c r="CP386" s="848"/>
      <c r="CQ386" s="848"/>
      <c r="CR386" s="848"/>
      <c r="CS386" s="848"/>
      <c r="CT386" s="848"/>
      <c r="CU386" s="848"/>
      <c r="CV386" s="848"/>
      <c r="CW386" s="848">
        <f t="shared" si="289"/>
        <v>100</v>
      </c>
    </row>
    <row r="387" spans="1:101" ht="56.45" customHeight="1">
      <c r="A387" s="845"/>
      <c r="B387" s="852" t="s">
        <v>1023</v>
      </c>
      <c r="C387" s="852" t="s">
        <v>1026</v>
      </c>
      <c r="D387" s="846"/>
      <c r="E387" s="845"/>
      <c r="F387" s="853">
        <v>2012</v>
      </c>
      <c r="G387" s="854" t="s">
        <v>1027</v>
      </c>
      <c r="H387" s="850">
        <f t="shared" si="261"/>
        <v>19999</v>
      </c>
      <c r="I387" s="855"/>
      <c r="J387" s="855">
        <v>19999</v>
      </c>
      <c r="K387" s="848"/>
      <c r="L387" s="848"/>
      <c r="M387" s="848"/>
      <c r="N387" s="848"/>
      <c r="O387" s="848"/>
      <c r="P387" s="848"/>
      <c r="Q387" s="848"/>
      <c r="R387" s="890"/>
      <c r="S387" s="855"/>
      <c r="T387" s="855">
        <f>W387</f>
        <v>19000</v>
      </c>
      <c r="U387" s="848"/>
      <c r="V387" s="848"/>
      <c r="W387" s="855">
        <v>19000</v>
      </c>
      <c r="X387" s="848"/>
      <c r="Y387" s="848"/>
      <c r="Z387" s="848"/>
      <c r="AA387" s="848"/>
      <c r="AB387" s="848"/>
      <c r="AC387" s="848"/>
      <c r="AD387" s="848"/>
      <c r="AE387" s="848"/>
      <c r="AF387" s="848"/>
      <c r="AG387" s="848"/>
      <c r="AH387" s="855"/>
      <c r="AI387" s="855">
        <f>AL387</f>
        <v>19000</v>
      </c>
      <c r="AJ387" s="855"/>
      <c r="AK387" s="855"/>
      <c r="AL387" s="855">
        <v>19000</v>
      </c>
      <c r="AM387" s="855"/>
      <c r="AN387" s="855"/>
      <c r="AO387" s="855"/>
      <c r="AP387" s="855"/>
      <c r="AQ387" s="855"/>
      <c r="AR387" s="855"/>
      <c r="AS387" s="855"/>
      <c r="AT387" s="855"/>
      <c r="AU387" s="855"/>
      <c r="AV387" s="855"/>
      <c r="AW387" s="855"/>
      <c r="AX387" s="855"/>
      <c r="AY387" s="855">
        <f t="shared" si="319"/>
        <v>76</v>
      </c>
      <c r="AZ387" s="855"/>
      <c r="BA387" s="855"/>
      <c r="BB387" s="855"/>
      <c r="BC387" s="855"/>
      <c r="BD387" s="855"/>
      <c r="BE387" s="855"/>
      <c r="BF387" s="855"/>
      <c r="BG387" s="855"/>
      <c r="BH387" s="855"/>
      <c r="BI387" s="855"/>
      <c r="BJ387" s="855"/>
      <c r="BK387" s="855"/>
      <c r="BL387" s="855"/>
      <c r="BM387" s="855"/>
      <c r="BN387" s="855">
        <v>76</v>
      </c>
      <c r="BO387" s="848">
        <f t="shared" si="265"/>
        <v>75.394000000000005</v>
      </c>
      <c r="BP387" s="855"/>
      <c r="BQ387" s="855"/>
      <c r="BR387" s="855"/>
      <c r="BS387" s="855"/>
      <c r="BT387" s="855"/>
      <c r="BU387" s="855"/>
      <c r="BV387" s="855"/>
      <c r="BW387" s="855"/>
      <c r="BX387" s="855"/>
      <c r="BY387" s="855"/>
      <c r="BZ387" s="855"/>
      <c r="CA387" s="855"/>
      <c r="CB387" s="855"/>
      <c r="CC387" s="855"/>
      <c r="CD387" s="855"/>
      <c r="CE387" s="860">
        <v>75.394000000000005</v>
      </c>
      <c r="CF387" s="848">
        <f t="shared" si="313"/>
        <v>99.202631578947376</v>
      </c>
      <c r="CG387" s="848"/>
      <c r="CH387" s="848"/>
      <c r="CI387" s="848"/>
      <c r="CJ387" s="848"/>
      <c r="CK387" s="848"/>
      <c r="CL387" s="848"/>
      <c r="CM387" s="848"/>
      <c r="CN387" s="848"/>
      <c r="CO387" s="848"/>
      <c r="CP387" s="848"/>
      <c r="CQ387" s="848"/>
      <c r="CR387" s="848"/>
      <c r="CS387" s="848"/>
      <c r="CT387" s="848"/>
      <c r="CU387" s="848"/>
      <c r="CV387" s="848"/>
      <c r="CW387" s="848">
        <f t="shared" si="289"/>
        <v>99.202631578947376</v>
      </c>
    </row>
    <row r="388" spans="1:101" s="851" customFormat="1" ht="37.15" customHeight="1">
      <c r="A388" s="845" t="s">
        <v>18</v>
      </c>
      <c r="B388" s="845"/>
      <c r="C388" s="857" t="s">
        <v>1028</v>
      </c>
      <c r="D388" s="846">
        <f>D389+D392</f>
        <v>0</v>
      </c>
      <c r="E388" s="845">
        <f t="shared" ref="E388:CE388" si="320">E389+E392</f>
        <v>0</v>
      </c>
      <c r="F388" s="847"/>
      <c r="G388" s="845"/>
      <c r="H388" s="850">
        <f t="shared" ref="H388:H405" si="321">SUM(I388:S388)</f>
        <v>4369</v>
      </c>
      <c r="I388" s="848">
        <f t="shared" ref="I388:AX388" si="322">I389+I392</f>
        <v>0</v>
      </c>
      <c r="J388" s="848">
        <f t="shared" si="322"/>
        <v>0</v>
      </c>
      <c r="K388" s="848">
        <f t="shared" si="322"/>
        <v>0</v>
      </c>
      <c r="L388" s="848">
        <f t="shared" si="322"/>
        <v>0</v>
      </c>
      <c r="M388" s="848">
        <f t="shared" si="322"/>
        <v>1499</v>
      </c>
      <c r="N388" s="848">
        <f t="shared" si="322"/>
        <v>0</v>
      </c>
      <c r="O388" s="848">
        <f t="shared" si="322"/>
        <v>0</v>
      </c>
      <c r="P388" s="848">
        <f t="shared" si="322"/>
        <v>0</v>
      </c>
      <c r="Q388" s="848">
        <f t="shared" si="322"/>
        <v>0</v>
      </c>
      <c r="R388" s="848">
        <v>770</v>
      </c>
      <c r="S388" s="848">
        <f t="shared" si="322"/>
        <v>2100</v>
      </c>
      <c r="T388" s="848">
        <f t="shared" si="322"/>
        <v>1800</v>
      </c>
      <c r="U388" s="848">
        <f t="shared" si="322"/>
        <v>0</v>
      </c>
      <c r="V388" s="848">
        <f t="shared" si="322"/>
        <v>0</v>
      </c>
      <c r="W388" s="848">
        <f t="shared" si="322"/>
        <v>0</v>
      </c>
      <c r="X388" s="848">
        <f t="shared" si="322"/>
        <v>1100</v>
      </c>
      <c r="Y388" s="848">
        <f t="shared" si="322"/>
        <v>0</v>
      </c>
      <c r="Z388" s="848">
        <f t="shared" si="322"/>
        <v>0</v>
      </c>
      <c r="AA388" s="848">
        <f t="shared" si="322"/>
        <v>700</v>
      </c>
      <c r="AB388" s="848">
        <f t="shared" si="322"/>
        <v>0</v>
      </c>
      <c r="AC388" s="848">
        <f t="shared" si="322"/>
        <v>0</v>
      </c>
      <c r="AD388" s="848"/>
      <c r="AE388" s="848"/>
      <c r="AF388" s="848">
        <f t="shared" si="322"/>
        <v>0</v>
      </c>
      <c r="AG388" s="848">
        <f t="shared" si="322"/>
        <v>0</v>
      </c>
      <c r="AH388" s="848">
        <f t="shared" si="322"/>
        <v>0</v>
      </c>
      <c r="AI388" s="848">
        <f t="shared" si="322"/>
        <v>1200</v>
      </c>
      <c r="AJ388" s="848">
        <f t="shared" si="322"/>
        <v>0</v>
      </c>
      <c r="AK388" s="848">
        <f t="shared" si="322"/>
        <v>0</v>
      </c>
      <c r="AL388" s="848">
        <f t="shared" si="322"/>
        <v>0</v>
      </c>
      <c r="AM388" s="848">
        <f t="shared" si="322"/>
        <v>0</v>
      </c>
      <c r="AN388" s="848">
        <f t="shared" si="322"/>
        <v>0</v>
      </c>
      <c r="AO388" s="848">
        <f t="shared" si="322"/>
        <v>0</v>
      </c>
      <c r="AP388" s="848">
        <f t="shared" si="322"/>
        <v>0</v>
      </c>
      <c r="AQ388" s="848">
        <f t="shared" si="322"/>
        <v>0</v>
      </c>
      <c r="AR388" s="848">
        <f t="shared" si="322"/>
        <v>0</v>
      </c>
      <c r="AS388" s="848"/>
      <c r="AT388" s="848">
        <f t="shared" si="322"/>
        <v>0</v>
      </c>
      <c r="AU388" s="848">
        <f t="shared" si="322"/>
        <v>0</v>
      </c>
      <c r="AV388" s="848">
        <f t="shared" si="322"/>
        <v>0</v>
      </c>
      <c r="AW388" s="848">
        <f t="shared" si="322"/>
        <v>0</v>
      </c>
      <c r="AX388" s="848">
        <f t="shared" si="322"/>
        <v>1200</v>
      </c>
      <c r="AY388" s="848">
        <f t="shared" si="320"/>
        <v>632.94799999999998</v>
      </c>
      <c r="AZ388" s="848">
        <f t="shared" si="320"/>
        <v>0</v>
      </c>
      <c r="BA388" s="848"/>
      <c r="BB388" s="848"/>
      <c r="BC388" s="848">
        <f t="shared" si="320"/>
        <v>0</v>
      </c>
      <c r="BD388" s="848">
        <f t="shared" si="320"/>
        <v>600</v>
      </c>
      <c r="BE388" s="848"/>
      <c r="BF388" s="848">
        <f t="shared" si="320"/>
        <v>0</v>
      </c>
      <c r="BG388" s="848">
        <f t="shared" si="320"/>
        <v>0</v>
      </c>
      <c r="BH388" s="848">
        <f t="shared" si="320"/>
        <v>0</v>
      </c>
      <c r="BI388" s="848">
        <f t="shared" si="320"/>
        <v>0</v>
      </c>
      <c r="BJ388" s="848">
        <f t="shared" si="320"/>
        <v>0</v>
      </c>
      <c r="BK388" s="848">
        <f t="shared" si="320"/>
        <v>0</v>
      </c>
      <c r="BL388" s="848">
        <f t="shared" si="320"/>
        <v>32.948</v>
      </c>
      <c r="BM388" s="848">
        <f t="shared" si="320"/>
        <v>0</v>
      </c>
      <c r="BN388" s="848">
        <f t="shared" si="320"/>
        <v>0</v>
      </c>
      <c r="BO388" s="848">
        <f t="shared" si="265"/>
        <v>1119.3155000000002</v>
      </c>
      <c r="BP388" s="848">
        <f t="shared" si="320"/>
        <v>0</v>
      </c>
      <c r="BQ388" s="848">
        <f t="shared" si="320"/>
        <v>0</v>
      </c>
      <c r="BR388" s="848">
        <f t="shared" si="320"/>
        <v>0</v>
      </c>
      <c r="BS388" s="848">
        <f t="shared" si="320"/>
        <v>0</v>
      </c>
      <c r="BT388" s="848">
        <f t="shared" si="320"/>
        <v>600</v>
      </c>
      <c r="BU388" s="848">
        <f t="shared" si="320"/>
        <v>0</v>
      </c>
      <c r="BV388" s="848">
        <f t="shared" si="320"/>
        <v>0</v>
      </c>
      <c r="BW388" s="848">
        <f t="shared" si="320"/>
        <v>0</v>
      </c>
      <c r="BX388" s="848">
        <f t="shared" si="320"/>
        <v>0</v>
      </c>
      <c r="BY388" s="848">
        <f t="shared" si="320"/>
        <v>0</v>
      </c>
      <c r="BZ388" s="848">
        <f t="shared" si="320"/>
        <v>0</v>
      </c>
      <c r="CA388" s="848">
        <f t="shared" si="320"/>
        <v>0</v>
      </c>
      <c r="CB388" s="848">
        <f t="shared" si="320"/>
        <v>0</v>
      </c>
      <c r="CC388" s="848">
        <f t="shared" si="320"/>
        <v>519.31550000000004</v>
      </c>
      <c r="CD388" s="848">
        <f t="shared" si="320"/>
        <v>0</v>
      </c>
      <c r="CE388" s="848">
        <f t="shared" si="320"/>
        <v>0</v>
      </c>
      <c r="CF388" s="848">
        <f t="shared" si="313"/>
        <v>176.84162048067142</v>
      </c>
      <c r="CG388" s="848"/>
      <c r="CH388" s="848"/>
      <c r="CI388" s="848"/>
      <c r="CJ388" s="848"/>
      <c r="CK388" s="848">
        <f t="shared" si="280"/>
        <v>100</v>
      </c>
      <c r="CL388" s="848"/>
      <c r="CM388" s="848"/>
      <c r="CN388" s="848"/>
      <c r="CO388" s="848"/>
      <c r="CP388" s="848"/>
      <c r="CQ388" s="848"/>
      <c r="CR388" s="848"/>
      <c r="CS388" s="848">
        <f>CB388/BL388%</f>
        <v>0</v>
      </c>
      <c r="CT388" s="848"/>
      <c r="CU388" s="848"/>
      <c r="CV388" s="848"/>
      <c r="CW388" s="848"/>
    </row>
    <row r="389" spans="1:101" s="851" customFormat="1" ht="37.15" customHeight="1">
      <c r="A389" s="845">
        <v>1</v>
      </c>
      <c r="B389" s="845"/>
      <c r="C389" s="864" t="s">
        <v>594</v>
      </c>
      <c r="D389" s="846">
        <f>D390</f>
        <v>0</v>
      </c>
      <c r="E389" s="845">
        <f t="shared" ref="E389:CE390" si="323">E390</f>
        <v>0</v>
      </c>
      <c r="F389" s="847"/>
      <c r="G389" s="845"/>
      <c r="H389" s="850">
        <f t="shared" si="321"/>
        <v>2870</v>
      </c>
      <c r="I389" s="848">
        <f t="shared" ref="I389:AX390" si="324">I390</f>
        <v>0</v>
      </c>
      <c r="J389" s="848">
        <f t="shared" si="324"/>
        <v>0</v>
      </c>
      <c r="K389" s="848">
        <f t="shared" si="324"/>
        <v>0</v>
      </c>
      <c r="L389" s="848">
        <f t="shared" si="324"/>
        <v>0</v>
      </c>
      <c r="M389" s="848">
        <f t="shared" si="324"/>
        <v>0</v>
      </c>
      <c r="N389" s="848">
        <f t="shared" si="324"/>
        <v>0</v>
      </c>
      <c r="O389" s="848">
        <f t="shared" si="324"/>
        <v>0</v>
      </c>
      <c r="P389" s="848">
        <f t="shared" si="324"/>
        <v>0</v>
      </c>
      <c r="Q389" s="848">
        <f t="shared" si="324"/>
        <v>0</v>
      </c>
      <c r="R389" s="848">
        <v>770</v>
      </c>
      <c r="S389" s="848">
        <f t="shared" si="324"/>
        <v>2100</v>
      </c>
      <c r="T389" s="848">
        <f t="shared" si="324"/>
        <v>1100</v>
      </c>
      <c r="U389" s="848">
        <f t="shared" si="324"/>
        <v>0</v>
      </c>
      <c r="V389" s="848">
        <f t="shared" si="324"/>
        <v>0</v>
      </c>
      <c r="W389" s="848">
        <f t="shared" si="324"/>
        <v>0</v>
      </c>
      <c r="X389" s="848">
        <f t="shared" si="324"/>
        <v>1100</v>
      </c>
      <c r="Y389" s="848">
        <f t="shared" si="324"/>
        <v>0</v>
      </c>
      <c r="Z389" s="848">
        <f t="shared" si="324"/>
        <v>0</v>
      </c>
      <c r="AA389" s="848">
        <f t="shared" si="324"/>
        <v>0</v>
      </c>
      <c r="AB389" s="848">
        <f t="shared" si="324"/>
        <v>0</v>
      </c>
      <c r="AC389" s="848">
        <f t="shared" si="324"/>
        <v>0</v>
      </c>
      <c r="AD389" s="848"/>
      <c r="AE389" s="848"/>
      <c r="AF389" s="848">
        <f t="shared" si="324"/>
        <v>0</v>
      </c>
      <c r="AG389" s="848">
        <f t="shared" si="324"/>
        <v>0</v>
      </c>
      <c r="AH389" s="848">
        <f t="shared" si="324"/>
        <v>0</v>
      </c>
      <c r="AI389" s="848">
        <f t="shared" si="324"/>
        <v>1200</v>
      </c>
      <c r="AJ389" s="848">
        <f t="shared" si="324"/>
        <v>0</v>
      </c>
      <c r="AK389" s="848">
        <f t="shared" si="324"/>
        <v>0</v>
      </c>
      <c r="AL389" s="848">
        <f t="shared" si="324"/>
        <v>0</v>
      </c>
      <c r="AM389" s="848">
        <f t="shared" si="324"/>
        <v>0</v>
      </c>
      <c r="AN389" s="848">
        <f t="shared" si="324"/>
        <v>0</v>
      </c>
      <c r="AO389" s="848">
        <f t="shared" si="324"/>
        <v>0</v>
      </c>
      <c r="AP389" s="848">
        <f t="shared" si="324"/>
        <v>0</v>
      </c>
      <c r="AQ389" s="848">
        <f t="shared" si="324"/>
        <v>0</v>
      </c>
      <c r="AR389" s="848">
        <f t="shared" si="324"/>
        <v>0</v>
      </c>
      <c r="AS389" s="848"/>
      <c r="AT389" s="848">
        <f t="shared" si="324"/>
        <v>0</v>
      </c>
      <c r="AU389" s="848">
        <f t="shared" si="324"/>
        <v>0</v>
      </c>
      <c r="AV389" s="848">
        <f t="shared" si="324"/>
        <v>0</v>
      </c>
      <c r="AW389" s="848">
        <f t="shared" si="324"/>
        <v>0</v>
      </c>
      <c r="AX389" s="848">
        <f t="shared" si="324"/>
        <v>1200</v>
      </c>
      <c r="AY389" s="848">
        <f t="shared" si="323"/>
        <v>600</v>
      </c>
      <c r="AZ389" s="848">
        <f t="shared" si="323"/>
        <v>0</v>
      </c>
      <c r="BA389" s="848"/>
      <c r="BB389" s="848"/>
      <c r="BC389" s="848">
        <f t="shared" si="323"/>
        <v>0</v>
      </c>
      <c r="BD389" s="848">
        <f t="shared" si="323"/>
        <v>600</v>
      </c>
      <c r="BE389" s="848"/>
      <c r="BF389" s="848">
        <f t="shared" si="323"/>
        <v>0</v>
      </c>
      <c r="BG389" s="848">
        <f t="shared" si="323"/>
        <v>0</v>
      </c>
      <c r="BH389" s="848">
        <f t="shared" si="323"/>
        <v>0</v>
      </c>
      <c r="BI389" s="848">
        <f t="shared" si="323"/>
        <v>0</v>
      </c>
      <c r="BJ389" s="848">
        <f t="shared" si="323"/>
        <v>0</v>
      </c>
      <c r="BK389" s="848">
        <f t="shared" si="323"/>
        <v>0</v>
      </c>
      <c r="BL389" s="848">
        <f t="shared" si="323"/>
        <v>0</v>
      </c>
      <c r="BM389" s="848">
        <f t="shared" si="323"/>
        <v>0</v>
      </c>
      <c r="BN389" s="848">
        <f t="shared" si="323"/>
        <v>0</v>
      </c>
      <c r="BO389" s="848">
        <f t="shared" si="265"/>
        <v>600</v>
      </c>
      <c r="BP389" s="848">
        <f t="shared" si="323"/>
        <v>0</v>
      </c>
      <c r="BQ389" s="848"/>
      <c r="BR389" s="848"/>
      <c r="BS389" s="848">
        <f t="shared" si="323"/>
        <v>0</v>
      </c>
      <c r="BT389" s="848">
        <f t="shared" si="323"/>
        <v>600</v>
      </c>
      <c r="BU389" s="848"/>
      <c r="BV389" s="848">
        <f t="shared" si="323"/>
        <v>0</v>
      </c>
      <c r="BW389" s="848">
        <f t="shared" si="323"/>
        <v>0</v>
      </c>
      <c r="BX389" s="848">
        <f t="shared" si="323"/>
        <v>0</v>
      </c>
      <c r="BY389" s="848">
        <f t="shared" si="323"/>
        <v>0</v>
      </c>
      <c r="BZ389" s="848">
        <f t="shared" si="323"/>
        <v>0</v>
      </c>
      <c r="CA389" s="848">
        <f t="shared" si="323"/>
        <v>0</v>
      </c>
      <c r="CB389" s="848">
        <f t="shared" si="323"/>
        <v>0</v>
      </c>
      <c r="CC389" s="848">
        <f t="shared" si="323"/>
        <v>0</v>
      </c>
      <c r="CD389" s="848">
        <f t="shared" si="323"/>
        <v>0</v>
      </c>
      <c r="CE389" s="848">
        <f t="shared" si="323"/>
        <v>0</v>
      </c>
      <c r="CF389" s="848">
        <f t="shared" si="313"/>
        <v>100</v>
      </c>
      <c r="CG389" s="848"/>
      <c r="CH389" s="848"/>
      <c r="CI389" s="848"/>
      <c r="CJ389" s="848"/>
      <c r="CK389" s="848">
        <f t="shared" si="280"/>
        <v>100</v>
      </c>
      <c r="CL389" s="848"/>
      <c r="CM389" s="848"/>
      <c r="CN389" s="848"/>
      <c r="CO389" s="848"/>
      <c r="CP389" s="848"/>
      <c r="CQ389" s="848"/>
      <c r="CR389" s="848"/>
      <c r="CS389" s="848"/>
      <c r="CT389" s="848"/>
      <c r="CU389" s="848"/>
      <c r="CV389" s="848"/>
      <c r="CW389" s="848"/>
    </row>
    <row r="390" spans="1:101" s="851" customFormat="1" ht="37.15" customHeight="1">
      <c r="A390" s="845"/>
      <c r="B390" s="845"/>
      <c r="C390" s="864" t="s">
        <v>462</v>
      </c>
      <c r="D390" s="846">
        <f>D391</f>
        <v>0</v>
      </c>
      <c r="E390" s="845">
        <f t="shared" si="323"/>
        <v>0</v>
      </c>
      <c r="F390" s="847"/>
      <c r="G390" s="845"/>
      <c r="H390" s="850">
        <f t="shared" si="321"/>
        <v>2870</v>
      </c>
      <c r="I390" s="848">
        <f t="shared" si="324"/>
        <v>0</v>
      </c>
      <c r="J390" s="848">
        <f t="shared" si="324"/>
        <v>0</v>
      </c>
      <c r="K390" s="848">
        <f t="shared" si="324"/>
        <v>0</v>
      </c>
      <c r="L390" s="848">
        <f t="shared" si="324"/>
        <v>0</v>
      </c>
      <c r="M390" s="848">
        <f t="shared" si="324"/>
        <v>0</v>
      </c>
      <c r="N390" s="848">
        <f t="shared" si="324"/>
        <v>0</v>
      </c>
      <c r="O390" s="848">
        <f t="shared" si="324"/>
        <v>0</v>
      </c>
      <c r="P390" s="848">
        <f t="shared" si="324"/>
        <v>0</v>
      </c>
      <c r="Q390" s="848">
        <f t="shared" si="324"/>
        <v>0</v>
      </c>
      <c r="R390" s="848">
        <v>770</v>
      </c>
      <c r="S390" s="848">
        <f t="shared" si="324"/>
        <v>2100</v>
      </c>
      <c r="T390" s="848">
        <f t="shared" si="324"/>
        <v>1100</v>
      </c>
      <c r="U390" s="848">
        <f t="shared" si="324"/>
        <v>0</v>
      </c>
      <c r="V390" s="848">
        <f t="shared" si="324"/>
        <v>0</v>
      </c>
      <c r="W390" s="848">
        <f t="shared" si="324"/>
        <v>0</v>
      </c>
      <c r="X390" s="848">
        <f t="shared" si="324"/>
        <v>1100</v>
      </c>
      <c r="Y390" s="848">
        <f t="shared" si="324"/>
        <v>0</v>
      </c>
      <c r="Z390" s="848">
        <f t="shared" si="324"/>
        <v>0</v>
      </c>
      <c r="AA390" s="848">
        <f t="shared" si="324"/>
        <v>0</v>
      </c>
      <c r="AB390" s="848">
        <f t="shared" si="324"/>
        <v>0</v>
      </c>
      <c r="AC390" s="848">
        <f t="shared" si="324"/>
        <v>0</v>
      </c>
      <c r="AD390" s="848"/>
      <c r="AE390" s="848"/>
      <c r="AF390" s="848">
        <f t="shared" si="324"/>
        <v>0</v>
      </c>
      <c r="AG390" s="848">
        <f t="shared" si="324"/>
        <v>0</v>
      </c>
      <c r="AH390" s="848">
        <f t="shared" si="324"/>
        <v>0</v>
      </c>
      <c r="AI390" s="848">
        <f t="shared" si="324"/>
        <v>1200</v>
      </c>
      <c r="AJ390" s="848">
        <f t="shared" si="324"/>
        <v>0</v>
      </c>
      <c r="AK390" s="848">
        <f t="shared" si="324"/>
        <v>0</v>
      </c>
      <c r="AL390" s="848">
        <f t="shared" si="324"/>
        <v>0</v>
      </c>
      <c r="AM390" s="848">
        <f t="shared" si="324"/>
        <v>0</v>
      </c>
      <c r="AN390" s="848">
        <f t="shared" si="324"/>
        <v>0</v>
      </c>
      <c r="AO390" s="848">
        <f t="shared" si="324"/>
        <v>0</v>
      </c>
      <c r="AP390" s="848">
        <f t="shared" si="324"/>
        <v>0</v>
      </c>
      <c r="AQ390" s="848">
        <f t="shared" si="324"/>
        <v>0</v>
      </c>
      <c r="AR390" s="848">
        <f t="shared" si="324"/>
        <v>0</v>
      </c>
      <c r="AS390" s="848"/>
      <c r="AT390" s="848">
        <f t="shared" si="324"/>
        <v>0</v>
      </c>
      <c r="AU390" s="848">
        <f t="shared" si="324"/>
        <v>0</v>
      </c>
      <c r="AV390" s="848">
        <f t="shared" si="324"/>
        <v>0</v>
      </c>
      <c r="AW390" s="848">
        <f t="shared" si="324"/>
        <v>0</v>
      </c>
      <c r="AX390" s="848">
        <f t="shared" si="324"/>
        <v>1200</v>
      </c>
      <c r="AY390" s="848">
        <f t="shared" si="323"/>
        <v>600</v>
      </c>
      <c r="AZ390" s="848">
        <f t="shared" si="323"/>
        <v>0</v>
      </c>
      <c r="BA390" s="848">
        <f t="shared" si="323"/>
        <v>0</v>
      </c>
      <c r="BB390" s="848">
        <f t="shared" si="323"/>
        <v>0</v>
      </c>
      <c r="BC390" s="848">
        <f t="shared" si="323"/>
        <v>0</v>
      </c>
      <c r="BD390" s="848">
        <f t="shared" si="323"/>
        <v>600</v>
      </c>
      <c r="BE390" s="848">
        <f t="shared" si="323"/>
        <v>0</v>
      </c>
      <c r="BF390" s="848">
        <f t="shared" si="323"/>
        <v>0</v>
      </c>
      <c r="BG390" s="848">
        <f t="shared" si="323"/>
        <v>0</v>
      </c>
      <c r="BH390" s="848">
        <f t="shared" si="323"/>
        <v>0</v>
      </c>
      <c r="BI390" s="848">
        <f t="shared" si="323"/>
        <v>0</v>
      </c>
      <c r="BJ390" s="848">
        <f t="shared" si="323"/>
        <v>0</v>
      </c>
      <c r="BK390" s="848">
        <f t="shared" si="323"/>
        <v>0</v>
      </c>
      <c r="BL390" s="848">
        <f t="shared" si="323"/>
        <v>0</v>
      </c>
      <c r="BM390" s="848">
        <f t="shared" si="323"/>
        <v>0</v>
      </c>
      <c r="BN390" s="848">
        <f t="shared" si="323"/>
        <v>0</v>
      </c>
      <c r="BO390" s="848">
        <f t="shared" si="265"/>
        <v>600</v>
      </c>
      <c r="BP390" s="848">
        <f t="shared" si="323"/>
        <v>0</v>
      </c>
      <c r="BQ390" s="848">
        <f t="shared" si="323"/>
        <v>0</v>
      </c>
      <c r="BR390" s="848">
        <f t="shared" si="323"/>
        <v>0</v>
      </c>
      <c r="BS390" s="848">
        <f t="shared" si="323"/>
        <v>0</v>
      </c>
      <c r="BT390" s="848">
        <f t="shared" si="323"/>
        <v>600</v>
      </c>
      <c r="BU390" s="848">
        <f t="shared" si="323"/>
        <v>0</v>
      </c>
      <c r="BV390" s="848">
        <f t="shared" si="323"/>
        <v>0</v>
      </c>
      <c r="BW390" s="848">
        <f t="shared" si="323"/>
        <v>0</v>
      </c>
      <c r="BX390" s="848">
        <f t="shared" si="323"/>
        <v>0</v>
      </c>
      <c r="BY390" s="848">
        <f t="shared" si="323"/>
        <v>0</v>
      </c>
      <c r="BZ390" s="848">
        <f t="shared" si="323"/>
        <v>0</v>
      </c>
      <c r="CA390" s="848">
        <f t="shared" si="323"/>
        <v>0</v>
      </c>
      <c r="CB390" s="848">
        <f t="shared" si="323"/>
        <v>0</v>
      </c>
      <c r="CC390" s="848">
        <f t="shared" si="323"/>
        <v>0</v>
      </c>
      <c r="CD390" s="848">
        <f t="shared" si="323"/>
        <v>0</v>
      </c>
      <c r="CE390" s="848">
        <f t="shared" si="323"/>
        <v>0</v>
      </c>
      <c r="CF390" s="848">
        <f t="shared" si="313"/>
        <v>100</v>
      </c>
      <c r="CG390" s="848"/>
      <c r="CH390" s="848"/>
      <c r="CI390" s="848"/>
      <c r="CJ390" s="848"/>
      <c r="CK390" s="848">
        <f t="shared" si="280"/>
        <v>100</v>
      </c>
      <c r="CL390" s="848"/>
      <c r="CM390" s="848"/>
      <c r="CN390" s="848"/>
      <c r="CO390" s="848"/>
      <c r="CP390" s="848"/>
      <c r="CQ390" s="848"/>
      <c r="CR390" s="848"/>
      <c r="CS390" s="848"/>
      <c r="CT390" s="848"/>
      <c r="CU390" s="848"/>
      <c r="CV390" s="848"/>
      <c r="CW390" s="848"/>
    </row>
    <row r="391" spans="1:101" ht="37.15" customHeight="1">
      <c r="A391" s="845"/>
      <c r="B391" s="867" t="s">
        <v>594</v>
      </c>
      <c r="C391" s="852" t="s">
        <v>1029</v>
      </c>
      <c r="D391" s="846"/>
      <c r="E391" s="845"/>
      <c r="F391" s="853">
        <v>2016</v>
      </c>
      <c r="G391" s="846" t="s">
        <v>1030</v>
      </c>
      <c r="H391" s="850">
        <f t="shared" si="321"/>
        <v>2870</v>
      </c>
      <c r="I391" s="855"/>
      <c r="J391" s="848"/>
      <c r="K391" s="848"/>
      <c r="L391" s="848"/>
      <c r="M391" s="848"/>
      <c r="N391" s="848"/>
      <c r="O391" s="848"/>
      <c r="P391" s="848"/>
      <c r="Q391" s="848"/>
      <c r="R391" s="855">
        <v>770</v>
      </c>
      <c r="S391" s="855">
        <v>2100</v>
      </c>
      <c r="T391" s="855">
        <f>X391</f>
        <v>1100</v>
      </c>
      <c r="U391" s="848"/>
      <c r="V391" s="848"/>
      <c r="W391" s="848"/>
      <c r="X391" s="855">
        <v>1100</v>
      </c>
      <c r="Y391" s="848"/>
      <c r="Z391" s="848"/>
      <c r="AA391" s="848"/>
      <c r="AB391" s="848"/>
      <c r="AC391" s="848"/>
      <c r="AD391" s="848"/>
      <c r="AE391" s="848"/>
      <c r="AF391" s="848"/>
      <c r="AG391" s="848"/>
      <c r="AH391" s="855"/>
      <c r="AI391" s="855">
        <f>AX391</f>
        <v>1200</v>
      </c>
      <c r="AJ391" s="855"/>
      <c r="AK391" s="855"/>
      <c r="AL391" s="855"/>
      <c r="AM391" s="855"/>
      <c r="AN391" s="855"/>
      <c r="AO391" s="855"/>
      <c r="AP391" s="855"/>
      <c r="AQ391" s="855"/>
      <c r="AR391" s="855"/>
      <c r="AS391" s="855"/>
      <c r="AT391" s="855"/>
      <c r="AU391" s="855"/>
      <c r="AV391" s="855"/>
      <c r="AW391" s="855"/>
      <c r="AX391" s="855">
        <v>1200</v>
      </c>
      <c r="AY391" s="855">
        <f t="shared" ref="AY391" si="325">SUM(AZ391:BN391)</f>
        <v>600</v>
      </c>
      <c r="AZ391" s="855"/>
      <c r="BA391" s="855"/>
      <c r="BB391" s="855"/>
      <c r="BC391" s="855"/>
      <c r="BD391" s="855">
        <f>'[10]bieu cu'!H236</f>
        <v>600</v>
      </c>
      <c r="BE391" s="855"/>
      <c r="BF391" s="855"/>
      <c r="BG391" s="855"/>
      <c r="BH391" s="855"/>
      <c r="BI391" s="855"/>
      <c r="BJ391" s="855"/>
      <c r="BK391" s="855"/>
      <c r="BL391" s="855"/>
      <c r="BM391" s="855"/>
      <c r="BN391" s="855"/>
      <c r="BO391" s="848">
        <f t="shared" si="265"/>
        <v>600</v>
      </c>
      <c r="BP391" s="855"/>
      <c r="BQ391" s="855"/>
      <c r="BR391" s="855"/>
      <c r="BS391" s="855"/>
      <c r="BT391" s="855">
        <f>'[10]bieu cu'!M236</f>
        <v>600</v>
      </c>
      <c r="BU391" s="855"/>
      <c r="BV391" s="855"/>
      <c r="BW391" s="855"/>
      <c r="BX391" s="855"/>
      <c r="BY391" s="855"/>
      <c r="BZ391" s="855"/>
      <c r="CA391" s="855"/>
      <c r="CB391" s="855"/>
      <c r="CC391" s="855"/>
      <c r="CD391" s="855"/>
      <c r="CE391" s="855"/>
      <c r="CF391" s="848">
        <f t="shared" si="313"/>
        <v>100</v>
      </c>
      <c r="CG391" s="848"/>
      <c r="CH391" s="848"/>
      <c r="CI391" s="848"/>
      <c r="CJ391" s="848"/>
      <c r="CK391" s="848">
        <f t="shared" si="280"/>
        <v>100</v>
      </c>
      <c r="CL391" s="848"/>
      <c r="CM391" s="848"/>
      <c r="CN391" s="848"/>
      <c r="CO391" s="848"/>
      <c r="CP391" s="848"/>
      <c r="CQ391" s="848"/>
      <c r="CR391" s="848"/>
      <c r="CS391" s="848"/>
      <c r="CT391" s="848"/>
      <c r="CU391" s="848"/>
      <c r="CV391" s="848"/>
      <c r="CW391" s="848"/>
    </row>
    <row r="392" spans="1:101" s="851" customFormat="1" ht="37.15" customHeight="1">
      <c r="A392" s="845">
        <v>2</v>
      </c>
      <c r="B392" s="845"/>
      <c r="C392" s="857" t="s">
        <v>578</v>
      </c>
      <c r="D392" s="846">
        <f>D393</f>
        <v>0</v>
      </c>
      <c r="E392" s="845">
        <f t="shared" ref="E392:CE392" si="326">E393</f>
        <v>0</v>
      </c>
      <c r="F392" s="847"/>
      <c r="G392" s="845"/>
      <c r="H392" s="850">
        <f t="shared" si="321"/>
        <v>1499</v>
      </c>
      <c r="I392" s="848">
        <f t="shared" ref="I392:AX392" si="327">I393</f>
        <v>0</v>
      </c>
      <c r="J392" s="848">
        <f t="shared" si="327"/>
        <v>0</v>
      </c>
      <c r="K392" s="848">
        <f t="shared" si="327"/>
        <v>0</v>
      </c>
      <c r="L392" s="848">
        <f t="shared" si="327"/>
        <v>0</v>
      </c>
      <c r="M392" s="848">
        <f t="shared" si="327"/>
        <v>1499</v>
      </c>
      <c r="N392" s="848">
        <f t="shared" si="327"/>
        <v>0</v>
      </c>
      <c r="O392" s="848">
        <f t="shared" si="327"/>
        <v>0</v>
      </c>
      <c r="P392" s="848">
        <f t="shared" si="327"/>
        <v>0</v>
      </c>
      <c r="Q392" s="848">
        <f t="shared" si="327"/>
        <v>0</v>
      </c>
      <c r="R392" s="848"/>
      <c r="S392" s="848">
        <f t="shared" si="327"/>
        <v>0</v>
      </c>
      <c r="T392" s="848">
        <f t="shared" si="327"/>
        <v>700</v>
      </c>
      <c r="U392" s="848">
        <f t="shared" si="327"/>
        <v>0</v>
      </c>
      <c r="V392" s="848">
        <f t="shared" si="327"/>
        <v>0</v>
      </c>
      <c r="W392" s="848">
        <f t="shared" si="327"/>
        <v>0</v>
      </c>
      <c r="X392" s="848">
        <f t="shared" si="327"/>
        <v>0</v>
      </c>
      <c r="Y392" s="848">
        <f t="shared" si="327"/>
        <v>0</v>
      </c>
      <c r="Z392" s="848">
        <f t="shared" si="327"/>
        <v>0</v>
      </c>
      <c r="AA392" s="848">
        <f t="shared" si="327"/>
        <v>700</v>
      </c>
      <c r="AB392" s="848">
        <f t="shared" si="327"/>
        <v>0</v>
      </c>
      <c r="AC392" s="848">
        <f t="shared" si="327"/>
        <v>0</v>
      </c>
      <c r="AD392" s="848"/>
      <c r="AE392" s="848"/>
      <c r="AF392" s="848">
        <f t="shared" si="327"/>
        <v>0</v>
      </c>
      <c r="AG392" s="848">
        <f t="shared" si="327"/>
        <v>0</v>
      </c>
      <c r="AH392" s="848">
        <f t="shared" si="327"/>
        <v>0</v>
      </c>
      <c r="AI392" s="848">
        <f t="shared" si="327"/>
        <v>0</v>
      </c>
      <c r="AJ392" s="848">
        <f t="shared" si="327"/>
        <v>0</v>
      </c>
      <c r="AK392" s="848">
        <f t="shared" si="327"/>
        <v>0</v>
      </c>
      <c r="AL392" s="848">
        <f t="shared" si="327"/>
        <v>0</v>
      </c>
      <c r="AM392" s="848">
        <f t="shared" si="327"/>
        <v>0</v>
      </c>
      <c r="AN392" s="848">
        <f t="shared" si="327"/>
        <v>0</v>
      </c>
      <c r="AO392" s="848">
        <f t="shared" si="327"/>
        <v>0</v>
      </c>
      <c r="AP392" s="848">
        <f t="shared" si="327"/>
        <v>0</v>
      </c>
      <c r="AQ392" s="848">
        <f t="shared" si="327"/>
        <v>0</v>
      </c>
      <c r="AR392" s="848">
        <f t="shared" si="327"/>
        <v>0</v>
      </c>
      <c r="AS392" s="848"/>
      <c r="AT392" s="848">
        <f t="shared" si="327"/>
        <v>0</v>
      </c>
      <c r="AU392" s="848">
        <f t="shared" si="327"/>
        <v>0</v>
      </c>
      <c r="AV392" s="848">
        <f t="shared" si="327"/>
        <v>0</v>
      </c>
      <c r="AW392" s="848">
        <f t="shared" si="327"/>
        <v>0</v>
      </c>
      <c r="AX392" s="848">
        <f t="shared" si="327"/>
        <v>0</v>
      </c>
      <c r="AY392" s="848">
        <f t="shared" si="326"/>
        <v>32.948</v>
      </c>
      <c r="AZ392" s="848">
        <f t="shared" si="326"/>
        <v>0</v>
      </c>
      <c r="BA392" s="848">
        <f t="shared" si="326"/>
        <v>0</v>
      </c>
      <c r="BB392" s="848">
        <f t="shared" si="326"/>
        <v>0</v>
      </c>
      <c r="BC392" s="848">
        <f t="shared" si="326"/>
        <v>0</v>
      </c>
      <c r="BD392" s="848">
        <f t="shared" si="326"/>
        <v>0</v>
      </c>
      <c r="BE392" s="848">
        <f t="shared" si="326"/>
        <v>0</v>
      </c>
      <c r="BF392" s="848">
        <f t="shared" si="326"/>
        <v>0</v>
      </c>
      <c r="BG392" s="848">
        <f t="shared" si="326"/>
        <v>0</v>
      </c>
      <c r="BH392" s="848">
        <f t="shared" si="326"/>
        <v>0</v>
      </c>
      <c r="BI392" s="848">
        <f t="shared" si="326"/>
        <v>0</v>
      </c>
      <c r="BJ392" s="848">
        <f t="shared" si="326"/>
        <v>0</v>
      </c>
      <c r="BK392" s="848">
        <f t="shared" si="326"/>
        <v>0</v>
      </c>
      <c r="BL392" s="848">
        <f t="shared" si="326"/>
        <v>32.948</v>
      </c>
      <c r="BM392" s="848">
        <f t="shared" si="326"/>
        <v>0</v>
      </c>
      <c r="BN392" s="848">
        <f t="shared" si="326"/>
        <v>0</v>
      </c>
      <c r="BO392" s="848">
        <f t="shared" si="265"/>
        <v>519.31550000000004</v>
      </c>
      <c r="BP392" s="848">
        <f t="shared" si="326"/>
        <v>0</v>
      </c>
      <c r="BQ392" s="848">
        <f t="shared" si="326"/>
        <v>0</v>
      </c>
      <c r="BR392" s="848">
        <f t="shared" si="326"/>
        <v>0</v>
      </c>
      <c r="BS392" s="848">
        <f t="shared" si="326"/>
        <v>0</v>
      </c>
      <c r="BT392" s="848">
        <f t="shared" si="326"/>
        <v>0</v>
      </c>
      <c r="BU392" s="848">
        <f t="shared" si="326"/>
        <v>0</v>
      </c>
      <c r="BV392" s="848">
        <f t="shared" si="326"/>
        <v>0</v>
      </c>
      <c r="BW392" s="848">
        <f t="shared" si="326"/>
        <v>0</v>
      </c>
      <c r="BX392" s="848">
        <f t="shared" si="326"/>
        <v>0</v>
      </c>
      <c r="BY392" s="848">
        <f t="shared" si="326"/>
        <v>0</v>
      </c>
      <c r="BZ392" s="848">
        <f t="shared" si="326"/>
        <v>0</v>
      </c>
      <c r="CA392" s="848">
        <f t="shared" si="326"/>
        <v>0</v>
      </c>
      <c r="CB392" s="848">
        <f t="shared" si="326"/>
        <v>0</v>
      </c>
      <c r="CC392" s="848">
        <f t="shared" si="326"/>
        <v>519.31550000000004</v>
      </c>
      <c r="CD392" s="848">
        <f t="shared" si="326"/>
        <v>0</v>
      </c>
      <c r="CE392" s="848">
        <f t="shared" si="326"/>
        <v>0</v>
      </c>
      <c r="CF392" s="848">
        <f t="shared" si="313"/>
        <v>1576.1669904091298</v>
      </c>
      <c r="CG392" s="848"/>
      <c r="CH392" s="848"/>
      <c r="CI392" s="848"/>
      <c r="CJ392" s="848"/>
      <c r="CK392" s="848"/>
      <c r="CL392" s="848"/>
      <c r="CM392" s="848"/>
      <c r="CN392" s="848"/>
      <c r="CO392" s="848"/>
      <c r="CP392" s="848"/>
      <c r="CQ392" s="848"/>
      <c r="CR392" s="848"/>
      <c r="CS392" s="848">
        <f>CB392/BL392%</f>
        <v>0</v>
      </c>
      <c r="CT392" s="848"/>
      <c r="CU392" s="848"/>
      <c r="CV392" s="848"/>
      <c r="CW392" s="848"/>
    </row>
    <row r="393" spans="1:101" ht="48.6" customHeight="1">
      <c r="A393" s="845"/>
      <c r="B393" s="852" t="s">
        <v>578</v>
      </c>
      <c r="C393" s="852" t="s">
        <v>1031</v>
      </c>
      <c r="D393" s="846"/>
      <c r="E393" s="845"/>
      <c r="F393" s="853">
        <v>2015</v>
      </c>
      <c r="G393" s="846" t="s">
        <v>1032</v>
      </c>
      <c r="H393" s="850">
        <f t="shared" si="321"/>
        <v>1499</v>
      </c>
      <c r="I393" s="860"/>
      <c r="J393" s="848"/>
      <c r="K393" s="848"/>
      <c r="L393" s="848"/>
      <c r="M393" s="855">
        <v>1499</v>
      </c>
      <c r="N393" s="848"/>
      <c r="O393" s="848"/>
      <c r="P393" s="848"/>
      <c r="Q393" s="848"/>
      <c r="R393" s="848"/>
      <c r="S393" s="848"/>
      <c r="T393" s="855">
        <f t="shared" si="301"/>
        <v>700</v>
      </c>
      <c r="U393" s="848"/>
      <c r="V393" s="848"/>
      <c r="W393" s="848"/>
      <c r="X393" s="848"/>
      <c r="Y393" s="848"/>
      <c r="Z393" s="848"/>
      <c r="AA393" s="855">
        <v>700</v>
      </c>
      <c r="AB393" s="848"/>
      <c r="AC393" s="848"/>
      <c r="AD393" s="848"/>
      <c r="AE393" s="848"/>
      <c r="AF393" s="848"/>
      <c r="AG393" s="848"/>
      <c r="AH393" s="855"/>
      <c r="AI393" s="855">
        <f>AX393</f>
        <v>0</v>
      </c>
      <c r="AJ393" s="855"/>
      <c r="AK393" s="855"/>
      <c r="AL393" s="855"/>
      <c r="AM393" s="855"/>
      <c r="AN393" s="855"/>
      <c r="AO393" s="855"/>
      <c r="AP393" s="855"/>
      <c r="AQ393" s="855"/>
      <c r="AR393" s="855"/>
      <c r="AS393" s="855"/>
      <c r="AT393" s="855"/>
      <c r="AU393" s="855"/>
      <c r="AV393" s="855"/>
      <c r="AW393" s="855"/>
      <c r="AX393" s="855"/>
      <c r="AY393" s="855">
        <f t="shared" ref="AY393" si="328">SUM(AZ393:BN393)</f>
        <v>32.948</v>
      </c>
      <c r="AZ393" s="855"/>
      <c r="BA393" s="855"/>
      <c r="BB393" s="855"/>
      <c r="BC393" s="855"/>
      <c r="BD393" s="855"/>
      <c r="BE393" s="855"/>
      <c r="BF393" s="855"/>
      <c r="BG393" s="855"/>
      <c r="BH393" s="855"/>
      <c r="BI393" s="855"/>
      <c r="BJ393" s="855"/>
      <c r="BK393" s="855"/>
      <c r="BL393" s="855">
        <f>'[10]bieu cu'!H355</f>
        <v>32.948</v>
      </c>
      <c r="BM393" s="855"/>
      <c r="BN393" s="855"/>
      <c r="BO393" s="848">
        <f t="shared" si="265"/>
        <v>519.31550000000004</v>
      </c>
      <c r="BP393" s="855"/>
      <c r="BQ393" s="855"/>
      <c r="BR393" s="855"/>
      <c r="BS393" s="855"/>
      <c r="BT393" s="855"/>
      <c r="BU393" s="855"/>
      <c r="BV393" s="855"/>
      <c r="BW393" s="855"/>
      <c r="BX393" s="855"/>
      <c r="BY393" s="855"/>
      <c r="BZ393" s="855"/>
      <c r="CA393" s="855"/>
      <c r="CB393" s="855"/>
      <c r="CC393" s="855">
        <v>519.31550000000004</v>
      </c>
      <c r="CD393" s="855"/>
      <c r="CE393" s="855"/>
      <c r="CF393" s="848">
        <f t="shared" si="313"/>
        <v>1576.1669904091298</v>
      </c>
      <c r="CG393" s="848"/>
      <c r="CH393" s="848"/>
      <c r="CI393" s="848"/>
      <c r="CJ393" s="848"/>
      <c r="CK393" s="848"/>
      <c r="CL393" s="848"/>
      <c r="CM393" s="848"/>
      <c r="CN393" s="848"/>
      <c r="CO393" s="848"/>
      <c r="CP393" s="848"/>
      <c r="CQ393" s="848"/>
      <c r="CR393" s="848"/>
      <c r="CS393" s="848">
        <f>CB393/BL393%</f>
        <v>0</v>
      </c>
      <c r="CT393" s="848"/>
      <c r="CU393" s="848"/>
      <c r="CV393" s="848"/>
      <c r="CW393" s="848"/>
    </row>
    <row r="394" spans="1:101" s="851" customFormat="1" ht="24.75" customHeight="1">
      <c r="A394" s="845" t="s">
        <v>1033</v>
      </c>
      <c r="B394" s="845"/>
      <c r="C394" s="857" t="s">
        <v>1034</v>
      </c>
      <c r="D394" s="846">
        <f t="shared" ref="D394:E394" si="329">D395+D398+D401+D404+D410+D416+D419+D423+D426+D429+D432</f>
        <v>0</v>
      </c>
      <c r="E394" s="845">
        <f t="shared" si="329"/>
        <v>0</v>
      </c>
      <c r="F394" s="847"/>
      <c r="G394" s="845"/>
      <c r="H394" s="850">
        <f t="shared" si="321"/>
        <v>345973</v>
      </c>
      <c r="I394" s="848">
        <f t="shared" ref="I394:BT394" si="330">I395+I398+I401+I404+I410+I416+I419+I423+I426+I429+I432</f>
        <v>0</v>
      </c>
      <c r="J394" s="848">
        <f t="shared" si="330"/>
        <v>0</v>
      </c>
      <c r="K394" s="848">
        <f t="shared" si="330"/>
        <v>0</v>
      </c>
      <c r="L394" s="848">
        <f t="shared" si="330"/>
        <v>0</v>
      </c>
      <c r="M394" s="848">
        <f t="shared" si="330"/>
        <v>0</v>
      </c>
      <c r="N394" s="848">
        <f t="shared" si="330"/>
        <v>0</v>
      </c>
      <c r="O394" s="848">
        <f t="shared" si="330"/>
        <v>0</v>
      </c>
      <c r="P394" s="848">
        <f t="shared" si="330"/>
        <v>0</v>
      </c>
      <c r="Q394" s="848">
        <f t="shared" si="330"/>
        <v>46000</v>
      </c>
      <c r="R394" s="848">
        <v>118285</v>
      </c>
      <c r="S394" s="848">
        <f>S395+S398+S401+S404+S410+S416+S419+S423+S426+S429+S432</f>
        <v>181688</v>
      </c>
      <c r="T394" s="848">
        <f t="shared" si="330"/>
        <v>149740.81900000002</v>
      </c>
      <c r="U394" s="848">
        <f t="shared" si="330"/>
        <v>0</v>
      </c>
      <c r="V394" s="848">
        <f t="shared" si="330"/>
        <v>0</v>
      </c>
      <c r="W394" s="848">
        <f t="shared" si="330"/>
        <v>26188.702999999998</v>
      </c>
      <c r="X394" s="848">
        <f t="shared" si="330"/>
        <v>0</v>
      </c>
      <c r="Y394" s="848">
        <f t="shared" si="330"/>
        <v>0</v>
      </c>
      <c r="Z394" s="848">
        <f t="shared" si="330"/>
        <v>36000</v>
      </c>
      <c r="AA394" s="848">
        <f t="shared" si="330"/>
        <v>0</v>
      </c>
      <c r="AB394" s="848">
        <f t="shared" si="330"/>
        <v>0</v>
      </c>
      <c r="AC394" s="848">
        <f t="shared" si="330"/>
        <v>0</v>
      </c>
      <c r="AD394" s="848"/>
      <c r="AE394" s="848"/>
      <c r="AF394" s="848">
        <f t="shared" si="330"/>
        <v>0</v>
      </c>
      <c r="AG394" s="848">
        <f t="shared" si="330"/>
        <v>0</v>
      </c>
      <c r="AH394" s="848">
        <f t="shared" si="330"/>
        <v>87552.115999999995</v>
      </c>
      <c r="AI394" s="848">
        <f t="shared" si="330"/>
        <v>118783</v>
      </c>
      <c r="AJ394" s="848">
        <f t="shared" si="330"/>
        <v>0</v>
      </c>
      <c r="AK394" s="848">
        <f t="shared" si="330"/>
        <v>0</v>
      </c>
      <c r="AL394" s="848">
        <f t="shared" si="330"/>
        <v>23552</v>
      </c>
      <c r="AM394" s="848">
        <f t="shared" si="330"/>
        <v>0</v>
      </c>
      <c r="AN394" s="848">
        <f t="shared" si="330"/>
        <v>0</v>
      </c>
      <c r="AO394" s="848">
        <f t="shared" si="330"/>
        <v>18640</v>
      </c>
      <c r="AP394" s="848">
        <f t="shared" si="330"/>
        <v>0</v>
      </c>
      <c r="AQ394" s="848">
        <f t="shared" si="330"/>
        <v>0</v>
      </c>
      <c r="AR394" s="848">
        <f t="shared" si="330"/>
        <v>0</v>
      </c>
      <c r="AS394" s="848"/>
      <c r="AT394" s="848">
        <f t="shared" si="330"/>
        <v>0</v>
      </c>
      <c r="AU394" s="848">
        <f t="shared" si="330"/>
        <v>0</v>
      </c>
      <c r="AV394" s="848">
        <f t="shared" si="330"/>
        <v>0</v>
      </c>
      <c r="AW394" s="848">
        <f t="shared" si="330"/>
        <v>0</v>
      </c>
      <c r="AX394" s="848">
        <f t="shared" si="330"/>
        <v>76591</v>
      </c>
      <c r="AY394" s="848">
        <f t="shared" si="330"/>
        <v>24431.218000000001</v>
      </c>
      <c r="AZ394" s="848">
        <f t="shared" si="330"/>
        <v>0</v>
      </c>
      <c r="BA394" s="848">
        <f t="shared" si="330"/>
        <v>0</v>
      </c>
      <c r="BB394" s="848">
        <f t="shared" si="330"/>
        <v>0</v>
      </c>
      <c r="BC394" s="848">
        <f t="shared" si="330"/>
        <v>0</v>
      </c>
      <c r="BD394" s="848">
        <f t="shared" si="330"/>
        <v>0</v>
      </c>
      <c r="BE394" s="848">
        <f t="shared" si="330"/>
        <v>0</v>
      </c>
      <c r="BF394" s="848">
        <f t="shared" si="330"/>
        <v>0</v>
      </c>
      <c r="BG394" s="848">
        <f t="shared" si="330"/>
        <v>0</v>
      </c>
      <c r="BH394" s="848">
        <f t="shared" si="330"/>
        <v>0</v>
      </c>
      <c r="BI394" s="848">
        <f t="shared" si="330"/>
        <v>0</v>
      </c>
      <c r="BJ394" s="848">
        <f t="shared" si="330"/>
        <v>0</v>
      </c>
      <c r="BK394" s="848">
        <f t="shared" si="330"/>
        <v>0</v>
      </c>
      <c r="BL394" s="848">
        <f t="shared" si="330"/>
        <v>0</v>
      </c>
      <c r="BM394" s="848">
        <f t="shared" si="330"/>
        <v>0</v>
      </c>
      <c r="BN394" s="848">
        <f t="shared" si="330"/>
        <v>24431.218000000001</v>
      </c>
      <c r="BO394" s="848">
        <f t="shared" si="265"/>
        <v>25920.529999999995</v>
      </c>
      <c r="BP394" s="848">
        <f t="shared" si="330"/>
        <v>0</v>
      </c>
      <c r="BQ394" s="848">
        <f t="shared" si="330"/>
        <v>0</v>
      </c>
      <c r="BR394" s="848">
        <f t="shared" si="330"/>
        <v>0</v>
      </c>
      <c r="BS394" s="848">
        <f t="shared" si="330"/>
        <v>1563.028</v>
      </c>
      <c r="BT394" s="848">
        <f t="shared" si="330"/>
        <v>0</v>
      </c>
      <c r="BU394" s="848">
        <f t="shared" ref="BU394:CS394" si="331">BU395+BU398+BU401+BU404+BU410+BU416+BU419+BU423+BU426+BU429+BU432</f>
        <v>0</v>
      </c>
      <c r="BV394" s="848">
        <f t="shared" si="331"/>
        <v>0</v>
      </c>
      <c r="BW394" s="848">
        <f t="shared" si="331"/>
        <v>0</v>
      </c>
      <c r="BX394" s="848">
        <f t="shared" si="331"/>
        <v>0</v>
      </c>
      <c r="BY394" s="848">
        <f t="shared" si="331"/>
        <v>0</v>
      </c>
      <c r="BZ394" s="848">
        <f t="shared" si="331"/>
        <v>0</v>
      </c>
      <c r="CA394" s="848">
        <f t="shared" si="331"/>
        <v>0</v>
      </c>
      <c r="CB394" s="848">
        <f t="shared" si="331"/>
        <v>0</v>
      </c>
      <c r="CC394" s="848">
        <f t="shared" si="331"/>
        <v>0</v>
      </c>
      <c r="CD394" s="848">
        <f t="shared" si="331"/>
        <v>0</v>
      </c>
      <c r="CE394" s="848">
        <f t="shared" si="331"/>
        <v>24357.501999999997</v>
      </c>
      <c r="CF394" s="848">
        <f t="shared" si="331"/>
        <v>1094.4562620951515</v>
      </c>
      <c r="CG394" s="848"/>
      <c r="CH394" s="848"/>
      <c r="CI394" s="848"/>
      <c r="CJ394" s="848"/>
      <c r="CK394" s="848"/>
      <c r="CL394" s="848"/>
      <c r="CM394" s="848"/>
      <c r="CN394" s="848"/>
      <c r="CO394" s="848"/>
      <c r="CP394" s="848"/>
      <c r="CQ394" s="848"/>
      <c r="CR394" s="848"/>
      <c r="CS394" s="848">
        <f t="shared" si="331"/>
        <v>0</v>
      </c>
      <c r="CT394" s="848"/>
      <c r="CU394" s="848"/>
      <c r="CV394" s="848"/>
      <c r="CW394" s="848">
        <f t="shared" si="289"/>
        <v>99.69827128553311</v>
      </c>
    </row>
    <row r="395" spans="1:101" s="851" customFormat="1" ht="24.75" customHeight="1">
      <c r="A395" s="845" t="s">
        <v>11</v>
      </c>
      <c r="B395" s="845"/>
      <c r="C395" s="857" t="s">
        <v>578</v>
      </c>
      <c r="D395" s="846">
        <f>D396</f>
        <v>0</v>
      </c>
      <c r="E395" s="845">
        <f t="shared" ref="E395:CE396" si="332">E396</f>
        <v>0</v>
      </c>
      <c r="F395" s="847"/>
      <c r="G395" s="845"/>
      <c r="H395" s="850">
        <f t="shared" si="321"/>
        <v>2966</v>
      </c>
      <c r="I395" s="848">
        <f t="shared" si="332"/>
        <v>0</v>
      </c>
      <c r="J395" s="848">
        <f t="shared" si="332"/>
        <v>0</v>
      </c>
      <c r="K395" s="848">
        <f t="shared" si="332"/>
        <v>0</v>
      </c>
      <c r="L395" s="848">
        <f t="shared" si="332"/>
        <v>0</v>
      </c>
      <c r="M395" s="848">
        <f t="shared" si="332"/>
        <v>0</v>
      </c>
      <c r="N395" s="848">
        <f t="shared" si="332"/>
        <v>0</v>
      </c>
      <c r="O395" s="848">
        <f t="shared" si="332"/>
        <v>0</v>
      </c>
      <c r="P395" s="848">
        <f t="shared" si="332"/>
        <v>0</v>
      </c>
      <c r="Q395" s="848">
        <f t="shared" si="332"/>
        <v>0</v>
      </c>
      <c r="R395" s="848">
        <v>0</v>
      </c>
      <c r="S395" s="848">
        <f>S396</f>
        <v>2966</v>
      </c>
      <c r="T395" s="848">
        <f t="shared" ref="T395:AH396" si="333">T396</f>
        <v>0</v>
      </c>
      <c r="U395" s="848">
        <f t="shared" si="333"/>
        <v>0</v>
      </c>
      <c r="V395" s="848">
        <f t="shared" si="333"/>
        <v>0</v>
      </c>
      <c r="W395" s="848">
        <f t="shared" si="333"/>
        <v>0</v>
      </c>
      <c r="X395" s="848">
        <f t="shared" si="333"/>
        <v>0</v>
      </c>
      <c r="Y395" s="848">
        <f t="shared" si="333"/>
        <v>0</v>
      </c>
      <c r="Z395" s="848">
        <f t="shared" si="333"/>
        <v>0</v>
      </c>
      <c r="AA395" s="848">
        <f t="shared" si="333"/>
        <v>0</v>
      </c>
      <c r="AB395" s="848">
        <f t="shared" si="333"/>
        <v>0</v>
      </c>
      <c r="AC395" s="848">
        <f t="shared" si="333"/>
        <v>0</v>
      </c>
      <c r="AD395" s="848"/>
      <c r="AE395" s="848"/>
      <c r="AF395" s="848">
        <f t="shared" si="333"/>
        <v>0</v>
      </c>
      <c r="AG395" s="848">
        <f t="shared" si="333"/>
        <v>0</v>
      </c>
      <c r="AH395" s="848">
        <f t="shared" si="333"/>
        <v>0</v>
      </c>
      <c r="AI395" s="848">
        <f t="shared" si="332"/>
        <v>0</v>
      </c>
      <c r="AJ395" s="848">
        <f t="shared" si="332"/>
        <v>0</v>
      </c>
      <c r="AK395" s="848">
        <f t="shared" si="332"/>
        <v>0</v>
      </c>
      <c r="AL395" s="848">
        <f t="shared" si="332"/>
        <v>0</v>
      </c>
      <c r="AM395" s="848">
        <f t="shared" si="332"/>
        <v>0</v>
      </c>
      <c r="AN395" s="848">
        <f t="shared" si="332"/>
        <v>0</v>
      </c>
      <c r="AO395" s="848">
        <f t="shared" si="332"/>
        <v>0</v>
      </c>
      <c r="AP395" s="848">
        <f t="shared" si="332"/>
        <v>0</v>
      </c>
      <c r="AQ395" s="848">
        <f t="shared" si="332"/>
        <v>0</v>
      </c>
      <c r="AR395" s="848">
        <f t="shared" si="332"/>
        <v>0</v>
      </c>
      <c r="AS395" s="848"/>
      <c r="AT395" s="848">
        <f t="shared" si="332"/>
        <v>0</v>
      </c>
      <c r="AU395" s="848">
        <f t="shared" si="332"/>
        <v>0</v>
      </c>
      <c r="AV395" s="848">
        <f t="shared" si="332"/>
        <v>0</v>
      </c>
      <c r="AW395" s="848">
        <f t="shared" si="332"/>
        <v>0</v>
      </c>
      <c r="AX395" s="848">
        <f t="shared" si="332"/>
        <v>0</v>
      </c>
      <c r="AY395" s="848">
        <f t="shared" si="332"/>
        <v>1000</v>
      </c>
      <c r="AZ395" s="848">
        <f t="shared" si="332"/>
        <v>0</v>
      </c>
      <c r="BA395" s="848"/>
      <c r="BB395" s="848"/>
      <c r="BC395" s="848">
        <f t="shared" si="332"/>
        <v>0</v>
      </c>
      <c r="BD395" s="848">
        <f t="shared" si="332"/>
        <v>0</v>
      </c>
      <c r="BE395" s="848"/>
      <c r="BF395" s="848">
        <f t="shared" si="332"/>
        <v>0</v>
      </c>
      <c r="BG395" s="848">
        <f t="shared" si="332"/>
        <v>0</v>
      </c>
      <c r="BH395" s="848">
        <f t="shared" si="332"/>
        <v>0</v>
      </c>
      <c r="BI395" s="848">
        <f t="shared" si="332"/>
        <v>0</v>
      </c>
      <c r="BJ395" s="848">
        <f t="shared" si="332"/>
        <v>0</v>
      </c>
      <c r="BK395" s="848">
        <f t="shared" si="332"/>
        <v>0</v>
      </c>
      <c r="BL395" s="848">
        <f t="shared" si="332"/>
        <v>0</v>
      </c>
      <c r="BM395" s="848">
        <f t="shared" si="332"/>
        <v>0</v>
      </c>
      <c r="BN395" s="848">
        <f t="shared" si="332"/>
        <v>1000</v>
      </c>
      <c r="BO395" s="848">
        <f t="shared" ref="BO395:BO458" si="334">SUM(BP395:CE395)</f>
        <v>1000</v>
      </c>
      <c r="BP395" s="848">
        <f t="shared" si="332"/>
        <v>0</v>
      </c>
      <c r="BQ395" s="848"/>
      <c r="BR395" s="848"/>
      <c r="BS395" s="848">
        <f t="shared" si="332"/>
        <v>0</v>
      </c>
      <c r="BT395" s="848">
        <f t="shared" si="332"/>
        <v>0</v>
      </c>
      <c r="BU395" s="848"/>
      <c r="BV395" s="848">
        <f t="shared" si="332"/>
        <v>0</v>
      </c>
      <c r="BW395" s="848">
        <f t="shared" si="332"/>
        <v>0</v>
      </c>
      <c r="BX395" s="848">
        <f t="shared" si="332"/>
        <v>0</v>
      </c>
      <c r="BY395" s="848">
        <f t="shared" si="332"/>
        <v>0</v>
      </c>
      <c r="BZ395" s="848">
        <f t="shared" si="332"/>
        <v>0</v>
      </c>
      <c r="CA395" s="848">
        <f t="shared" si="332"/>
        <v>0</v>
      </c>
      <c r="CB395" s="848">
        <f t="shared" si="332"/>
        <v>0</v>
      </c>
      <c r="CC395" s="848">
        <f t="shared" si="332"/>
        <v>0</v>
      </c>
      <c r="CD395" s="848">
        <f t="shared" si="332"/>
        <v>0</v>
      </c>
      <c r="CE395" s="848">
        <f t="shared" si="332"/>
        <v>1000</v>
      </c>
      <c r="CF395" s="848">
        <f>BO395/AY395%</f>
        <v>100</v>
      </c>
      <c r="CG395" s="848"/>
      <c r="CH395" s="848"/>
      <c r="CI395" s="848"/>
      <c r="CJ395" s="848"/>
      <c r="CK395" s="848"/>
      <c r="CL395" s="848"/>
      <c r="CM395" s="848"/>
      <c r="CN395" s="848"/>
      <c r="CO395" s="848"/>
      <c r="CP395" s="848"/>
      <c r="CQ395" s="848"/>
      <c r="CR395" s="848"/>
      <c r="CS395" s="848"/>
      <c r="CT395" s="848"/>
      <c r="CU395" s="848"/>
      <c r="CV395" s="848"/>
      <c r="CW395" s="848">
        <f t="shared" si="289"/>
        <v>100</v>
      </c>
    </row>
    <row r="396" spans="1:101" s="851" customFormat="1" ht="24.75" customHeight="1">
      <c r="A396" s="845"/>
      <c r="B396" s="845"/>
      <c r="C396" s="857" t="s">
        <v>508</v>
      </c>
      <c r="D396" s="846">
        <f>D397</f>
        <v>0</v>
      </c>
      <c r="E396" s="845">
        <f t="shared" si="332"/>
        <v>0</v>
      </c>
      <c r="F396" s="847"/>
      <c r="G396" s="845"/>
      <c r="H396" s="850">
        <f t="shared" si="321"/>
        <v>2966</v>
      </c>
      <c r="I396" s="848">
        <f t="shared" si="332"/>
        <v>0</v>
      </c>
      <c r="J396" s="848">
        <f t="shared" si="332"/>
        <v>0</v>
      </c>
      <c r="K396" s="848">
        <f t="shared" si="332"/>
        <v>0</v>
      </c>
      <c r="L396" s="848">
        <f t="shared" si="332"/>
        <v>0</v>
      </c>
      <c r="M396" s="848">
        <f t="shared" si="332"/>
        <v>0</v>
      </c>
      <c r="N396" s="848">
        <f t="shared" si="332"/>
        <v>0</v>
      </c>
      <c r="O396" s="848">
        <f t="shared" si="332"/>
        <v>0</v>
      </c>
      <c r="P396" s="848">
        <f t="shared" si="332"/>
        <v>0</v>
      </c>
      <c r="Q396" s="848">
        <f t="shared" si="332"/>
        <v>0</v>
      </c>
      <c r="R396" s="848">
        <v>0</v>
      </c>
      <c r="S396" s="848">
        <f t="shared" si="332"/>
        <v>2966</v>
      </c>
      <c r="T396" s="848">
        <f t="shared" si="333"/>
        <v>0</v>
      </c>
      <c r="U396" s="848">
        <f t="shared" si="333"/>
        <v>0</v>
      </c>
      <c r="V396" s="848">
        <f t="shared" si="333"/>
        <v>0</v>
      </c>
      <c r="W396" s="848">
        <f t="shared" si="333"/>
        <v>0</v>
      </c>
      <c r="X396" s="848">
        <f t="shared" si="333"/>
        <v>0</v>
      </c>
      <c r="Y396" s="848">
        <f t="shared" si="333"/>
        <v>0</v>
      </c>
      <c r="Z396" s="848">
        <f t="shared" si="333"/>
        <v>0</v>
      </c>
      <c r="AA396" s="848">
        <f t="shared" si="333"/>
        <v>0</v>
      </c>
      <c r="AB396" s="848">
        <f t="shared" si="333"/>
        <v>0</v>
      </c>
      <c r="AC396" s="848">
        <f t="shared" si="333"/>
        <v>0</v>
      </c>
      <c r="AD396" s="848"/>
      <c r="AE396" s="848"/>
      <c r="AF396" s="848">
        <f t="shared" si="333"/>
        <v>0</v>
      </c>
      <c r="AG396" s="848">
        <f t="shared" si="333"/>
        <v>0</v>
      </c>
      <c r="AH396" s="848">
        <f t="shared" si="333"/>
        <v>0</v>
      </c>
      <c r="AI396" s="848">
        <f t="shared" si="332"/>
        <v>0</v>
      </c>
      <c r="AJ396" s="848">
        <f t="shared" si="332"/>
        <v>0</v>
      </c>
      <c r="AK396" s="848">
        <f t="shared" si="332"/>
        <v>0</v>
      </c>
      <c r="AL396" s="848">
        <f t="shared" si="332"/>
        <v>0</v>
      </c>
      <c r="AM396" s="848">
        <f t="shared" si="332"/>
        <v>0</v>
      </c>
      <c r="AN396" s="848">
        <f t="shared" si="332"/>
        <v>0</v>
      </c>
      <c r="AO396" s="848">
        <f t="shared" si="332"/>
        <v>0</v>
      </c>
      <c r="AP396" s="848">
        <f t="shared" si="332"/>
        <v>0</v>
      </c>
      <c r="AQ396" s="848">
        <f t="shared" si="332"/>
        <v>0</v>
      </c>
      <c r="AR396" s="848">
        <f t="shared" si="332"/>
        <v>0</v>
      </c>
      <c r="AS396" s="848"/>
      <c r="AT396" s="848">
        <f t="shared" si="332"/>
        <v>0</v>
      </c>
      <c r="AU396" s="848">
        <f t="shared" si="332"/>
        <v>0</v>
      </c>
      <c r="AV396" s="848">
        <f t="shared" si="332"/>
        <v>0</v>
      </c>
      <c r="AW396" s="848">
        <f t="shared" si="332"/>
        <v>0</v>
      </c>
      <c r="AX396" s="848">
        <f t="shared" si="332"/>
        <v>0</v>
      </c>
      <c r="AY396" s="848">
        <f t="shared" si="332"/>
        <v>1000</v>
      </c>
      <c r="AZ396" s="848">
        <f t="shared" si="332"/>
        <v>0</v>
      </c>
      <c r="BA396" s="848">
        <f t="shared" si="332"/>
        <v>0</v>
      </c>
      <c r="BB396" s="848">
        <f t="shared" si="332"/>
        <v>0</v>
      </c>
      <c r="BC396" s="848">
        <f t="shared" si="332"/>
        <v>0</v>
      </c>
      <c r="BD396" s="848">
        <f t="shared" si="332"/>
        <v>0</v>
      </c>
      <c r="BE396" s="848">
        <f t="shared" si="332"/>
        <v>0</v>
      </c>
      <c r="BF396" s="848">
        <f t="shared" si="332"/>
        <v>0</v>
      </c>
      <c r="BG396" s="848">
        <f t="shared" si="332"/>
        <v>0</v>
      </c>
      <c r="BH396" s="848">
        <f t="shared" si="332"/>
        <v>0</v>
      </c>
      <c r="BI396" s="848">
        <f t="shared" si="332"/>
        <v>0</v>
      </c>
      <c r="BJ396" s="848">
        <f t="shared" si="332"/>
        <v>0</v>
      </c>
      <c r="BK396" s="848">
        <f t="shared" si="332"/>
        <v>0</v>
      </c>
      <c r="BL396" s="848">
        <f t="shared" si="332"/>
        <v>0</v>
      </c>
      <c r="BM396" s="848">
        <f t="shared" si="332"/>
        <v>0</v>
      </c>
      <c r="BN396" s="848">
        <f t="shared" si="332"/>
        <v>1000</v>
      </c>
      <c r="BO396" s="848">
        <f t="shared" si="334"/>
        <v>1000</v>
      </c>
      <c r="BP396" s="848">
        <f t="shared" si="332"/>
        <v>0</v>
      </c>
      <c r="BQ396" s="848">
        <f t="shared" si="332"/>
        <v>0</v>
      </c>
      <c r="BR396" s="848">
        <f t="shared" si="332"/>
        <v>0</v>
      </c>
      <c r="BS396" s="848">
        <f t="shared" si="332"/>
        <v>0</v>
      </c>
      <c r="BT396" s="848">
        <f t="shared" si="332"/>
        <v>0</v>
      </c>
      <c r="BU396" s="848">
        <f t="shared" si="332"/>
        <v>0</v>
      </c>
      <c r="BV396" s="848">
        <f t="shared" si="332"/>
        <v>0</v>
      </c>
      <c r="BW396" s="848">
        <f t="shared" si="332"/>
        <v>0</v>
      </c>
      <c r="BX396" s="848">
        <f t="shared" si="332"/>
        <v>0</v>
      </c>
      <c r="BY396" s="848">
        <f t="shared" si="332"/>
        <v>0</v>
      </c>
      <c r="BZ396" s="848">
        <f t="shared" si="332"/>
        <v>0</v>
      </c>
      <c r="CA396" s="848">
        <f t="shared" si="332"/>
        <v>0</v>
      </c>
      <c r="CB396" s="848">
        <f t="shared" si="332"/>
        <v>0</v>
      </c>
      <c r="CC396" s="848">
        <f t="shared" si="332"/>
        <v>0</v>
      </c>
      <c r="CD396" s="848">
        <f t="shared" si="332"/>
        <v>0</v>
      </c>
      <c r="CE396" s="848">
        <f t="shared" si="332"/>
        <v>1000</v>
      </c>
      <c r="CF396" s="848">
        <f>BO396/AY396%</f>
        <v>100</v>
      </c>
      <c r="CG396" s="848"/>
      <c r="CH396" s="848"/>
      <c r="CI396" s="848"/>
      <c r="CJ396" s="848"/>
      <c r="CK396" s="848"/>
      <c r="CL396" s="848"/>
      <c r="CM396" s="848"/>
      <c r="CN396" s="848"/>
      <c r="CO396" s="848"/>
      <c r="CP396" s="848"/>
      <c r="CQ396" s="848"/>
      <c r="CR396" s="848"/>
      <c r="CS396" s="848"/>
      <c r="CT396" s="848"/>
      <c r="CU396" s="848"/>
      <c r="CV396" s="848"/>
      <c r="CW396" s="848">
        <f t="shared" si="289"/>
        <v>100</v>
      </c>
    </row>
    <row r="397" spans="1:101" s="851" customFormat="1" ht="27" customHeight="1">
      <c r="A397" s="845"/>
      <c r="B397" s="852" t="s">
        <v>578</v>
      </c>
      <c r="C397" s="852" t="s">
        <v>1035</v>
      </c>
      <c r="D397" s="846"/>
      <c r="E397" s="845"/>
      <c r="F397" s="853" t="s">
        <v>544</v>
      </c>
      <c r="G397" s="846" t="s">
        <v>1036</v>
      </c>
      <c r="H397" s="850">
        <f t="shared" si="321"/>
        <v>2966</v>
      </c>
      <c r="I397" s="876"/>
      <c r="J397" s="848"/>
      <c r="K397" s="848"/>
      <c r="L397" s="848"/>
      <c r="M397" s="848"/>
      <c r="N397" s="848"/>
      <c r="O397" s="848"/>
      <c r="P397" s="848"/>
      <c r="Q397" s="848"/>
      <c r="R397" s="848"/>
      <c r="S397" s="855">
        <v>2966</v>
      </c>
      <c r="T397" s="855">
        <f t="shared" si="301"/>
        <v>0</v>
      </c>
      <c r="U397" s="848"/>
      <c r="V397" s="848"/>
      <c r="W397" s="848"/>
      <c r="X397" s="848"/>
      <c r="Y397" s="848"/>
      <c r="Z397" s="848"/>
      <c r="AA397" s="848"/>
      <c r="AB397" s="848"/>
      <c r="AC397" s="848"/>
      <c r="AD397" s="848"/>
      <c r="AE397" s="848"/>
      <c r="AF397" s="848"/>
      <c r="AG397" s="848"/>
      <c r="AH397" s="848"/>
      <c r="AI397" s="848">
        <f>AX397</f>
        <v>0</v>
      </c>
      <c r="AJ397" s="848"/>
      <c r="AK397" s="848"/>
      <c r="AL397" s="848"/>
      <c r="AM397" s="848"/>
      <c r="AN397" s="848"/>
      <c r="AO397" s="848"/>
      <c r="AP397" s="848"/>
      <c r="AQ397" s="848"/>
      <c r="AR397" s="848"/>
      <c r="AS397" s="848"/>
      <c r="AT397" s="848"/>
      <c r="AU397" s="848"/>
      <c r="AV397" s="848"/>
      <c r="AW397" s="848"/>
      <c r="AX397" s="855"/>
      <c r="AY397" s="855">
        <f t="shared" ref="AY397" si="335">SUM(AZ397:BN397)</f>
        <v>1000</v>
      </c>
      <c r="AZ397" s="848"/>
      <c r="BA397" s="848"/>
      <c r="BB397" s="848"/>
      <c r="BC397" s="848"/>
      <c r="BD397" s="848"/>
      <c r="BE397" s="848"/>
      <c r="BF397" s="848"/>
      <c r="BG397" s="848"/>
      <c r="BH397" s="848"/>
      <c r="BI397" s="848"/>
      <c r="BJ397" s="848"/>
      <c r="BK397" s="848"/>
      <c r="BL397" s="848"/>
      <c r="BM397" s="848"/>
      <c r="BN397" s="855">
        <f>'[10]bieu cu'!H121</f>
        <v>1000</v>
      </c>
      <c r="BO397" s="848">
        <f t="shared" si="334"/>
        <v>1000</v>
      </c>
      <c r="BP397" s="848"/>
      <c r="BQ397" s="848"/>
      <c r="BR397" s="848"/>
      <c r="BS397" s="848"/>
      <c r="BT397" s="848"/>
      <c r="BU397" s="848"/>
      <c r="BV397" s="848"/>
      <c r="BW397" s="848"/>
      <c r="BX397" s="848"/>
      <c r="BY397" s="848"/>
      <c r="BZ397" s="848"/>
      <c r="CA397" s="848"/>
      <c r="CB397" s="848"/>
      <c r="CC397" s="848"/>
      <c r="CD397" s="848"/>
      <c r="CE397" s="855">
        <f>'[10]bieu cu'!M121</f>
        <v>1000</v>
      </c>
      <c r="CF397" s="848">
        <f>BO397/AY397%</f>
        <v>100</v>
      </c>
      <c r="CG397" s="848"/>
      <c r="CH397" s="848"/>
      <c r="CI397" s="848"/>
      <c r="CJ397" s="848"/>
      <c r="CK397" s="848"/>
      <c r="CL397" s="848"/>
      <c r="CM397" s="848"/>
      <c r="CN397" s="848"/>
      <c r="CO397" s="848"/>
      <c r="CP397" s="848"/>
      <c r="CQ397" s="848"/>
      <c r="CR397" s="848"/>
      <c r="CS397" s="848"/>
      <c r="CT397" s="848"/>
      <c r="CU397" s="848"/>
      <c r="CV397" s="848"/>
      <c r="CW397" s="848">
        <f t="shared" si="289"/>
        <v>100</v>
      </c>
    </row>
    <row r="398" spans="1:101" s="851" customFormat="1" ht="24.75" customHeight="1">
      <c r="A398" s="845" t="s">
        <v>7</v>
      </c>
      <c r="B398" s="845"/>
      <c r="C398" s="857" t="s">
        <v>677</v>
      </c>
      <c r="D398" s="846">
        <f>D399</f>
        <v>0</v>
      </c>
      <c r="E398" s="845">
        <f t="shared" ref="E398:CE399" si="336">E399</f>
        <v>0</v>
      </c>
      <c r="F398" s="847"/>
      <c r="G398" s="845"/>
      <c r="H398" s="850">
        <f t="shared" si="321"/>
        <v>154886</v>
      </c>
      <c r="I398" s="848">
        <f t="shared" si="336"/>
        <v>0</v>
      </c>
      <c r="J398" s="848">
        <f t="shared" si="336"/>
        <v>0</v>
      </c>
      <c r="K398" s="848">
        <f t="shared" si="336"/>
        <v>0</v>
      </c>
      <c r="L398" s="848">
        <f t="shared" si="336"/>
        <v>0</v>
      </c>
      <c r="M398" s="848">
        <f t="shared" si="336"/>
        <v>0</v>
      </c>
      <c r="N398" s="848">
        <f t="shared" si="336"/>
        <v>0</v>
      </c>
      <c r="O398" s="848">
        <f t="shared" si="336"/>
        <v>0</v>
      </c>
      <c r="P398" s="848">
        <f t="shared" si="336"/>
        <v>0</v>
      </c>
      <c r="Q398" s="848">
        <f t="shared" si="336"/>
        <v>46000</v>
      </c>
      <c r="R398" s="848">
        <v>108886</v>
      </c>
      <c r="S398" s="848">
        <f t="shared" si="336"/>
        <v>0</v>
      </c>
      <c r="T398" s="848">
        <f t="shared" si="336"/>
        <v>18000</v>
      </c>
      <c r="U398" s="848">
        <f t="shared" si="336"/>
        <v>0</v>
      </c>
      <c r="V398" s="848">
        <f t="shared" si="336"/>
        <v>0</v>
      </c>
      <c r="W398" s="848">
        <f t="shared" si="336"/>
        <v>0</v>
      </c>
      <c r="X398" s="848">
        <f t="shared" si="336"/>
        <v>0</v>
      </c>
      <c r="Y398" s="848">
        <f t="shared" si="336"/>
        <v>0</v>
      </c>
      <c r="Z398" s="848">
        <f t="shared" si="336"/>
        <v>18000</v>
      </c>
      <c r="AA398" s="848">
        <f t="shared" si="336"/>
        <v>0</v>
      </c>
      <c r="AB398" s="848">
        <f t="shared" si="336"/>
        <v>0</v>
      </c>
      <c r="AC398" s="848">
        <f t="shared" si="336"/>
        <v>0</v>
      </c>
      <c r="AD398" s="848"/>
      <c r="AE398" s="848"/>
      <c r="AF398" s="848">
        <f t="shared" si="336"/>
        <v>0</v>
      </c>
      <c r="AG398" s="848">
        <f t="shared" si="336"/>
        <v>0</v>
      </c>
      <c r="AH398" s="848">
        <f t="shared" si="336"/>
        <v>0</v>
      </c>
      <c r="AI398" s="848">
        <f t="shared" si="336"/>
        <v>18640</v>
      </c>
      <c r="AJ398" s="848">
        <f t="shared" si="336"/>
        <v>0</v>
      </c>
      <c r="AK398" s="848">
        <f t="shared" si="336"/>
        <v>0</v>
      </c>
      <c r="AL398" s="848">
        <f t="shared" si="336"/>
        <v>0</v>
      </c>
      <c r="AM398" s="848">
        <f t="shared" si="336"/>
        <v>0</v>
      </c>
      <c r="AN398" s="848">
        <f t="shared" si="336"/>
        <v>0</v>
      </c>
      <c r="AO398" s="848">
        <f t="shared" si="336"/>
        <v>18640</v>
      </c>
      <c r="AP398" s="848">
        <f t="shared" si="336"/>
        <v>0</v>
      </c>
      <c r="AQ398" s="848">
        <f t="shared" si="336"/>
        <v>0</v>
      </c>
      <c r="AR398" s="848">
        <f t="shared" si="336"/>
        <v>0</v>
      </c>
      <c r="AS398" s="848"/>
      <c r="AT398" s="848">
        <f t="shared" si="336"/>
        <v>0</v>
      </c>
      <c r="AU398" s="848">
        <f t="shared" si="336"/>
        <v>0</v>
      </c>
      <c r="AV398" s="848">
        <f t="shared" si="336"/>
        <v>0</v>
      </c>
      <c r="AW398" s="848">
        <f t="shared" si="336"/>
        <v>0</v>
      </c>
      <c r="AX398" s="848">
        <f t="shared" si="336"/>
        <v>0</v>
      </c>
      <c r="AY398" s="848">
        <f t="shared" si="336"/>
        <v>6345</v>
      </c>
      <c r="AZ398" s="848">
        <f t="shared" si="336"/>
        <v>0</v>
      </c>
      <c r="BA398" s="848">
        <f t="shared" si="336"/>
        <v>0</v>
      </c>
      <c r="BB398" s="848">
        <f t="shared" si="336"/>
        <v>0</v>
      </c>
      <c r="BC398" s="848">
        <f t="shared" si="336"/>
        <v>0</v>
      </c>
      <c r="BD398" s="848">
        <f t="shared" si="336"/>
        <v>0</v>
      </c>
      <c r="BE398" s="848">
        <f t="shared" si="336"/>
        <v>0</v>
      </c>
      <c r="BF398" s="848">
        <f t="shared" si="336"/>
        <v>0</v>
      </c>
      <c r="BG398" s="848">
        <f t="shared" si="336"/>
        <v>0</v>
      </c>
      <c r="BH398" s="848">
        <f t="shared" si="336"/>
        <v>0</v>
      </c>
      <c r="BI398" s="848">
        <f t="shared" si="336"/>
        <v>0</v>
      </c>
      <c r="BJ398" s="848">
        <f t="shared" si="336"/>
        <v>0</v>
      </c>
      <c r="BK398" s="848">
        <f t="shared" si="336"/>
        <v>0</v>
      </c>
      <c r="BL398" s="848">
        <f t="shared" si="336"/>
        <v>0</v>
      </c>
      <c r="BM398" s="848">
        <f t="shared" si="336"/>
        <v>0</v>
      </c>
      <c r="BN398" s="848">
        <f t="shared" si="336"/>
        <v>6345</v>
      </c>
      <c r="BO398" s="848">
        <f t="shared" si="334"/>
        <v>6345</v>
      </c>
      <c r="BP398" s="848">
        <f t="shared" si="336"/>
        <v>0</v>
      </c>
      <c r="BQ398" s="848">
        <f t="shared" si="336"/>
        <v>0</v>
      </c>
      <c r="BR398" s="848">
        <f t="shared" si="336"/>
        <v>0</v>
      </c>
      <c r="BS398" s="848">
        <f t="shared" si="336"/>
        <v>0</v>
      </c>
      <c r="BT398" s="848">
        <f t="shared" si="336"/>
        <v>0</v>
      </c>
      <c r="BU398" s="848">
        <f t="shared" si="336"/>
        <v>0</v>
      </c>
      <c r="BV398" s="848">
        <f t="shared" si="336"/>
        <v>0</v>
      </c>
      <c r="BW398" s="848">
        <f t="shared" si="336"/>
        <v>0</v>
      </c>
      <c r="BX398" s="848">
        <f t="shared" si="336"/>
        <v>0</v>
      </c>
      <c r="BY398" s="848">
        <f t="shared" si="336"/>
        <v>0</v>
      </c>
      <c r="BZ398" s="848">
        <f t="shared" si="336"/>
        <v>0</v>
      </c>
      <c r="CA398" s="848">
        <f t="shared" si="336"/>
        <v>0</v>
      </c>
      <c r="CB398" s="848">
        <f t="shared" si="336"/>
        <v>0</v>
      </c>
      <c r="CC398" s="848">
        <f t="shared" si="336"/>
        <v>0</v>
      </c>
      <c r="CD398" s="848">
        <f t="shared" si="336"/>
        <v>0</v>
      </c>
      <c r="CE398" s="848">
        <f t="shared" si="336"/>
        <v>6345</v>
      </c>
      <c r="CF398" s="848">
        <f t="shared" ref="CF398:CS399" si="337">CF399</f>
        <v>100</v>
      </c>
      <c r="CG398" s="848"/>
      <c r="CH398" s="848"/>
      <c r="CI398" s="848"/>
      <c r="CJ398" s="848"/>
      <c r="CK398" s="848"/>
      <c r="CL398" s="848"/>
      <c r="CM398" s="848"/>
      <c r="CN398" s="848"/>
      <c r="CO398" s="848"/>
      <c r="CP398" s="848"/>
      <c r="CQ398" s="848"/>
      <c r="CR398" s="848"/>
      <c r="CS398" s="848">
        <f t="shared" si="337"/>
        <v>0</v>
      </c>
      <c r="CT398" s="848"/>
      <c r="CU398" s="848"/>
      <c r="CV398" s="848"/>
      <c r="CW398" s="848">
        <f t="shared" si="289"/>
        <v>100</v>
      </c>
    </row>
    <row r="399" spans="1:101" s="851" customFormat="1" ht="24.75" customHeight="1">
      <c r="A399" s="845"/>
      <c r="B399" s="845"/>
      <c r="C399" s="857" t="s">
        <v>358</v>
      </c>
      <c r="D399" s="846">
        <f>D400</f>
        <v>0</v>
      </c>
      <c r="E399" s="845">
        <f t="shared" si="336"/>
        <v>0</v>
      </c>
      <c r="F399" s="847"/>
      <c r="G399" s="845"/>
      <c r="H399" s="850">
        <f t="shared" si="321"/>
        <v>154886</v>
      </c>
      <c r="I399" s="848">
        <f t="shared" si="336"/>
        <v>0</v>
      </c>
      <c r="J399" s="848">
        <f t="shared" si="336"/>
        <v>0</v>
      </c>
      <c r="K399" s="848">
        <f t="shared" si="336"/>
        <v>0</v>
      </c>
      <c r="L399" s="848">
        <f t="shared" si="336"/>
        <v>0</v>
      </c>
      <c r="M399" s="848">
        <f t="shared" si="336"/>
        <v>0</v>
      </c>
      <c r="N399" s="848">
        <f t="shared" si="336"/>
        <v>0</v>
      </c>
      <c r="O399" s="848">
        <f t="shared" si="336"/>
        <v>0</v>
      </c>
      <c r="P399" s="848">
        <f t="shared" si="336"/>
        <v>0</v>
      </c>
      <c r="Q399" s="848">
        <f t="shared" si="336"/>
        <v>46000</v>
      </c>
      <c r="R399" s="848">
        <v>108886</v>
      </c>
      <c r="S399" s="848">
        <f t="shared" si="336"/>
        <v>0</v>
      </c>
      <c r="T399" s="848">
        <f t="shared" si="336"/>
        <v>18000</v>
      </c>
      <c r="U399" s="848">
        <f t="shared" si="336"/>
        <v>0</v>
      </c>
      <c r="V399" s="848">
        <f t="shared" si="336"/>
        <v>0</v>
      </c>
      <c r="W399" s="848">
        <f t="shared" si="336"/>
        <v>0</v>
      </c>
      <c r="X399" s="848">
        <f t="shared" si="336"/>
        <v>0</v>
      </c>
      <c r="Y399" s="848">
        <f t="shared" si="336"/>
        <v>0</v>
      </c>
      <c r="Z399" s="848">
        <f t="shared" si="336"/>
        <v>18000</v>
      </c>
      <c r="AA399" s="848">
        <f t="shared" si="336"/>
        <v>0</v>
      </c>
      <c r="AB399" s="848">
        <f t="shared" si="336"/>
        <v>0</v>
      </c>
      <c r="AC399" s="848">
        <f t="shared" si="336"/>
        <v>0</v>
      </c>
      <c r="AD399" s="848"/>
      <c r="AE399" s="848"/>
      <c r="AF399" s="848">
        <f t="shared" si="336"/>
        <v>0</v>
      </c>
      <c r="AG399" s="848">
        <f t="shared" si="336"/>
        <v>0</v>
      </c>
      <c r="AH399" s="848">
        <f t="shared" si="336"/>
        <v>0</v>
      </c>
      <c r="AI399" s="848">
        <f t="shared" si="336"/>
        <v>18640</v>
      </c>
      <c r="AJ399" s="848">
        <f t="shared" si="336"/>
        <v>0</v>
      </c>
      <c r="AK399" s="848">
        <f t="shared" si="336"/>
        <v>0</v>
      </c>
      <c r="AL399" s="848">
        <f t="shared" si="336"/>
        <v>0</v>
      </c>
      <c r="AM399" s="848">
        <f t="shared" si="336"/>
        <v>0</v>
      </c>
      <c r="AN399" s="848">
        <f t="shared" si="336"/>
        <v>0</v>
      </c>
      <c r="AO399" s="848">
        <f t="shared" si="336"/>
        <v>18640</v>
      </c>
      <c r="AP399" s="848">
        <f t="shared" si="336"/>
        <v>0</v>
      </c>
      <c r="AQ399" s="848">
        <f t="shared" si="336"/>
        <v>0</v>
      </c>
      <c r="AR399" s="848">
        <f t="shared" si="336"/>
        <v>0</v>
      </c>
      <c r="AS399" s="848"/>
      <c r="AT399" s="848">
        <f t="shared" si="336"/>
        <v>0</v>
      </c>
      <c r="AU399" s="848">
        <f t="shared" si="336"/>
        <v>0</v>
      </c>
      <c r="AV399" s="848">
        <f t="shared" si="336"/>
        <v>0</v>
      </c>
      <c r="AW399" s="848">
        <f t="shared" si="336"/>
        <v>0</v>
      </c>
      <c r="AX399" s="848">
        <f t="shared" si="336"/>
        <v>0</v>
      </c>
      <c r="AY399" s="848">
        <f t="shared" si="336"/>
        <v>6345</v>
      </c>
      <c r="AZ399" s="848">
        <f t="shared" si="336"/>
        <v>0</v>
      </c>
      <c r="BA399" s="848">
        <f t="shared" si="336"/>
        <v>0</v>
      </c>
      <c r="BB399" s="848">
        <f t="shared" si="336"/>
        <v>0</v>
      </c>
      <c r="BC399" s="848">
        <f t="shared" si="336"/>
        <v>0</v>
      </c>
      <c r="BD399" s="848">
        <f t="shared" si="336"/>
        <v>0</v>
      </c>
      <c r="BE399" s="848">
        <f t="shared" si="336"/>
        <v>0</v>
      </c>
      <c r="BF399" s="848">
        <f t="shared" si="336"/>
        <v>0</v>
      </c>
      <c r="BG399" s="848">
        <f t="shared" si="336"/>
        <v>0</v>
      </c>
      <c r="BH399" s="848">
        <f t="shared" si="336"/>
        <v>0</v>
      </c>
      <c r="BI399" s="848">
        <f t="shared" si="336"/>
        <v>0</v>
      </c>
      <c r="BJ399" s="848">
        <f t="shared" si="336"/>
        <v>0</v>
      </c>
      <c r="BK399" s="848">
        <f t="shared" si="336"/>
        <v>0</v>
      </c>
      <c r="BL399" s="848">
        <f t="shared" si="336"/>
        <v>0</v>
      </c>
      <c r="BM399" s="848">
        <f t="shared" si="336"/>
        <v>0</v>
      </c>
      <c r="BN399" s="848">
        <f t="shared" si="336"/>
        <v>6345</v>
      </c>
      <c r="BO399" s="848">
        <f t="shared" si="334"/>
        <v>6345</v>
      </c>
      <c r="BP399" s="848">
        <f t="shared" si="336"/>
        <v>0</v>
      </c>
      <c r="BQ399" s="848">
        <f t="shared" si="336"/>
        <v>0</v>
      </c>
      <c r="BR399" s="848">
        <f t="shared" si="336"/>
        <v>0</v>
      </c>
      <c r="BS399" s="848">
        <f t="shared" si="336"/>
        <v>0</v>
      </c>
      <c r="BT399" s="848">
        <f t="shared" si="336"/>
        <v>0</v>
      </c>
      <c r="BU399" s="848">
        <f t="shared" si="336"/>
        <v>0</v>
      </c>
      <c r="BV399" s="848">
        <f t="shared" si="336"/>
        <v>0</v>
      </c>
      <c r="BW399" s="848">
        <f t="shared" si="336"/>
        <v>0</v>
      </c>
      <c r="BX399" s="848">
        <f t="shared" si="336"/>
        <v>0</v>
      </c>
      <c r="BY399" s="848">
        <f t="shared" si="336"/>
        <v>0</v>
      </c>
      <c r="BZ399" s="848">
        <f t="shared" si="336"/>
        <v>0</v>
      </c>
      <c r="CA399" s="848">
        <f t="shared" si="336"/>
        <v>0</v>
      </c>
      <c r="CB399" s="848">
        <f t="shared" si="336"/>
        <v>0</v>
      </c>
      <c r="CC399" s="848">
        <f t="shared" si="336"/>
        <v>0</v>
      </c>
      <c r="CD399" s="848">
        <f t="shared" si="336"/>
        <v>0</v>
      </c>
      <c r="CE399" s="848">
        <f t="shared" si="336"/>
        <v>6345</v>
      </c>
      <c r="CF399" s="848">
        <f t="shared" si="337"/>
        <v>100</v>
      </c>
      <c r="CG399" s="848"/>
      <c r="CH399" s="848"/>
      <c r="CI399" s="848"/>
      <c r="CJ399" s="848"/>
      <c r="CK399" s="848"/>
      <c r="CL399" s="848"/>
      <c r="CM399" s="848"/>
      <c r="CN399" s="848"/>
      <c r="CO399" s="848"/>
      <c r="CP399" s="848"/>
      <c r="CQ399" s="848"/>
      <c r="CR399" s="848"/>
      <c r="CS399" s="848">
        <f t="shared" si="337"/>
        <v>0</v>
      </c>
      <c r="CT399" s="848"/>
      <c r="CU399" s="848"/>
      <c r="CV399" s="848"/>
      <c r="CW399" s="848">
        <f t="shared" si="289"/>
        <v>100</v>
      </c>
    </row>
    <row r="400" spans="1:101" s="851" customFormat="1" ht="33" customHeight="1">
      <c r="A400" s="845"/>
      <c r="B400" s="852" t="s">
        <v>677</v>
      </c>
      <c r="C400" s="852" t="s">
        <v>1037</v>
      </c>
      <c r="D400" s="846"/>
      <c r="E400" s="845"/>
      <c r="F400" s="900" t="s">
        <v>967</v>
      </c>
      <c r="G400" s="854" t="s">
        <v>1038</v>
      </c>
      <c r="H400" s="850">
        <f t="shared" si="321"/>
        <v>154886</v>
      </c>
      <c r="I400" s="855"/>
      <c r="J400" s="848"/>
      <c r="K400" s="848"/>
      <c r="L400" s="848"/>
      <c r="M400" s="848"/>
      <c r="N400" s="848"/>
      <c r="O400" s="848"/>
      <c r="P400" s="848"/>
      <c r="Q400" s="855">
        <v>46000</v>
      </c>
      <c r="R400" s="855">
        <v>108886</v>
      </c>
      <c r="S400" s="848"/>
      <c r="T400" s="855">
        <f t="shared" si="301"/>
        <v>18000</v>
      </c>
      <c r="U400" s="848"/>
      <c r="V400" s="848"/>
      <c r="W400" s="848"/>
      <c r="X400" s="848"/>
      <c r="Y400" s="848"/>
      <c r="Z400" s="855">
        <v>18000</v>
      </c>
      <c r="AA400" s="848"/>
      <c r="AB400" s="848"/>
      <c r="AC400" s="848"/>
      <c r="AD400" s="848"/>
      <c r="AE400" s="848"/>
      <c r="AF400" s="848"/>
      <c r="AG400" s="855">
        <v>0</v>
      </c>
      <c r="AH400" s="848"/>
      <c r="AI400" s="855">
        <f>AO400</f>
        <v>18640</v>
      </c>
      <c r="AJ400" s="848"/>
      <c r="AK400" s="848"/>
      <c r="AL400" s="848"/>
      <c r="AM400" s="848"/>
      <c r="AN400" s="848"/>
      <c r="AO400" s="855">
        <v>18640</v>
      </c>
      <c r="AP400" s="848"/>
      <c r="AQ400" s="848"/>
      <c r="AR400" s="848"/>
      <c r="AS400" s="848"/>
      <c r="AT400" s="848"/>
      <c r="AU400" s="848"/>
      <c r="AV400" s="848"/>
      <c r="AW400" s="855"/>
      <c r="AX400" s="848"/>
      <c r="AY400" s="855">
        <f t="shared" ref="AY400" si="338">SUM(AZ400:BN400)</f>
        <v>6345</v>
      </c>
      <c r="AZ400" s="848"/>
      <c r="BA400" s="848"/>
      <c r="BB400" s="848"/>
      <c r="BC400" s="848"/>
      <c r="BD400" s="848"/>
      <c r="BE400" s="848"/>
      <c r="BF400" s="848"/>
      <c r="BG400" s="848"/>
      <c r="BH400" s="848"/>
      <c r="BI400" s="848"/>
      <c r="BJ400" s="848"/>
      <c r="BK400" s="848"/>
      <c r="BL400" s="848"/>
      <c r="BM400" s="848"/>
      <c r="BN400" s="855">
        <f>'[10]bieu cu'!H91</f>
        <v>6345</v>
      </c>
      <c r="BO400" s="848">
        <f t="shared" si="334"/>
        <v>6345</v>
      </c>
      <c r="BP400" s="848"/>
      <c r="BQ400" s="848"/>
      <c r="BR400" s="848"/>
      <c r="BS400" s="848"/>
      <c r="BT400" s="848"/>
      <c r="BU400" s="848"/>
      <c r="BV400" s="848"/>
      <c r="BW400" s="848"/>
      <c r="BX400" s="848"/>
      <c r="BY400" s="848"/>
      <c r="BZ400" s="848"/>
      <c r="CA400" s="848"/>
      <c r="CB400" s="848"/>
      <c r="CC400" s="848"/>
      <c r="CD400" s="848"/>
      <c r="CE400" s="855">
        <f>'[10]bieu cu'!M91</f>
        <v>6345</v>
      </c>
      <c r="CF400" s="848">
        <f>BO400/AY400%</f>
        <v>100</v>
      </c>
      <c r="CG400" s="848"/>
      <c r="CH400" s="848"/>
      <c r="CI400" s="848"/>
      <c r="CJ400" s="848"/>
      <c r="CK400" s="848"/>
      <c r="CL400" s="848"/>
      <c r="CM400" s="848"/>
      <c r="CN400" s="848"/>
      <c r="CO400" s="848"/>
      <c r="CP400" s="848"/>
      <c r="CQ400" s="848"/>
      <c r="CR400" s="848"/>
      <c r="CS400" s="848"/>
      <c r="CT400" s="848"/>
      <c r="CU400" s="848"/>
      <c r="CV400" s="848"/>
      <c r="CW400" s="848">
        <f t="shared" si="289"/>
        <v>100</v>
      </c>
    </row>
    <row r="401" spans="1:101" s="851" customFormat="1" ht="24.75" customHeight="1">
      <c r="A401" s="845" t="s">
        <v>8</v>
      </c>
      <c r="B401" s="845"/>
      <c r="C401" s="857" t="s">
        <v>1039</v>
      </c>
      <c r="D401" s="846">
        <f>D402</f>
        <v>0</v>
      </c>
      <c r="E401" s="845">
        <f t="shared" ref="E401:CE402" si="339">E402</f>
        <v>0</v>
      </c>
      <c r="F401" s="847"/>
      <c r="G401" s="845"/>
      <c r="H401" s="850">
        <f t="shared" si="321"/>
        <v>2099</v>
      </c>
      <c r="I401" s="848">
        <f t="shared" si="339"/>
        <v>0</v>
      </c>
      <c r="J401" s="848">
        <f t="shared" si="339"/>
        <v>0</v>
      </c>
      <c r="K401" s="848">
        <f t="shared" si="339"/>
        <v>0</v>
      </c>
      <c r="L401" s="848">
        <f t="shared" si="339"/>
        <v>0</v>
      </c>
      <c r="M401" s="848">
        <f t="shared" si="339"/>
        <v>0</v>
      </c>
      <c r="N401" s="848">
        <f t="shared" si="339"/>
        <v>0</v>
      </c>
      <c r="O401" s="848">
        <f t="shared" si="339"/>
        <v>0</v>
      </c>
      <c r="P401" s="848">
        <f t="shared" si="339"/>
        <v>0</v>
      </c>
      <c r="Q401" s="848">
        <f t="shared" si="339"/>
        <v>0</v>
      </c>
      <c r="R401" s="848">
        <v>0</v>
      </c>
      <c r="S401" s="848">
        <f t="shared" si="339"/>
        <v>2099</v>
      </c>
      <c r="T401" s="848">
        <f t="shared" si="339"/>
        <v>550</v>
      </c>
      <c r="U401" s="848">
        <f t="shared" si="339"/>
        <v>0</v>
      </c>
      <c r="V401" s="848">
        <f t="shared" si="339"/>
        <v>0</v>
      </c>
      <c r="W401" s="848">
        <f t="shared" si="339"/>
        <v>0</v>
      </c>
      <c r="X401" s="848">
        <f t="shared" si="339"/>
        <v>0</v>
      </c>
      <c r="Y401" s="848">
        <f t="shared" si="339"/>
        <v>0</v>
      </c>
      <c r="Z401" s="848">
        <f t="shared" si="339"/>
        <v>0</v>
      </c>
      <c r="AA401" s="848">
        <f t="shared" si="339"/>
        <v>0</v>
      </c>
      <c r="AB401" s="848">
        <f t="shared" si="339"/>
        <v>0</v>
      </c>
      <c r="AC401" s="848">
        <f t="shared" si="339"/>
        <v>0</v>
      </c>
      <c r="AD401" s="848"/>
      <c r="AE401" s="848"/>
      <c r="AF401" s="848">
        <f t="shared" si="339"/>
        <v>0</v>
      </c>
      <c r="AG401" s="848">
        <f t="shared" si="339"/>
        <v>0</v>
      </c>
      <c r="AH401" s="848">
        <f t="shared" si="339"/>
        <v>550</v>
      </c>
      <c r="AI401" s="848">
        <f t="shared" si="339"/>
        <v>550</v>
      </c>
      <c r="AJ401" s="848">
        <f t="shared" si="339"/>
        <v>0</v>
      </c>
      <c r="AK401" s="848">
        <f t="shared" si="339"/>
        <v>0</v>
      </c>
      <c r="AL401" s="848">
        <f t="shared" si="339"/>
        <v>0</v>
      </c>
      <c r="AM401" s="848">
        <f t="shared" si="339"/>
        <v>0</v>
      </c>
      <c r="AN401" s="848">
        <f t="shared" si="339"/>
        <v>0</v>
      </c>
      <c r="AO401" s="848">
        <f t="shared" si="339"/>
        <v>0</v>
      </c>
      <c r="AP401" s="848">
        <f t="shared" si="339"/>
        <v>0</v>
      </c>
      <c r="AQ401" s="848">
        <f t="shared" si="339"/>
        <v>0</v>
      </c>
      <c r="AR401" s="848">
        <f t="shared" si="339"/>
        <v>0</v>
      </c>
      <c r="AS401" s="848"/>
      <c r="AT401" s="848">
        <f t="shared" si="339"/>
        <v>0</v>
      </c>
      <c r="AU401" s="848">
        <f t="shared" si="339"/>
        <v>0</v>
      </c>
      <c r="AV401" s="848">
        <f t="shared" si="339"/>
        <v>0</v>
      </c>
      <c r="AW401" s="848">
        <f t="shared" si="339"/>
        <v>0</v>
      </c>
      <c r="AX401" s="848">
        <f t="shared" si="339"/>
        <v>550</v>
      </c>
      <c r="AY401" s="848">
        <f t="shared" si="339"/>
        <v>300</v>
      </c>
      <c r="AZ401" s="848">
        <f t="shared" si="339"/>
        <v>0</v>
      </c>
      <c r="BA401" s="848">
        <f t="shared" si="339"/>
        <v>0</v>
      </c>
      <c r="BB401" s="848">
        <f t="shared" si="339"/>
        <v>0</v>
      </c>
      <c r="BC401" s="848">
        <f t="shared" si="339"/>
        <v>0</v>
      </c>
      <c r="BD401" s="848">
        <f t="shared" si="339"/>
        <v>0</v>
      </c>
      <c r="BE401" s="848">
        <f t="shared" si="339"/>
        <v>0</v>
      </c>
      <c r="BF401" s="848">
        <f t="shared" si="339"/>
        <v>0</v>
      </c>
      <c r="BG401" s="848">
        <f t="shared" si="339"/>
        <v>0</v>
      </c>
      <c r="BH401" s="848">
        <f t="shared" si="339"/>
        <v>0</v>
      </c>
      <c r="BI401" s="848">
        <f t="shared" si="339"/>
        <v>0</v>
      </c>
      <c r="BJ401" s="848">
        <f t="shared" si="339"/>
        <v>0</v>
      </c>
      <c r="BK401" s="848">
        <f t="shared" si="339"/>
        <v>0</v>
      </c>
      <c r="BL401" s="848">
        <f t="shared" si="339"/>
        <v>0</v>
      </c>
      <c r="BM401" s="848">
        <f t="shared" si="339"/>
        <v>0</v>
      </c>
      <c r="BN401" s="848">
        <f t="shared" si="339"/>
        <v>300</v>
      </c>
      <c r="BO401" s="848">
        <f t="shared" si="334"/>
        <v>300</v>
      </c>
      <c r="BP401" s="848">
        <f t="shared" si="339"/>
        <v>0</v>
      </c>
      <c r="BQ401" s="848">
        <f t="shared" si="339"/>
        <v>0</v>
      </c>
      <c r="BR401" s="848">
        <f t="shared" si="339"/>
        <v>0</v>
      </c>
      <c r="BS401" s="848">
        <f t="shared" si="339"/>
        <v>0</v>
      </c>
      <c r="BT401" s="848">
        <f t="shared" si="339"/>
        <v>0</v>
      </c>
      <c r="BU401" s="848">
        <f t="shared" si="339"/>
        <v>0</v>
      </c>
      <c r="BV401" s="848">
        <f t="shared" si="339"/>
        <v>0</v>
      </c>
      <c r="BW401" s="848">
        <f t="shared" si="339"/>
        <v>0</v>
      </c>
      <c r="BX401" s="848">
        <f t="shared" si="339"/>
        <v>0</v>
      </c>
      <c r="BY401" s="848">
        <f t="shared" si="339"/>
        <v>0</v>
      </c>
      <c r="BZ401" s="848">
        <f t="shared" si="339"/>
        <v>0</v>
      </c>
      <c r="CA401" s="848">
        <f t="shared" si="339"/>
        <v>0</v>
      </c>
      <c r="CB401" s="848">
        <f t="shared" si="339"/>
        <v>0</v>
      </c>
      <c r="CC401" s="848">
        <f t="shared" si="339"/>
        <v>0</v>
      </c>
      <c r="CD401" s="848">
        <f t="shared" si="339"/>
        <v>0</v>
      </c>
      <c r="CE401" s="848">
        <f t="shared" si="339"/>
        <v>300</v>
      </c>
      <c r="CF401" s="848">
        <f t="shared" ref="CF401:CS402" si="340">CF402</f>
        <v>100</v>
      </c>
      <c r="CG401" s="848"/>
      <c r="CH401" s="848"/>
      <c r="CI401" s="848"/>
      <c r="CJ401" s="848"/>
      <c r="CK401" s="848"/>
      <c r="CL401" s="848"/>
      <c r="CM401" s="848"/>
      <c r="CN401" s="848"/>
      <c r="CO401" s="848"/>
      <c r="CP401" s="848"/>
      <c r="CQ401" s="848"/>
      <c r="CR401" s="848"/>
      <c r="CS401" s="848">
        <f t="shared" si="340"/>
        <v>0</v>
      </c>
      <c r="CT401" s="848"/>
      <c r="CU401" s="848"/>
      <c r="CV401" s="848"/>
      <c r="CW401" s="848">
        <f t="shared" si="289"/>
        <v>100</v>
      </c>
    </row>
    <row r="402" spans="1:101" s="851" customFormat="1" ht="19.149999999999999" customHeight="1">
      <c r="A402" s="845"/>
      <c r="B402" s="845"/>
      <c r="C402" s="857" t="s">
        <v>358</v>
      </c>
      <c r="D402" s="846">
        <f>D403</f>
        <v>0</v>
      </c>
      <c r="E402" s="845">
        <f t="shared" si="339"/>
        <v>0</v>
      </c>
      <c r="F402" s="847"/>
      <c r="G402" s="845"/>
      <c r="H402" s="850">
        <f t="shared" si="321"/>
        <v>2099</v>
      </c>
      <c r="I402" s="848">
        <f t="shared" si="339"/>
        <v>0</v>
      </c>
      <c r="J402" s="848">
        <f t="shared" si="339"/>
        <v>0</v>
      </c>
      <c r="K402" s="848">
        <f t="shared" si="339"/>
        <v>0</v>
      </c>
      <c r="L402" s="848">
        <f t="shared" si="339"/>
        <v>0</v>
      </c>
      <c r="M402" s="848">
        <f t="shared" si="339"/>
        <v>0</v>
      </c>
      <c r="N402" s="848">
        <f t="shared" si="339"/>
        <v>0</v>
      </c>
      <c r="O402" s="848">
        <f t="shared" si="339"/>
        <v>0</v>
      </c>
      <c r="P402" s="848">
        <f t="shared" si="339"/>
        <v>0</v>
      </c>
      <c r="Q402" s="848">
        <f t="shared" si="339"/>
        <v>0</v>
      </c>
      <c r="R402" s="848">
        <v>0</v>
      </c>
      <c r="S402" s="848">
        <f t="shared" si="339"/>
        <v>2099</v>
      </c>
      <c r="T402" s="848">
        <f t="shared" si="339"/>
        <v>550</v>
      </c>
      <c r="U402" s="848">
        <f t="shared" si="339"/>
        <v>0</v>
      </c>
      <c r="V402" s="848">
        <f t="shared" si="339"/>
        <v>0</v>
      </c>
      <c r="W402" s="848">
        <f t="shared" si="339"/>
        <v>0</v>
      </c>
      <c r="X402" s="848">
        <f t="shared" si="339"/>
        <v>0</v>
      </c>
      <c r="Y402" s="848">
        <f t="shared" si="339"/>
        <v>0</v>
      </c>
      <c r="Z402" s="848">
        <f t="shared" si="339"/>
        <v>0</v>
      </c>
      <c r="AA402" s="848">
        <f t="shared" si="339"/>
        <v>0</v>
      </c>
      <c r="AB402" s="848">
        <f t="shared" si="339"/>
        <v>0</v>
      </c>
      <c r="AC402" s="848">
        <f t="shared" si="339"/>
        <v>0</v>
      </c>
      <c r="AD402" s="848"/>
      <c r="AE402" s="848"/>
      <c r="AF402" s="848">
        <f t="shared" si="339"/>
        <v>0</v>
      </c>
      <c r="AG402" s="848">
        <f t="shared" si="339"/>
        <v>0</v>
      </c>
      <c r="AH402" s="848">
        <f t="shared" si="339"/>
        <v>550</v>
      </c>
      <c r="AI402" s="848">
        <f t="shared" si="339"/>
        <v>550</v>
      </c>
      <c r="AJ402" s="848">
        <f t="shared" si="339"/>
        <v>0</v>
      </c>
      <c r="AK402" s="848">
        <f t="shared" si="339"/>
        <v>0</v>
      </c>
      <c r="AL402" s="848">
        <f t="shared" si="339"/>
        <v>0</v>
      </c>
      <c r="AM402" s="848">
        <f t="shared" si="339"/>
        <v>0</v>
      </c>
      <c r="AN402" s="848">
        <f t="shared" si="339"/>
        <v>0</v>
      </c>
      <c r="AO402" s="848">
        <f t="shared" si="339"/>
        <v>0</v>
      </c>
      <c r="AP402" s="848">
        <f t="shared" si="339"/>
        <v>0</v>
      </c>
      <c r="AQ402" s="848">
        <f t="shared" si="339"/>
        <v>0</v>
      </c>
      <c r="AR402" s="848">
        <f t="shared" si="339"/>
        <v>0</v>
      </c>
      <c r="AS402" s="848"/>
      <c r="AT402" s="848">
        <f t="shared" si="339"/>
        <v>0</v>
      </c>
      <c r="AU402" s="848">
        <f t="shared" si="339"/>
        <v>0</v>
      </c>
      <c r="AV402" s="848">
        <f t="shared" si="339"/>
        <v>0</v>
      </c>
      <c r="AW402" s="848">
        <f t="shared" si="339"/>
        <v>0</v>
      </c>
      <c r="AX402" s="848">
        <f t="shared" si="339"/>
        <v>550</v>
      </c>
      <c r="AY402" s="848">
        <f t="shared" si="339"/>
        <v>300</v>
      </c>
      <c r="AZ402" s="848">
        <f t="shared" si="339"/>
        <v>0</v>
      </c>
      <c r="BA402" s="848">
        <f t="shared" si="339"/>
        <v>0</v>
      </c>
      <c r="BB402" s="848">
        <f t="shared" si="339"/>
        <v>0</v>
      </c>
      <c r="BC402" s="848">
        <f t="shared" si="339"/>
        <v>0</v>
      </c>
      <c r="BD402" s="848">
        <f t="shared" si="339"/>
        <v>0</v>
      </c>
      <c r="BE402" s="848">
        <f t="shared" si="339"/>
        <v>0</v>
      </c>
      <c r="BF402" s="848">
        <f t="shared" si="339"/>
        <v>0</v>
      </c>
      <c r="BG402" s="848">
        <f t="shared" si="339"/>
        <v>0</v>
      </c>
      <c r="BH402" s="848">
        <f t="shared" si="339"/>
        <v>0</v>
      </c>
      <c r="BI402" s="848">
        <f t="shared" si="339"/>
        <v>0</v>
      </c>
      <c r="BJ402" s="848">
        <f t="shared" si="339"/>
        <v>0</v>
      </c>
      <c r="BK402" s="848">
        <f t="shared" si="339"/>
        <v>0</v>
      </c>
      <c r="BL402" s="848">
        <f t="shared" si="339"/>
        <v>0</v>
      </c>
      <c r="BM402" s="848">
        <f t="shared" si="339"/>
        <v>0</v>
      </c>
      <c r="BN402" s="848">
        <f t="shared" si="339"/>
        <v>300</v>
      </c>
      <c r="BO402" s="848">
        <f t="shared" si="334"/>
        <v>300</v>
      </c>
      <c r="BP402" s="848">
        <f t="shared" si="339"/>
        <v>0</v>
      </c>
      <c r="BQ402" s="848">
        <f t="shared" si="339"/>
        <v>0</v>
      </c>
      <c r="BR402" s="848">
        <f t="shared" si="339"/>
        <v>0</v>
      </c>
      <c r="BS402" s="848">
        <f t="shared" si="339"/>
        <v>0</v>
      </c>
      <c r="BT402" s="848">
        <f t="shared" si="339"/>
        <v>0</v>
      </c>
      <c r="BU402" s="848">
        <f t="shared" si="339"/>
        <v>0</v>
      </c>
      <c r="BV402" s="848">
        <f t="shared" si="339"/>
        <v>0</v>
      </c>
      <c r="BW402" s="848">
        <f t="shared" si="339"/>
        <v>0</v>
      </c>
      <c r="BX402" s="848">
        <f t="shared" si="339"/>
        <v>0</v>
      </c>
      <c r="BY402" s="848">
        <f t="shared" si="339"/>
        <v>0</v>
      </c>
      <c r="BZ402" s="848">
        <f t="shared" si="339"/>
        <v>0</v>
      </c>
      <c r="CA402" s="848">
        <f t="shared" si="339"/>
        <v>0</v>
      </c>
      <c r="CB402" s="848">
        <f t="shared" si="339"/>
        <v>0</v>
      </c>
      <c r="CC402" s="848">
        <f t="shared" si="339"/>
        <v>0</v>
      </c>
      <c r="CD402" s="848">
        <f t="shared" si="339"/>
        <v>0</v>
      </c>
      <c r="CE402" s="848">
        <f t="shared" si="339"/>
        <v>300</v>
      </c>
      <c r="CF402" s="848">
        <f t="shared" si="340"/>
        <v>100</v>
      </c>
      <c r="CG402" s="848"/>
      <c r="CH402" s="848"/>
      <c r="CI402" s="848"/>
      <c r="CJ402" s="848"/>
      <c r="CK402" s="848"/>
      <c r="CL402" s="848"/>
      <c r="CM402" s="848"/>
      <c r="CN402" s="848"/>
      <c r="CO402" s="848"/>
      <c r="CP402" s="848"/>
      <c r="CQ402" s="848"/>
      <c r="CR402" s="848"/>
      <c r="CS402" s="848">
        <f t="shared" si="340"/>
        <v>0</v>
      </c>
      <c r="CT402" s="848"/>
      <c r="CU402" s="848"/>
      <c r="CV402" s="848"/>
      <c r="CW402" s="848">
        <f t="shared" si="289"/>
        <v>100</v>
      </c>
    </row>
    <row r="403" spans="1:101" s="851" customFormat="1" ht="46.9" customHeight="1">
      <c r="A403" s="845"/>
      <c r="B403" s="852" t="s">
        <v>1039</v>
      </c>
      <c r="C403" s="852" t="s">
        <v>1040</v>
      </c>
      <c r="D403" s="846"/>
      <c r="E403" s="845"/>
      <c r="F403" s="853">
        <v>2013</v>
      </c>
      <c r="G403" s="854" t="s">
        <v>1041</v>
      </c>
      <c r="H403" s="850">
        <f t="shared" si="321"/>
        <v>2099</v>
      </c>
      <c r="I403" s="850"/>
      <c r="J403" s="848"/>
      <c r="K403" s="848"/>
      <c r="L403" s="848"/>
      <c r="M403" s="848"/>
      <c r="N403" s="848"/>
      <c r="O403" s="848"/>
      <c r="P403" s="848"/>
      <c r="Q403" s="848"/>
      <c r="R403" s="848"/>
      <c r="S403" s="855">
        <v>2099</v>
      </c>
      <c r="T403" s="855">
        <f t="shared" ref="T403:T466" si="341">SUM(U403:AH403)</f>
        <v>550</v>
      </c>
      <c r="U403" s="848"/>
      <c r="V403" s="848"/>
      <c r="W403" s="848"/>
      <c r="X403" s="848"/>
      <c r="Y403" s="848"/>
      <c r="Z403" s="848"/>
      <c r="AA403" s="848"/>
      <c r="AB403" s="848"/>
      <c r="AC403" s="848"/>
      <c r="AD403" s="848"/>
      <c r="AE403" s="848"/>
      <c r="AF403" s="848"/>
      <c r="AG403" s="848"/>
      <c r="AH403" s="855">
        <v>550</v>
      </c>
      <c r="AI403" s="848">
        <f>AX403</f>
        <v>550</v>
      </c>
      <c r="AJ403" s="848"/>
      <c r="AK403" s="848"/>
      <c r="AL403" s="848"/>
      <c r="AM403" s="848"/>
      <c r="AN403" s="848"/>
      <c r="AO403" s="848"/>
      <c r="AP403" s="848"/>
      <c r="AQ403" s="848"/>
      <c r="AR403" s="848"/>
      <c r="AS403" s="848"/>
      <c r="AT403" s="848"/>
      <c r="AU403" s="848"/>
      <c r="AV403" s="848"/>
      <c r="AW403" s="848"/>
      <c r="AX403" s="855">
        <v>550</v>
      </c>
      <c r="AY403" s="855">
        <f t="shared" ref="AY403" si="342">SUM(AZ403:BN403)</f>
        <v>300</v>
      </c>
      <c r="AZ403" s="848"/>
      <c r="BA403" s="848"/>
      <c r="BB403" s="848"/>
      <c r="BC403" s="848"/>
      <c r="BD403" s="848"/>
      <c r="BE403" s="848"/>
      <c r="BF403" s="848"/>
      <c r="BG403" s="848"/>
      <c r="BH403" s="848"/>
      <c r="BI403" s="848"/>
      <c r="BJ403" s="848"/>
      <c r="BK403" s="848"/>
      <c r="BL403" s="848"/>
      <c r="BM403" s="848"/>
      <c r="BN403" s="855">
        <f>'[10]bieu cu'!H78</f>
        <v>300</v>
      </c>
      <c r="BO403" s="848">
        <f t="shared" si="334"/>
        <v>300</v>
      </c>
      <c r="BP403" s="848"/>
      <c r="BQ403" s="848"/>
      <c r="BR403" s="848"/>
      <c r="BS403" s="848"/>
      <c r="BT403" s="848"/>
      <c r="BU403" s="848"/>
      <c r="BV403" s="848"/>
      <c r="BW403" s="848"/>
      <c r="BX403" s="848"/>
      <c r="BY403" s="848"/>
      <c r="BZ403" s="848"/>
      <c r="CA403" s="848"/>
      <c r="CB403" s="848"/>
      <c r="CC403" s="848"/>
      <c r="CD403" s="848"/>
      <c r="CE403" s="855">
        <f>'[10]bieu cu'!M78</f>
        <v>300</v>
      </c>
      <c r="CF403" s="848">
        <f t="shared" ref="CF403:CF408" si="343">BO403/AY403%</f>
        <v>100</v>
      </c>
      <c r="CG403" s="848"/>
      <c r="CH403" s="848"/>
      <c r="CI403" s="848"/>
      <c r="CJ403" s="848"/>
      <c r="CK403" s="848"/>
      <c r="CL403" s="848"/>
      <c r="CM403" s="848"/>
      <c r="CN403" s="848"/>
      <c r="CO403" s="848"/>
      <c r="CP403" s="848"/>
      <c r="CQ403" s="848"/>
      <c r="CR403" s="848"/>
      <c r="CS403" s="848"/>
      <c r="CT403" s="848"/>
      <c r="CU403" s="848"/>
      <c r="CV403" s="848"/>
      <c r="CW403" s="848">
        <f t="shared" si="289"/>
        <v>100</v>
      </c>
    </row>
    <row r="404" spans="1:101" s="851" customFormat="1" ht="24.75" customHeight="1">
      <c r="A404" s="845" t="s">
        <v>9</v>
      </c>
      <c r="B404" s="845"/>
      <c r="C404" s="864" t="s">
        <v>693</v>
      </c>
      <c r="D404" s="846">
        <f>D405</f>
        <v>0</v>
      </c>
      <c r="E404" s="845">
        <f t="shared" ref="E404:CD404" si="344">E405</f>
        <v>0</v>
      </c>
      <c r="F404" s="847"/>
      <c r="G404" s="845"/>
      <c r="H404" s="850">
        <f t="shared" si="321"/>
        <v>53837</v>
      </c>
      <c r="I404" s="848">
        <f t="shared" si="344"/>
        <v>0</v>
      </c>
      <c r="J404" s="848">
        <f t="shared" si="344"/>
        <v>0</v>
      </c>
      <c r="K404" s="848">
        <f t="shared" si="344"/>
        <v>0</v>
      </c>
      <c r="L404" s="848">
        <f t="shared" si="344"/>
        <v>0</v>
      </c>
      <c r="M404" s="848">
        <f t="shared" si="344"/>
        <v>0</v>
      </c>
      <c r="N404" s="848">
        <f t="shared" si="344"/>
        <v>0</v>
      </c>
      <c r="O404" s="848">
        <f t="shared" si="344"/>
        <v>0</v>
      </c>
      <c r="P404" s="848">
        <f t="shared" si="344"/>
        <v>0</v>
      </c>
      <c r="Q404" s="848">
        <f t="shared" si="344"/>
        <v>0</v>
      </c>
      <c r="R404" s="848">
        <v>1550</v>
      </c>
      <c r="S404" s="848">
        <f>S405</f>
        <v>52287</v>
      </c>
      <c r="T404" s="855">
        <f t="shared" si="341"/>
        <v>32307</v>
      </c>
      <c r="U404" s="848">
        <f t="shared" ref="U404:AH404" si="345">U405</f>
        <v>0</v>
      </c>
      <c r="V404" s="848">
        <f t="shared" si="345"/>
        <v>0</v>
      </c>
      <c r="W404" s="848">
        <f t="shared" si="345"/>
        <v>11493</v>
      </c>
      <c r="X404" s="848">
        <f t="shared" si="345"/>
        <v>0</v>
      </c>
      <c r="Y404" s="848">
        <f t="shared" si="345"/>
        <v>0</v>
      </c>
      <c r="Z404" s="848">
        <f t="shared" si="345"/>
        <v>0</v>
      </c>
      <c r="AA404" s="848">
        <f t="shared" si="345"/>
        <v>0</v>
      </c>
      <c r="AB404" s="848">
        <f t="shared" si="345"/>
        <v>0</v>
      </c>
      <c r="AC404" s="848">
        <f t="shared" si="345"/>
        <v>0</v>
      </c>
      <c r="AD404" s="848"/>
      <c r="AE404" s="848"/>
      <c r="AF404" s="848">
        <f t="shared" si="345"/>
        <v>0</v>
      </c>
      <c r="AG404" s="848">
        <f t="shared" si="345"/>
        <v>0</v>
      </c>
      <c r="AH404" s="848">
        <f t="shared" si="345"/>
        <v>20814</v>
      </c>
      <c r="AI404" s="848">
        <f t="shared" si="344"/>
        <v>31815</v>
      </c>
      <c r="AJ404" s="848">
        <f t="shared" si="344"/>
        <v>0</v>
      </c>
      <c r="AK404" s="848">
        <f t="shared" si="344"/>
        <v>0</v>
      </c>
      <c r="AL404" s="848">
        <f t="shared" si="344"/>
        <v>11001</v>
      </c>
      <c r="AM404" s="848">
        <f t="shared" si="344"/>
        <v>0</v>
      </c>
      <c r="AN404" s="848">
        <f t="shared" si="344"/>
        <v>0</v>
      </c>
      <c r="AO404" s="848">
        <f t="shared" si="344"/>
        <v>0</v>
      </c>
      <c r="AP404" s="848">
        <f t="shared" si="344"/>
        <v>0</v>
      </c>
      <c r="AQ404" s="848">
        <f t="shared" si="344"/>
        <v>0</v>
      </c>
      <c r="AR404" s="848">
        <f t="shared" si="344"/>
        <v>0</v>
      </c>
      <c r="AS404" s="848"/>
      <c r="AT404" s="848">
        <f t="shared" si="344"/>
        <v>0</v>
      </c>
      <c r="AU404" s="848">
        <f t="shared" si="344"/>
        <v>0</v>
      </c>
      <c r="AV404" s="848">
        <f t="shared" si="344"/>
        <v>0</v>
      </c>
      <c r="AW404" s="848">
        <f t="shared" si="344"/>
        <v>0</v>
      </c>
      <c r="AX404" s="848">
        <f>AX405</f>
        <v>20814</v>
      </c>
      <c r="AY404" s="848">
        <f t="shared" si="344"/>
        <v>4915</v>
      </c>
      <c r="AZ404" s="848">
        <f t="shared" si="344"/>
        <v>0</v>
      </c>
      <c r="BA404" s="848">
        <f t="shared" si="344"/>
        <v>0</v>
      </c>
      <c r="BB404" s="848">
        <f t="shared" si="344"/>
        <v>0</v>
      </c>
      <c r="BC404" s="848">
        <f t="shared" si="344"/>
        <v>0</v>
      </c>
      <c r="BD404" s="848">
        <f t="shared" si="344"/>
        <v>0</v>
      </c>
      <c r="BE404" s="848">
        <f t="shared" si="344"/>
        <v>0</v>
      </c>
      <c r="BF404" s="848">
        <f t="shared" si="344"/>
        <v>0</v>
      </c>
      <c r="BG404" s="848">
        <f t="shared" si="344"/>
        <v>0</v>
      </c>
      <c r="BH404" s="848">
        <f t="shared" si="344"/>
        <v>0</v>
      </c>
      <c r="BI404" s="848">
        <f t="shared" si="344"/>
        <v>0</v>
      </c>
      <c r="BJ404" s="848">
        <f t="shared" si="344"/>
        <v>0</v>
      </c>
      <c r="BK404" s="848">
        <f t="shared" si="344"/>
        <v>0</v>
      </c>
      <c r="BL404" s="848">
        <f t="shared" si="344"/>
        <v>0</v>
      </c>
      <c r="BM404" s="848">
        <f t="shared" si="344"/>
        <v>0</v>
      </c>
      <c r="BN404" s="848">
        <f t="shared" si="344"/>
        <v>4915</v>
      </c>
      <c r="BO404" s="848">
        <f t="shared" si="334"/>
        <v>4878.1370000000006</v>
      </c>
      <c r="BP404" s="848">
        <f t="shared" si="344"/>
        <v>0</v>
      </c>
      <c r="BQ404" s="848"/>
      <c r="BR404" s="848"/>
      <c r="BS404" s="848">
        <f t="shared" si="344"/>
        <v>32.357999999999997</v>
      </c>
      <c r="BT404" s="848">
        <f t="shared" si="344"/>
        <v>0</v>
      </c>
      <c r="BU404" s="848"/>
      <c r="BV404" s="848">
        <f t="shared" si="344"/>
        <v>0</v>
      </c>
      <c r="BW404" s="848">
        <f t="shared" si="344"/>
        <v>0</v>
      </c>
      <c r="BX404" s="848">
        <f t="shared" si="344"/>
        <v>0</v>
      </c>
      <c r="BY404" s="848">
        <f t="shared" si="344"/>
        <v>0</v>
      </c>
      <c r="BZ404" s="848">
        <f t="shared" si="344"/>
        <v>0</v>
      </c>
      <c r="CA404" s="848">
        <f>CA405</f>
        <v>0</v>
      </c>
      <c r="CB404" s="848">
        <f t="shared" si="344"/>
        <v>0</v>
      </c>
      <c r="CC404" s="848">
        <f t="shared" si="344"/>
        <v>0</v>
      </c>
      <c r="CD404" s="848">
        <f t="shared" si="344"/>
        <v>0</v>
      </c>
      <c r="CE404" s="848">
        <f>CE405</f>
        <v>4845.7790000000005</v>
      </c>
      <c r="CF404" s="848">
        <f t="shared" si="343"/>
        <v>99.249989827060034</v>
      </c>
      <c r="CG404" s="848"/>
      <c r="CH404" s="848"/>
      <c r="CI404" s="848"/>
      <c r="CJ404" s="848"/>
      <c r="CK404" s="848"/>
      <c r="CL404" s="848"/>
      <c r="CM404" s="848"/>
      <c r="CN404" s="848"/>
      <c r="CO404" s="848"/>
      <c r="CP404" s="848"/>
      <c r="CQ404" s="848"/>
      <c r="CR404" s="848"/>
      <c r="CS404" s="848"/>
      <c r="CT404" s="848"/>
      <c r="CU404" s="848"/>
      <c r="CV404" s="848"/>
      <c r="CW404" s="848">
        <f t="shared" si="289"/>
        <v>98.591637843336727</v>
      </c>
    </row>
    <row r="405" spans="1:101" s="851" customFormat="1" ht="24.75" customHeight="1">
      <c r="A405" s="845"/>
      <c r="B405" s="845"/>
      <c r="C405" s="864" t="s">
        <v>358</v>
      </c>
      <c r="D405" s="846">
        <f>D406+D407+D408+D409</f>
        <v>0</v>
      </c>
      <c r="E405" s="845">
        <f t="shared" ref="E405:CD405" si="346">E406+E407+E408+E409</f>
        <v>0</v>
      </c>
      <c r="F405" s="847"/>
      <c r="G405" s="845"/>
      <c r="H405" s="850">
        <f t="shared" si="321"/>
        <v>53837</v>
      </c>
      <c r="I405" s="848">
        <f t="shared" ref="I405:Q405" si="347">I406+I407+I408+I409</f>
        <v>0</v>
      </c>
      <c r="J405" s="848">
        <f t="shared" si="347"/>
        <v>0</v>
      </c>
      <c r="K405" s="848">
        <f t="shared" si="347"/>
        <v>0</v>
      </c>
      <c r="L405" s="848">
        <f t="shared" si="347"/>
        <v>0</v>
      </c>
      <c r="M405" s="848">
        <f t="shared" si="347"/>
        <v>0</v>
      </c>
      <c r="N405" s="848">
        <f t="shared" si="347"/>
        <v>0</v>
      </c>
      <c r="O405" s="848">
        <f t="shared" si="347"/>
        <v>0</v>
      </c>
      <c r="P405" s="848">
        <f t="shared" si="347"/>
        <v>0</v>
      </c>
      <c r="Q405" s="848">
        <f t="shared" si="347"/>
        <v>0</v>
      </c>
      <c r="R405" s="848">
        <v>1550</v>
      </c>
      <c r="S405" s="848">
        <f>SUM(S406:S409)</f>
        <v>52287</v>
      </c>
      <c r="T405" s="855">
        <f t="shared" si="341"/>
        <v>32307</v>
      </c>
      <c r="U405" s="848">
        <f t="shared" ref="U405:AC405" si="348">U406+U407+U408+U409</f>
        <v>0</v>
      </c>
      <c r="V405" s="848">
        <f t="shared" si="348"/>
        <v>0</v>
      </c>
      <c r="W405" s="848">
        <f t="shared" si="348"/>
        <v>11493</v>
      </c>
      <c r="X405" s="848">
        <f t="shared" si="348"/>
        <v>0</v>
      </c>
      <c r="Y405" s="848">
        <f t="shared" si="348"/>
        <v>0</v>
      </c>
      <c r="Z405" s="848">
        <f t="shared" si="348"/>
        <v>0</v>
      </c>
      <c r="AA405" s="848">
        <f t="shared" si="348"/>
        <v>0</v>
      </c>
      <c r="AB405" s="848">
        <f t="shared" si="348"/>
        <v>0</v>
      </c>
      <c r="AC405" s="848">
        <f t="shared" si="348"/>
        <v>0</v>
      </c>
      <c r="AD405" s="848"/>
      <c r="AE405" s="848"/>
      <c r="AF405" s="848">
        <f t="shared" ref="AF405:AW405" si="349">AF406+AF407+AF408+AF409</f>
        <v>0</v>
      </c>
      <c r="AG405" s="848">
        <f t="shared" si="349"/>
        <v>0</v>
      </c>
      <c r="AH405" s="848">
        <f t="shared" si="349"/>
        <v>20814</v>
      </c>
      <c r="AI405" s="848">
        <f t="shared" si="349"/>
        <v>31815</v>
      </c>
      <c r="AJ405" s="848">
        <f t="shared" si="349"/>
        <v>0</v>
      </c>
      <c r="AK405" s="848">
        <f t="shared" si="349"/>
        <v>0</v>
      </c>
      <c r="AL405" s="848">
        <f t="shared" si="349"/>
        <v>11001</v>
      </c>
      <c r="AM405" s="848">
        <f t="shared" si="349"/>
        <v>0</v>
      </c>
      <c r="AN405" s="848">
        <f t="shared" si="349"/>
        <v>0</v>
      </c>
      <c r="AO405" s="848">
        <f t="shared" si="349"/>
        <v>0</v>
      </c>
      <c r="AP405" s="848">
        <f t="shared" si="349"/>
        <v>0</v>
      </c>
      <c r="AQ405" s="848">
        <f t="shared" si="349"/>
        <v>0</v>
      </c>
      <c r="AR405" s="848">
        <f t="shared" si="349"/>
        <v>0</v>
      </c>
      <c r="AS405" s="848"/>
      <c r="AT405" s="848">
        <f t="shared" si="349"/>
        <v>0</v>
      </c>
      <c r="AU405" s="848">
        <f t="shared" si="349"/>
        <v>0</v>
      </c>
      <c r="AV405" s="848">
        <f t="shared" si="349"/>
        <v>0</v>
      </c>
      <c r="AW405" s="848">
        <f t="shared" si="349"/>
        <v>0</v>
      </c>
      <c r="AX405" s="848">
        <f>AX406+AX407+AX408+AX409</f>
        <v>20814</v>
      </c>
      <c r="AY405" s="848">
        <f t="shared" si="346"/>
        <v>4915</v>
      </c>
      <c r="AZ405" s="848">
        <f t="shared" si="346"/>
        <v>0</v>
      </c>
      <c r="BA405" s="848">
        <f t="shared" si="346"/>
        <v>0</v>
      </c>
      <c r="BB405" s="848">
        <f t="shared" si="346"/>
        <v>0</v>
      </c>
      <c r="BC405" s="848">
        <f t="shared" si="346"/>
        <v>0</v>
      </c>
      <c r="BD405" s="848">
        <f t="shared" si="346"/>
        <v>0</v>
      </c>
      <c r="BE405" s="848">
        <f t="shared" si="346"/>
        <v>0</v>
      </c>
      <c r="BF405" s="848">
        <f t="shared" si="346"/>
        <v>0</v>
      </c>
      <c r="BG405" s="848">
        <f t="shared" si="346"/>
        <v>0</v>
      </c>
      <c r="BH405" s="848">
        <f t="shared" si="346"/>
        <v>0</v>
      </c>
      <c r="BI405" s="848">
        <f t="shared" si="346"/>
        <v>0</v>
      </c>
      <c r="BJ405" s="848">
        <f t="shared" si="346"/>
        <v>0</v>
      </c>
      <c r="BK405" s="848">
        <f t="shared" si="346"/>
        <v>0</v>
      </c>
      <c r="BL405" s="848">
        <f t="shared" si="346"/>
        <v>0</v>
      </c>
      <c r="BM405" s="848">
        <f t="shared" si="346"/>
        <v>0</v>
      </c>
      <c r="BN405" s="848">
        <f t="shared" si="346"/>
        <v>4915</v>
      </c>
      <c r="BO405" s="848">
        <f t="shared" si="334"/>
        <v>4878.1370000000006</v>
      </c>
      <c r="BP405" s="848">
        <f t="shared" si="346"/>
        <v>0</v>
      </c>
      <c r="BQ405" s="848">
        <f t="shared" si="346"/>
        <v>0</v>
      </c>
      <c r="BR405" s="848">
        <f t="shared" si="346"/>
        <v>0</v>
      </c>
      <c r="BS405" s="848">
        <f t="shared" si="346"/>
        <v>32.357999999999997</v>
      </c>
      <c r="BT405" s="848">
        <f t="shared" si="346"/>
        <v>0</v>
      </c>
      <c r="BU405" s="848">
        <f t="shared" si="346"/>
        <v>0</v>
      </c>
      <c r="BV405" s="848">
        <f t="shared" si="346"/>
        <v>0</v>
      </c>
      <c r="BW405" s="848">
        <f t="shared" si="346"/>
        <v>0</v>
      </c>
      <c r="BX405" s="848">
        <f t="shared" si="346"/>
        <v>0</v>
      </c>
      <c r="BY405" s="848">
        <f t="shared" si="346"/>
        <v>0</v>
      </c>
      <c r="BZ405" s="848">
        <f t="shared" si="346"/>
        <v>0</v>
      </c>
      <c r="CA405" s="848">
        <f t="shared" si="346"/>
        <v>0</v>
      </c>
      <c r="CB405" s="848">
        <f t="shared" si="346"/>
        <v>0</v>
      </c>
      <c r="CC405" s="848">
        <f t="shared" si="346"/>
        <v>0</v>
      </c>
      <c r="CD405" s="848">
        <f t="shared" si="346"/>
        <v>0</v>
      </c>
      <c r="CE405" s="848">
        <f>CE406+CE407+CE408+CE409</f>
        <v>4845.7790000000005</v>
      </c>
      <c r="CF405" s="848">
        <f t="shared" si="343"/>
        <v>99.249989827060034</v>
      </c>
      <c r="CG405" s="848"/>
      <c r="CH405" s="848"/>
      <c r="CI405" s="848"/>
      <c r="CJ405" s="848"/>
      <c r="CK405" s="848"/>
      <c r="CL405" s="848"/>
      <c r="CM405" s="848"/>
      <c r="CN405" s="848"/>
      <c r="CO405" s="848"/>
      <c r="CP405" s="848"/>
      <c r="CQ405" s="848"/>
      <c r="CR405" s="848"/>
      <c r="CS405" s="848"/>
      <c r="CT405" s="848"/>
      <c r="CU405" s="848"/>
      <c r="CV405" s="848"/>
      <c r="CW405" s="848">
        <f t="shared" si="289"/>
        <v>98.591637843336727</v>
      </c>
    </row>
    <row r="406" spans="1:101" s="851" customFormat="1" ht="24.75" customHeight="1">
      <c r="A406" s="845"/>
      <c r="B406" s="867" t="s">
        <v>693</v>
      </c>
      <c r="C406" s="852" t="s">
        <v>1042</v>
      </c>
      <c r="D406" s="846"/>
      <c r="E406" s="845"/>
      <c r="F406" s="853">
        <v>2013</v>
      </c>
      <c r="G406" s="846" t="s">
        <v>1043</v>
      </c>
      <c r="H406" s="850">
        <f>SUM(I406:S406)</f>
        <v>8616</v>
      </c>
      <c r="I406" s="860"/>
      <c r="J406" s="848"/>
      <c r="K406" s="848"/>
      <c r="L406" s="848"/>
      <c r="M406" s="848"/>
      <c r="N406" s="848"/>
      <c r="O406" s="848"/>
      <c r="P406" s="848"/>
      <c r="Q406" s="848"/>
      <c r="R406" s="862"/>
      <c r="S406" s="855">
        <v>8616</v>
      </c>
      <c r="T406" s="855">
        <f t="shared" si="341"/>
        <v>0</v>
      </c>
      <c r="U406" s="848"/>
      <c r="V406" s="848"/>
      <c r="W406" s="848"/>
      <c r="X406" s="848"/>
      <c r="Y406" s="848"/>
      <c r="Z406" s="848"/>
      <c r="AA406" s="848"/>
      <c r="AB406" s="848"/>
      <c r="AC406" s="848"/>
      <c r="AD406" s="848"/>
      <c r="AE406" s="848"/>
      <c r="AF406" s="848"/>
      <c r="AG406" s="848"/>
      <c r="AH406" s="848"/>
      <c r="AI406" s="848">
        <f>AX406</f>
        <v>0</v>
      </c>
      <c r="AJ406" s="848"/>
      <c r="AK406" s="848"/>
      <c r="AL406" s="848"/>
      <c r="AM406" s="848"/>
      <c r="AN406" s="848"/>
      <c r="AO406" s="848"/>
      <c r="AP406" s="848"/>
      <c r="AQ406" s="848"/>
      <c r="AR406" s="848"/>
      <c r="AS406" s="848"/>
      <c r="AT406" s="848"/>
      <c r="AU406" s="848"/>
      <c r="AV406" s="848"/>
      <c r="AW406" s="848"/>
      <c r="AX406" s="855"/>
      <c r="AY406" s="855">
        <f t="shared" ref="AY406:AY409" si="350">SUM(AZ406:BN406)</f>
        <v>3000</v>
      </c>
      <c r="AZ406" s="848"/>
      <c r="BA406" s="848"/>
      <c r="BB406" s="848"/>
      <c r="BC406" s="848"/>
      <c r="BD406" s="848"/>
      <c r="BE406" s="848"/>
      <c r="BF406" s="848"/>
      <c r="BG406" s="848"/>
      <c r="BH406" s="848"/>
      <c r="BI406" s="848"/>
      <c r="BJ406" s="848"/>
      <c r="BK406" s="848"/>
      <c r="BL406" s="848"/>
      <c r="BM406" s="848"/>
      <c r="BN406" s="855">
        <f>'[10]bieu cu'!H88</f>
        <v>3000</v>
      </c>
      <c r="BO406" s="848">
        <f t="shared" si="334"/>
        <v>3000</v>
      </c>
      <c r="BP406" s="848"/>
      <c r="BQ406" s="848"/>
      <c r="BR406" s="848"/>
      <c r="BS406" s="848"/>
      <c r="BT406" s="848"/>
      <c r="BU406" s="848"/>
      <c r="BV406" s="848"/>
      <c r="BW406" s="848"/>
      <c r="BX406" s="848"/>
      <c r="BY406" s="848"/>
      <c r="BZ406" s="848"/>
      <c r="CA406" s="848"/>
      <c r="CB406" s="848"/>
      <c r="CC406" s="848"/>
      <c r="CD406" s="848"/>
      <c r="CE406" s="855">
        <f>'[10]bieu cu'!M88</f>
        <v>3000</v>
      </c>
      <c r="CF406" s="848">
        <f t="shared" si="343"/>
        <v>100</v>
      </c>
      <c r="CG406" s="848"/>
      <c r="CH406" s="848"/>
      <c r="CI406" s="848"/>
      <c r="CJ406" s="848"/>
      <c r="CK406" s="848"/>
      <c r="CL406" s="848"/>
      <c r="CM406" s="848"/>
      <c r="CN406" s="848"/>
      <c r="CO406" s="848"/>
      <c r="CP406" s="848"/>
      <c r="CQ406" s="848"/>
      <c r="CR406" s="848"/>
      <c r="CS406" s="848"/>
      <c r="CT406" s="848"/>
      <c r="CU406" s="848"/>
      <c r="CV406" s="848"/>
      <c r="CW406" s="848">
        <f t="shared" si="289"/>
        <v>100</v>
      </c>
    </row>
    <row r="407" spans="1:101" s="851" customFormat="1" ht="24.75" customHeight="1">
      <c r="A407" s="845"/>
      <c r="B407" s="867" t="s">
        <v>693</v>
      </c>
      <c r="C407" s="852" t="s">
        <v>1044</v>
      </c>
      <c r="D407" s="846"/>
      <c r="E407" s="845"/>
      <c r="F407" s="853" t="s">
        <v>1045</v>
      </c>
      <c r="G407" s="846" t="s">
        <v>1046</v>
      </c>
      <c r="H407" s="850">
        <f>SUM(I407:S407)</f>
        <v>31183</v>
      </c>
      <c r="I407" s="850"/>
      <c r="J407" s="848"/>
      <c r="K407" s="848"/>
      <c r="L407" s="848"/>
      <c r="M407" s="848"/>
      <c r="N407" s="848"/>
      <c r="O407" s="848"/>
      <c r="P407" s="848"/>
      <c r="Q407" s="848"/>
      <c r="R407" s="862"/>
      <c r="S407" s="855">
        <v>31183</v>
      </c>
      <c r="T407" s="855">
        <f t="shared" si="341"/>
        <v>20814</v>
      </c>
      <c r="U407" s="848"/>
      <c r="V407" s="848"/>
      <c r="W407" s="855"/>
      <c r="X407" s="848"/>
      <c r="Y407" s="848"/>
      <c r="Z407" s="848"/>
      <c r="AA407" s="848"/>
      <c r="AB407" s="848"/>
      <c r="AC407" s="848"/>
      <c r="AD407" s="848"/>
      <c r="AE407" s="848"/>
      <c r="AF407" s="848"/>
      <c r="AG407" s="848"/>
      <c r="AH407" s="855">
        <v>20814</v>
      </c>
      <c r="AI407" s="848">
        <f t="shared" ref="AI407" si="351">AX407</f>
        <v>20814</v>
      </c>
      <c r="AJ407" s="848"/>
      <c r="AK407" s="848"/>
      <c r="AL407" s="848"/>
      <c r="AM407" s="848"/>
      <c r="AN407" s="848"/>
      <c r="AO407" s="848"/>
      <c r="AP407" s="848"/>
      <c r="AQ407" s="848"/>
      <c r="AR407" s="848"/>
      <c r="AS407" s="848"/>
      <c r="AT407" s="848"/>
      <c r="AU407" s="848"/>
      <c r="AV407" s="848"/>
      <c r="AW407" s="848"/>
      <c r="AX407" s="855">
        <v>20814</v>
      </c>
      <c r="AY407" s="855">
        <f t="shared" si="350"/>
        <v>1500</v>
      </c>
      <c r="AZ407" s="848"/>
      <c r="BA407" s="848"/>
      <c r="BB407" s="848"/>
      <c r="BC407" s="848"/>
      <c r="BD407" s="848"/>
      <c r="BE407" s="848"/>
      <c r="BF407" s="848"/>
      <c r="BG407" s="848"/>
      <c r="BH407" s="848"/>
      <c r="BI407" s="848"/>
      <c r="BJ407" s="848"/>
      <c r="BK407" s="848"/>
      <c r="BL407" s="848"/>
      <c r="BM407" s="848"/>
      <c r="BN407" s="855">
        <f>'[10]bieu cu'!H81</f>
        <v>1500</v>
      </c>
      <c r="BO407" s="848">
        <f t="shared" si="334"/>
        <v>1500</v>
      </c>
      <c r="BP407" s="848"/>
      <c r="BQ407" s="848"/>
      <c r="BR407" s="848"/>
      <c r="BS407" s="848"/>
      <c r="BT407" s="848"/>
      <c r="BU407" s="848"/>
      <c r="BV407" s="848"/>
      <c r="BW407" s="848"/>
      <c r="BX407" s="848"/>
      <c r="BY407" s="848"/>
      <c r="BZ407" s="848"/>
      <c r="CA407" s="848"/>
      <c r="CB407" s="848"/>
      <c r="CC407" s="848"/>
      <c r="CD407" s="848"/>
      <c r="CE407" s="855">
        <f>'[10]bieu cu'!M81</f>
        <v>1500</v>
      </c>
      <c r="CF407" s="848">
        <f t="shared" si="343"/>
        <v>100</v>
      </c>
      <c r="CG407" s="848"/>
      <c r="CH407" s="848"/>
      <c r="CI407" s="848"/>
      <c r="CJ407" s="848"/>
      <c r="CK407" s="848"/>
      <c r="CL407" s="848"/>
      <c r="CM407" s="848"/>
      <c r="CN407" s="848"/>
      <c r="CO407" s="848"/>
      <c r="CP407" s="848"/>
      <c r="CQ407" s="848"/>
      <c r="CR407" s="848"/>
      <c r="CS407" s="848"/>
      <c r="CT407" s="848"/>
      <c r="CU407" s="848"/>
      <c r="CV407" s="848"/>
      <c r="CW407" s="848">
        <f t="shared" si="289"/>
        <v>100</v>
      </c>
    </row>
    <row r="408" spans="1:101" s="851" customFormat="1" ht="24.75" customHeight="1">
      <c r="A408" s="845"/>
      <c r="B408" s="867" t="s">
        <v>693</v>
      </c>
      <c r="C408" s="852" t="s">
        <v>1047</v>
      </c>
      <c r="D408" s="846"/>
      <c r="E408" s="845"/>
      <c r="F408" s="853">
        <v>2009</v>
      </c>
      <c r="G408" s="846" t="s">
        <v>1048</v>
      </c>
      <c r="H408" s="850">
        <f>SUM(I408:S408)</f>
        <v>4156</v>
      </c>
      <c r="I408" s="860"/>
      <c r="J408" s="848"/>
      <c r="K408" s="848"/>
      <c r="L408" s="848"/>
      <c r="M408" s="848"/>
      <c r="N408" s="848"/>
      <c r="O408" s="848"/>
      <c r="P408" s="848"/>
      <c r="Q408" s="848"/>
      <c r="R408" s="862"/>
      <c r="S408" s="855">
        <v>4156</v>
      </c>
      <c r="T408" s="855">
        <f t="shared" si="341"/>
        <v>3535</v>
      </c>
      <c r="U408" s="848"/>
      <c r="V408" s="848"/>
      <c r="W408" s="855">
        <v>3535</v>
      </c>
      <c r="X408" s="848"/>
      <c r="Y408" s="848"/>
      <c r="Z408" s="848"/>
      <c r="AA408" s="848"/>
      <c r="AB408" s="848"/>
      <c r="AC408" s="848"/>
      <c r="AD408" s="848"/>
      <c r="AE408" s="848"/>
      <c r="AF408" s="848"/>
      <c r="AG408" s="848"/>
      <c r="AH408" s="848"/>
      <c r="AI408" s="848">
        <f>AL408</f>
        <v>3043</v>
      </c>
      <c r="AJ408" s="848"/>
      <c r="AK408" s="848"/>
      <c r="AL408" s="855">
        <v>3043</v>
      </c>
      <c r="AM408" s="848"/>
      <c r="AN408" s="848"/>
      <c r="AO408" s="848"/>
      <c r="AP408" s="848"/>
      <c r="AQ408" s="848"/>
      <c r="AR408" s="848"/>
      <c r="AS408" s="848"/>
      <c r="AT408" s="848"/>
      <c r="AU408" s="848"/>
      <c r="AV408" s="848"/>
      <c r="AW408" s="848"/>
      <c r="AX408" s="855"/>
      <c r="AY408" s="855">
        <f t="shared" si="350"/>
        <v>415</v>
      </c>
      <c r="AZ408" s="848"/>
      <c r="BA408" s="848"/>
      <c r="BB408" s="848"/>
      <c r="BC408" s="848"/>
      <c r="BD408" s="848"/>
      <c r="BE408" s="848"/>
      <c r="BF408" s="848"/>
      <c r="BG408" s="848"/>
      <c r="BH408" s="848"/>
      <c r="BI408" s="848"/>
      <c r="BJ408" s="848"/>
      <c r="BK408" s="848"/>
      <c r="BL408" s="848"/>
      <c r="BM408" s="848"/>
      <c r="BN408" s="855">
        <v>415</v>
      </c>
      <c r="BO408" s="848">
        <f t="shared" si="334"/>
        <v>345.779</v>
      </c>
      <c r="BP408" s="848"/>
      <c r="BQ408" s="848"/>
      <c r="BR408" s="848"/>
      <c r="BS408" s="848"/>
      <c r="BT408" s="848"/>
      <c r="BU408" s="848"/>
      <c r="BV408" s="848"/>
      <c r="BW408" s="848"/>
      <c r="BX408" s="848"/>
      <c r="BY408" s="848"/>
      <c r="BZ408" s="848"/>
      <c r="CA408" s="848"/>
      <c r="CB408" s="848"/>
      <c r="CC408" s="848"/>
      <c r="CD408" s="848"/>
      <c r="CE408" s="855">
        <f>'[10]bieu cu'!M31</f>
        <v>345.779</v>
      </c>
      <c r="CF408" s="848">
        <f t="shared" si="343"/>
        <v>83.320240963855412</v>
      </c>
      <c r="CG408" s="848"/>
      <c r="CH408" s="848"/>
      <c r="CI408" s="848"/>
      <c r="CJ408" s="848"/>
      <c r="CK408" s="848"/>
      <c r="CL408" s="848"/>
      <c r="CM408" s="848"/>
      <c r="CN408" s="848"/>
      <c r="CO408" s="848"/>
      <c r="CP408" s="848"/>
      <c r="CQ408" s="848"/>
      <c r="CR408" s="848"/>
      <c r="CS408" s="848"/>
      <c r="CT408" s="848"/>
      <c r="CU408" s="848"/>
      <c r="CV408" s="848"/>
      <c r="CW408" s="848">
        <f t="shared" si="289"/>
        <v>83.320240963855412</v>
      </c>
    </row>
    <row r="409" spans="1:101" s="851" customFormat="1" ht="24.75" customHeight="1">
      <c r="A409" s="845"/>
      <c r="B409" s="867" t="s">
        <v>693</v>
      </c>
      <c r="C409" s="852" t="s">
        <v>1049</v>
      </c>
      <c r="D409" s="846"/>
      <c r="E409" s="845"/>
      <c r="F409" s="847"/>
      <c r="G409" s="854" t="s">
        <v>1050</v>
      </c>
      <c r="H409" s="850">
        <f t="shared" ref="H409:H472" si="352">SUM(I409:S409)</f>
        <v>9882</v>
      </c>
      <c r="I409" s="848"/>
      <c r="J409" s="848"/>
      <c r="K409" s="848"/>
      <c r="L409" s="848"/>
      <c r="M409" s="848"/>
      <c r="N409" s="848"/>
      <c r="O409" s="848"/>
      <c r="P409" s="848"/>
      <c r="Q409" s="848"/>
      <c r="R409" s="855">
        <v>1550</v>
      </c>
      <c r="S409" s="855">
        <v>8332</v>
      </c>
      <c r="T409" s="855">
        <f t="shared" si="341"/>
        <v>7958</v>
      </c>
      <c r="U409" s="848"/>
      <c r="V409" s="848"/>
      <c r="W409" s="855">
        <v>7958</v>
      </c>
      <c r="X409" s="848"/>
      <c r="Y409" s="848"/>
      <c r="Z409" s="848"/>
      <c r="AA409" s="848"/>
      <c r="AB409" s="848"/>
      <c r="AC409" s="848"/>
      <c r="AD409" s="848"/>
      <c r="AE409" s="848"/>
      <c r="AF409" s="848"/>
      <c r="AG409" s="848"/>
      <c r="AH409" s="848"/>
      <c r="AI409" s="848">
        <f>AL409</f>
        <v>7958</v>
      </c>
      <c r="AJ409" s="848"/>
      <c r="AK409" s="848"/>
      <c r="AL409" s="855">
        <v>7958</v>
      </c>
      <c r="AM409" s="848"/>
      <c r="AN409" s="848"/>
      <c r="AO409" s="848"/>
      <c r="AP409" s="848"/>
      <c r="AQ409" s="848"/>
      <c r="AR409" s="848"/>
      <c r="AS409" s="848"/>
      <c r="AT409" s="848"/>
      <c r="AU409" s="848"/>
      <c r="AV409" s="848"/>
      <c r="AW409" s="848"/>
      <c r="AX409" s="855"/>
      <c r="AY409" s="855">
        <f t="shared" si="350"/>
        <v>0</v>
      </c>
      <c r="AZ409" s="848"/>
      <c r="BA409" s="848"/>
      <c r="BB409" s="848"/>
      <c r="BC409" s="848"/>
      <c r="BD409" s="848"/>
      <c r="BE409" s="848"/>
      <c r="BF409" s="848"/>
      <c r="BG409" s="848"/>
      <c r="BH409" s="848"/>
      <c r="BI409" s="848"/>
      <c r="BJ409" s="848"/>
      <c r="BK409" s="848"/>
      <c r="BL409" s="848"/>
      <c r="BM409" s="848"/>
      <c r="BN409" s="855"/>
      <c r="BO409" s="848">
        <f t="shared" si="334"/>
        <v>32.357999999999997</v>
      </c>
      <c r="BP409" s="848"/>
      <c r="BQ409" s="848"/>
      <c r="BR409" s="848"/>
      <c r="BS409" s="855">
        <v>32.357999999999997</v>
      </c>
      <c r="BT409" s="848"/>
      <c r="BU409" s="848"/>
      <c r="BV409" s="848"/>
      <c r="BW409" s="848"/>
      <c r="BX409" s="848"/>
      <c r="BY409" s="848"/>
      <c r="BZ409" s="848"/>
      <c r="CA409" s="848"/>
      <c r="CB409" s="848"/>
      <c r="CC409" s="848"/>
      <c r="CD409" s="848"/>
      <c r="CE409" s="848"/>
      <c r="CF409" s="848"/>
      <c r="CG409" s="848"/>
      <c r="CH409" s="848"/>
      <c r="CI409" s="848"/>
      <c r="CJ409" s="848"/>
      <c r="CK409" s="848"/>
      <c r="CL409" s="848"/>
      <c r="CM409" s="848"/>
      <c r="CN409" s="848"/>
      <c r="CO409" s="848"/>
      <c r="CP409" s="848"/>
      <c r="CQ409" s="848"/>
      <c r="CR409" s="848"/>
      <c r="CS409" s="848"/>
      <c r="CT409" s="848"/>
      <c r="CU409" s="848"/>
      <c r="CV409" s="848"/>
      <c r="CW409" s="848"/>
    </row>
    <row r="410" spans="1:101" s="851" customFormat="1" ht="24.75" customHeight="1">
      <c r="A410" s="845" t="s">
        <v>23</v>
      </c>
      <c r="B410" s="845"/>
      <c r="C410" s="857" t="s">
        <v>834</v>
      </c>
      <c r="D410" s="846">
        <f>D411+D414</f>
        <v>0</v>
      </c>
      <c r="E410" s="845">
        <f t="shared" ref="E410:CE410" si="353">E411+E414</f>
        <v>0</v>
      </c>
      <c r="F410" s="847"/>
      <c r="G410" s="845"/>
      <c r="H410" s="850">
        <f t="shared" si="352"/>
        <v>87054</v>
      </c>
      <c r="I410" s="848">
        <f t="shared" si="353"/>
        <v>0</v>
      </c>
      <c r="J410" s="848">
        <f t="shared" si="353"/>
        <v>0</v>
      </c>
      <c r="K410" s="848">
        <f t="shared" si="353"/>
        <v>0</v>
      </c>
      <c r="L410" s="848">
        <f t="shared" si="353"/>
        <v>0</v>
      </c>
      <c r="M410" s="848">
        <f t="shared" si="353"/>
        <v>0</v>
      </c>
      <c r="N410" s="848">
        <f t="shared" si="353"/>
        <v>0</v>
      </c>
      <c r="O410" s="848">
        <f t="shared" si="353"/>
        <v>0</v>
      </c>
      <c r="P410" s="848">
        <f t="shared" si="353"/>
        <v>0</v>
      </c>
      <c r="Q410" s="848">
        <f t="shared" si="353"/>
        <v>0</v>
      </c>
      <c r="R410" s="848">
        <v>0</v>
      </c>
      <c r="S410" s="848">
        <f>S411+S414</f>
        <v>87054</v>
      </c>
      <c r="T410" s="855">
        <f t="shared" si="341"/>
        <v>78781.112999999998</v>
      </c>
      <c r="U410" s="848">
        <f t="shared" ref="U410:AH410" si="354">U411+U414</f>
        <v>0</v>
      </c>
      <c r="V410" s="848">
        <f t="shared" si="354"/>
        <v>0</v>
      </c>
      <c r="W410" s="848">
        <f t="shared" si="354"/>
        <v>9359.1129999999994</v>
      </c>
      <c r="X410" s="848">
        <f t="shared" si="354"/>
        <v>0</v>
      </c>
      <c r="Y410" s="848">
        <f t="shared" si="354"/>
        <v>0</v>
      </c>
      <c r="Z410" s="848">
        <f t="shared" si="354"/>
        <v>18000</v>
      </c>
      <c r="AA410" s="848">
        <f t="shared" si="354"/>
        <v>0</v>
      </c>
      <c r="AB410" s="848">
        <f t="shared" si="354"/>
        <v>0</v>
      </c>
      <c r="AC410" s="848">
        <f t="shared" si="354"/>
        <v>0</v>
      </c>
      <c r="AD410" s="848"/>
      <c r="AE410" s="848"/>
      <c r="AF410" s="848">
        <f t="shared" si="354"/>
        <v>0</v>
      </c>
      <c r="AG410" s="848">
        <f t="shared" si="354"/>
        <v>0</v>
      </c>
      <c r="AH410" s="848">
        <f t="shared" si="354"/>
        <v>51422</v>
      </c>
      <c r="AI410" s="848">
        <f t="shared" si="353"/>
        <v>45459</v>
      </c>
      <c r="AJ410" s="848">
        <f t="shared" si="353"/>
        <v>0</v>
      </c>
      <c r="AK410" s="848">
        <f t="shared" si="353"/>
        <v>0</v>
      </c>
      <c r="AL410" s="848">
        <f t="shared" si="353"/>
        <v>9359</v>
      </c>
      <c r="AM410" s="848">
        <f t="shared" si="353"/>
        <v>0</v>
      </c>
      <c r="AN410" s="848">
        <f t="shared" si="353"/>
        <v>0</v>
      </c>
      <c r="AO410" s="848">
        <f t="shared" si="353"/>
        <v>0</v>
      </c>
      <c r="AP410" s="848">
        <f t="shared" si="353"/>
        <v>0</v>
      </c>
      <c r="AQ410" s="848">
        <f t="shared" si="353"/>
        <v>0</v>
      </c>
      <c r="AR410" s="848">
        <f t="shared" si="353"/>
        <v>0</v>
      </c>
      <c r="AS410" s="848"/>
      <c r="AT410" s="848">
        <f t="shared" si="353"/>
        <v>0</v>
      </c>
      <c r="AU410" s="848">
        <f t="shared" si="353"/>
        <v>0</v>
      </c>
      <c r="AV410" s="848">
        <f t="shared" si="353"/>
        <v>0</v>
      </c>
      <c r="AW410" s="848">
        <f t="shared" si="353"/>
        <v>0</v>
      </c>
      <c r="AX410" s="848">
        <f t="shared" si="353"/>
        <v>36100</v>
      </c>
      <c r="AY410" s="848">
        <f t="shared" si="353"/>
        <v>3141</v>
      </c>
      <c r="AZ410" s="848">
        <f t="shared" si="353"/>
        <v>0</v>
      </c>
      <c r="BA410" s="848">
        <f t="shared" si="353"/>
        <v>0</v>
      </c>
      <c r="BB410" s="848">
        <f t="shared" si="353"/>
        <v>0</v>
      </c>
      <c r="BC410" s="848">
        <f t="shared" si="353"/>
        <v>0</v>
      </c>
      <c r="BD410" s="848">
        <f t="shared" si="353"/>
        <v>0</v>
      </c>
      <c r="BE410" s="848">
        <f t="shared" si="353"/>
        <v>0</v>
      </c>
      <c r="BF410" s="848">
        <f t="shared" si="353"/>
        <v>0</v>
      </c>
      <c r="BG410" s="848">
        <f t="shared" si="353"/>
        <v>0</v>
      </c>
      <c r="BH410" s="848">
        <f t="shared" si="353"/>
        <v>0</v>
      </c>
      <c r="BI410" s="848">
        <f t="shared" si="353"/>
        <v>0</v>
      </c>
      <c r="BJ410" s="848">
        <f t="shared" si="353"/>
        <v>0</v>
      </c>
      <c r="BK410" s="848">
        <f t="shared" si="353"/>
        <v>0</v>
      </c>
      <c r="BL410" s="848">
        <f t="shared" si="353"/>
        <v>0</v>
      </c>
      <c r="BM410" s="848">
        <f t="shared" si="353"/>
        <v>0</v>
      </c>
      <c r="BN410" s="848">
        <f t="shared" si="353"/>
        <v>3141</v>
      </c>
      <c r="BO410" s="848">
        <f t="shared" si="334"/>
        <v>4670.8819999999996</v>
      </c>
      <c r="BP410" s="848">
        <f t="shared" si="353"/>
        <v>0</v>
      </c>
      <c r="BQ410" s="848">
        <f t="shared" si="353"/>
        <v>0</v>
      </c>
      <c r="BR410" s="848">
        <f t="shared" si="353"/>
        <v>0</v>
      </c>
      <c r="BS410" s="848">
        <f t="shared" si="353"/>
        <v>1530.67</v>
      </c>
      <c r="BT410" s="848">
        <f t="shared" si="353"/>
        <v>0</v>
      </c>
      <c r="BU410" s="848">
        <f t="shared" si="353"/>
        <v>0</v>
      </c>
      <c r="BV410" s="848">
        <f t="shared" si="353"/>
        <v>0</v>
      </c>
      <c r="BW410" s="848">
        <f t="shared" si="353"/>
        <v>0</v>
      </c>
      <c r="BX410" s="848">
        <f t="shared" si="353"/>
        <v>0</v>
      </c>
      <c r="BY410" s="848">
        <f t="shared" si="353"/>
        <v>0</v>
      </c>
      <c r="BZ410" s="848">
        <f t="shared" si="353"/>
        <v>0</v>
      </c>
      <c r="CA410" s="848">
        <f t="shared" si="353"/>
        <v>0</v>
      </c>
      <c r="CB410" s="848">
        <f t="shared" si="353"/>
        <v>0</v>
      </c>
      <c r="CC410" s="848">
        <f t="shared" si="353"/>
        <v>0</v>
      </c>
      <c r="CD410" s="848">
        <f t="shared" si="353"/>
        <v>0</v>
      </c>
      <c r="CE410" s="848">
        <f t="shared" si="353"/>
        <v>3140.212</v>
      </c>
      <c r="CF410" s="848">
        <f>BO410/AY410%</f>
        <v>148.70684495383634</v>
      </c>
      <c r="CG410" s="848"/>
      <c r="CH410" s="848"/>
      <c r="CI410" s="848"/>
      <c r="CJ410" s="848"/>
      <c r="CK410" s="848"/>
      <c r="CL410" s="848"/>
      <c r="CM410" s="848"/>
      <c r="CN410" s="848"/>
      <c r="CO410" s="848"/>
      <c r="CP410" s="848"/>
      <c r="CQ410" s="848"/>
      <c r="CR410" s="848"/>
      <c r="CS410" s="848"/>
      <c r="CT410" s="848"/>
      <c r="CU410" s="848"/>
      <c r="CV410" s="848"/>
      <c r="CW410" s="848">
        <f t="shared" si="289"/>
        <v>99.974912448264888</v>
      </c>
    </row>
    <row r="411" spans="1:101" s="851" customFormat="1" ht="24.75" customHeight="1">
      <c r="A411" s="845" t="s">
        <v>30</v>
      </c>
      <c r="B411" s="845"/>
      <c r="C411" s="857" t="s">
        <v>358</v>
      </c>
      <c r="D411" s="846">
        <f>D412+D413</f>
        <v>0</v>
      </c>
      <c r="E411" s="845">
        <f t="shared" ref="E411:CE411" si="355">E412+E413</f>
        <v>0</v>
      </c>
      <c r="F411" s="847"/>
      <c r="G411" s="845"/>
      <c r="H411" s="850">
        <f t="shared" si="352"/>
        <v>79991</v>
      </c>
      <c r="I411" s="848">
        <f t="shared" ref="I411:AX411" si="356">I412+I413</f>
        <v>0</v>
      </c>
      <c r="J411" s="848">
        <f t="shared" si="356"/>
        <v>0</v>
      </c>
      <c r="K411" s="848">
        <f t="shared" si="356"/>
        <v>0</v>
      </c>
      <c r="L411" s="848">
        <f t="shared" si="356"/>
        <v>0</v>
      </c>
      <c r="M411" s="848">
        <f t="shared" si="356"/>
        <v>0</v>
      </c>
      <c r="N411" s="848">
        <f t="shared" si="356"/>
        <v>0</v>
      </c>
      <c r="O411" s="848">
        <f t="shared" si="356"/>
        <v>0</v>
      </c>
      <c r="P411" s="848">
        <f t="shared" si="356"/>
        <v>0</v>
      </c>
      <c r="Q411" s="848">
        <f t="shared" si="356"/>
        <v>0</v>
      </c>
      <c r="R411" s="848">
        <v>0</v>
      </c>
      <c r="S411" s="848">
        <f>S412+S413</f>
        <v>79991</v>
      </c>
      <c r="T411" s="848">
        <f t="shared" si="356"/>
        <v>75781.112999999998</v>
      </c>
      <c r="U411" s="848">
        <f t="shared" si="356"/>
        <v>0</v>
      </c>
      <c r="V411" s="848">
        <f t="shared" si="356"/>
        <v>0</v>
      </c>
      <c r="W411" s="848">
        <f t="shared" si="356"/>
        <v>9359.1129999999994</v>
      </c>
      <c r="X411" s="848">
        <f t="shared" si="356"/>
        <v>0</v>
      </c>
      <c r="Y411" s="848">
        <f t="shared" si="356"/>
        <v>0</v>
      </c>
      <c r="Z411" s="848">
        <f t="shared" si="356"/>
        <v>18000</v>
      </c>
      <c r="AA411" s="848">
        <f t="shared" si="356"/>
        <v>0</v>
      </c>
      <c r="AB411" s="848">
        <f t="shared" si="356"/>
        <v>0</v>
      </c>
      <c r="AC411" s="848">
        <f t="shared" si="356"/>
        <v>0</v>
      </c>
      <c r="AD411" s="848"/>
      <c r="AE411" s="848"/>
      <c r="AF411" s="848">
        <f t="shared" si="356"/>
        <v>0</v>
      </c>
      <c r="AG411" s="848">
        <f t="shared" si="356"/>
        <v>0</v>
      </c>
      <c r="AH411" s="848">
        <f t="shared" si="356"/>
        <v>48422</v>
      </c>
      <c r="AI411" s="848">
        <f t="shared" si="356"/>
        <v>45459</v>
      </c>
      <c r="AJ411" s="848">
        <f t="shared" si="356"/>
        <v>0</v>
      </c>
      <c r="AK411" s="848">
        <f t="shared" si="356"/>
        <v>0</v>
      </c>
      <c r="AL411" s="848">
        <f t="shared" si="356"/>
        <v>9359</v>
      </c>
      <c r="AM411" s="848">
        <f t="shared" si="356"/>
        <v>0</v>
      </c>
      <c r="AN411" s="848">
        <f t="shared" si="356"/>
        <v>0</v>
      </c>
      <c r="AO411" s="848">
        <f t="shared" si="356"/>
        <v>0</v>
      </c>
      <c r="AP411" s="848">
        <f t="shared" si="356"/>
        <v>0</v>
      </c>
      <c r="AQ411" s="848">
        <f t="shared" si="356"/>
        <v>0</v>
      </c>
      <c r="AR411" s="848">
        <f t="shared" si="356"/>
        <v>0</v>
      </c>
      <c r="AS411" s="848"/>
      <c r="AT411" s="848">
        <f t="shared" si="356"/>
        <v>0</v>
      </c>
      <c r="AU411" s="848">
        <f t="shared" si="356"/>
        <v>0</v>
      </c>
      <c r="AV411" s="848">
        <f t="shared" si="356"/>
        <v>0</v>
      </c>
      <c r="AW411" s="848">
        <f t="shared" si="356"/>
        <v>0</v>
      </c>
      <c r="AX411" s="848">
        <f t="shared" si="356"/>
        <v>36100</v>
      </c>
      <c r="AY411" s="848">
        <f t="shared" si="355"/>
        <v>2783</v>
      </c>
      <c r="AZ411" s="848">
        <f t="shared" si="355"/>
        <v>0</v>
      </c>
      <c r="BA411" s="848">
        <f t="shared" si="355"/>
        <v>0</v>
      </c>
      <c r="BB411" s="848">
        <f t="shared" si="355"/>
        <v>0</v>
      </c>
      <c r="BC411" s="848">
        <f t="shared" si="355"/>
        <v>0</v>
      </c>
      <c r="BD411" s="848">
        <f t="shared" si="355"/>
        <v>0</v>
      </c>
      <c r="BE411" s="848">
        <f t="shared" si="355"/>
        <v>0</v>
      </c>
      <c r="BF411" s="848">
        <f t="shared" si="355"/>
        <v>0</v>
      </c>
      <c r="BG411" s="848">
        <f t="shared" si="355"/>
        <v>0</v>
      </c>
      <c r="BH411" s="848">
        <f t="shared" si="355"/>
        <v>0</v>
      </c>
      <c r="BI411" s="848">
        <f t="shared" si="355"/>
        <v>0</v>
      </c>
      <c r="BJ411" s="848">
        <f t="shared" si="355"/>
        <v>0</v>
      </c>
      <c r="BK411" s="848">
        <f t="shared" si="355"/>
        <v>0</v>
      </c>
      <c r="BL411" s="848">
        <f t="shared" si="355"/>
        <v>0</v>
      </c>
      <c r="BM411" s="848">
        <f t="shared" si="355"/>
        <v>0</v>
      </c>
      <c r="BN411" s="848">
        <f t="shared" si="355"/>
        <v>2783</v>
      </c>
      <c r="BO411" s="848">
        <f t="shared" si="334"/>
        <v>4312.8819999999996</v>
      </c>
      <c r="BP411" s="848">
        <f t="shared" si="355"/>
        <v>0</v>
      </c>
      <c r="BQ411" s="848">
        <f t="shared" si="355"/>
        <v>0</v>
      </c>
      <c r="BR411" s="848">
        <f t="shared" si="355"/>
        <v>0</v>
      </c>
      <c r="BS411" s="848">
        <f t="shared" si="355"/>
        <v>1530.67</v>
      </c>
      <c r="BT411" s="848">
        <f t="shared" si="355"/>
        <v>0</v>
      </c>
      <c r="BU411" s="848">
        <f t="shared" si="355"/>
        <v>0</v>
      </c>
      <c r="BV411" s="848">
        <f t="shared" si="355"/>
        <v>0</v>
      </c>
      <c r="BW411" s="848">
        <f t="shared" si="355"/>
        <v>0</v>
      </c>
      <c r="BX411" s="848">
        <f t="shared" si="355"/>
        <v>0</v>
      </c>
      <c r="BY411" s="848">
        <f t="shared" si="355"/>
        <v>0</v>
      </c>
      <c r="BZ411" s="848">
        <f t="shared" si="355"/>
        <v>0</v>
      </c>
      <c r="CA411" s="848">
        <f t="shared" si="355"/>
        <v>0</v>
      </c>
      <c r="CB411" s="848">
        <f t="shared" si="355"/>
        <v>0</v>
      </c>
      <c r="CC411" s="848">
        <f t="shared" si="355"/>
        <v>0</v>
      </c>
      <c r="CD411" s="848">
        <f t="shared" si="355"/>
        <v>0</v>
      </c>
      <c r="CE411" s="848">
        <f t="shared" si="355"/>
        <v>2782.212</v>
      </c>
      <c r="CF411" s="848">
        <f>BO411/AY411%</f>
        <v>154.97240388070426</v>
      </c>
      <c r="CG411" s="848"/>
      <c r="CH411" s="848"/>
      <c r="CI411" s="848"/>
      <c r="CJ411" s="848"/>
      <c r="CK411" s="848"/>
      <c r="CL411" s="848"/>
      <c r="CM411" s="848"/>
      <c r="CN411" s="848"/>
      <c r="CO411" s="848"/>
      <c r="CP411" s="848"/>
      <c r="CQ411" s="848"/>
      <c r="CR411" s="848"/>
      <c r="CS411" s="848"/>
      <c r="CT411" s="848"/>
      <c r="CU411" s="848"/>
      <c r="CV411" s="848"/>
      <c r="CW411" s="848">
        <f t="shared" si="289"/>
        <v>99.971685231764283</v>
      </c>
    </row>
    <row r="412" spans="1:101" s="851" customFormat="1" ht="32.450000000000003" customHeight="1">
      <c r="A412" s="845"/>
      <c r="B412" s="852" t="s">
        <v>834</v>
      </c>
      <c r="C412" s="852" t="s">
        <v>1051</v>
      </c>
      <c r="D412" s="846"/>
      <c r="E412" s="845"/>
      <c r="F412" s="853" t="s">
        <v>957</v>
      </c>
      <c r="G412" s="846" t="s">
        <v>1052</v>
      </c>
      <c r="H412" s="850">
        <f>SUM(I412:S412)</f>
        <v>79991</v>
      </c>
      <c r="I412" s="860"/>
      <c r="J412" s="848"/>
      <c r="K412" s="848"/>
      <c r="L412" s="848"/>
      <c r="M412" s="848"/>
      <c r="N412" s="848"/>
      <c r="O412" s="848"/>
      <c r="P412" s="848"/>
      <c r="Q412" s="848"/>
      <c r="R412" s="862"/>
      <c r="S412" s="848">
        <v>79991</v>
      </c>
      <c r="T412" s="855">
        <f t="shared" si="341"/>
        <v>65922</v>
      </c>
      <c r="U412" s="848"/>
      <c r="V412" s="848"/>
      <c r="W412" s="848"/>
      <c r="X412" s="848"/>
      <c r="Y412" s="848"/>
      <c r="Z412" s="855">
        <v>18000</v>
      </c>
      <c r="AA412" s="848"/>
      <c r="AB412" s="848"/>
      <c r="AC412" s="848"/>
      <c r="AD412" s="848"/>
      <c r="AE412" s="848"/>
      <c r="AF412" s="848"/>
      <c r="AG412" s="848"/>
      <c r="AH412" s="855">
        <v>47922</v>
      </c>
      <c r="AI412" s="855">
        <f>AX412</f>
        <v>35600</v>
      </c>
      <c r="AJ412" s="848"/>
      <c r="AK412" s="848"/>
      <c r="AL412" s="848"/>
      <c r="AM412" s="848"/>
      <c r="AN412" s="848"/>
      <c r="AO412" s="848"/>
      <c r="AP412" s="848"/>
      <c r="AQ412" s="848"/>
      <c r="AR412" s="848"/>
      <c r="AS412" s="848"/>
      <c r="AT412" s="848"/>
      <c r="AU412" s="848"/>
      <c r="AV412" s="848"/>
      <c r="AW412" s="848"/>
      <c r="AX412" s="855">
        <f>14000+11600+7000+3000</f>
        <v>35600</v>
      </c>
      <c r="AY412" s="855">
        <f t="shared" ref="AY412:AY415" si="357">SUM(AZ412:BN412)</f>
        <v>2783</v>
      </c>
      <c r="AZ412" s="848"/>
      <c r="BA412" s="848"/>
      <c r="BB412" s="848"/>
      <c r="BC412" s="848"/>
      <c r="BD412" s="848"/>
      <c r="BE412" s="848"/>
      <c r="BF412" s="848"/>
      <c r="BG412" s="848"/>
      <c r="BH412" s="848"/>
      <c r="BI412" s="848"/>
      <c r="BJ412" s="848"/>
      <c r="BK412" s="848"/>
      <c r="BL412" s="848"/>
      <c r="BM412" s="848"/>
      <c r="BN412" s="855">
        <f>'[10]bieu cu'!H70</f>
        <v>2783</v>
      </c>
      <c r="BO412" s="848">
        <f t="shared" si="334"/>
        <v>2782.212</v>
      </c>
      <c r="BP412" s="848"/>
      <c r="BQ412" s="848"/>
      <c r="BR412" s="848"/>
      <c r="BS412" s="848"/>
      <c r="BT412" s="848"/>
      <c r="BU412" s="848"/>
      <c r="BV412" s="848"/>
      <c r="BW412" s="848"/>
      <c r="BX412" s="848"/>
      <c r="BY412" s="848"/>
      <c r="BZ412" s="848"/>
      <c r="CA412" s="848"/>
      <c r="CB412" s="848"/>
      <c r="CC412" s="848"/>
      <c r="CD412" s="848"/>
      <c r="CE412" s="855">
        <f>'[10]bieu cu'!M70</f>
        <v>2782.212</v>
      </c>
      <c r="CF412" s="848">
        <f>BO412/AY412%</f>
        <v>99.971685231764283</v>
      </c>
      <c r="CG412" s="848"/>
      <c r="CH412" s="848"/>
      <c r="CI412" s="848"/>
      <c r="CJ412" s="848"/>
      <c r="CK412" s="848"/>
      <c r="CL412" s="848"/>
      <c r="CM412" s="848"/>
      <c r="CN412" s="848"/>
      <c r="CO412" s="848"/>
      <c r="CP412" s="848"/>
      <c r="CQ412" s="848"/>
      <c r="CR412" s="848"/>
      <c r="CS412" s="848"/>
      <c r="CT412" s="848"/>
      <c r="CU412" s="848"/>
      <c r="CV412" s="848"/>
      <c r="CW412" s="848">
        <f t="shared" ref="CW412:CW458" si="358">CE412/BN412*100</f>
        <v>99.971685231764283</v>
      </c>
    </row>
    <row r="413" spans="1:101" s="851" customFormat="1" ht="32.450000000000003" customHeight="1">
      <c r="A413" s="845"/>
      <c r="B413" s="852" t="s">
        <v>834</v>
      </c>
      <c r="C413" s="852" t="s">
        <v>1053</v>
      </c>
      <c r="D413" s="846"/>
      <c r="E413" s="845"/>
      <c r="F413" s="853" t="s">
        <v>1010</v>
      </c>
      <c r="G413" s="846" t="s">
        <v>1054</v>
      </c>
      <c r="H413" s="850">
        <f>SUM(I413:S413)</f>
        <v>0</v>
      </c>
      <c r="I413" s="855"/>
      <c r="J413" s="848"/>
      <c r="K413" s="848"/>
      <c r="L413" s="848"/>
      <c r="M413" s="848"/>
      <c r="N413" s="848"/>
      <c r="O413" s="848"/>
      <c r="P413" s="848"/>
      <c r="Q413" s="848"/>
      <c r="R413" s="848"/>
      <c r="S413" s="855"/>
      <c r="T413" s="855">
        <f>W413+AH413</f>
        <v>9859.1129999999994</v>
      </c>
      <c r="U413" s="848"/>
      <c r="V413" s="848"/>
      <c r="W413" s="855">
        <v>9359.1129999999994</v>
      </c>
      <c r="X413" s="848"/>
      <c r="Y413" s="848"/>
      <c r="Z413" s="848"/>
      <c r="AA413" s="848"/>
      <c r="AB413" s="848"/>
      <c r="AC413" s="848"/>
      <c r="AD413" s="848"/>
      <c r="AE413" s="848"/>
      <c r="AF413" s="848"/>
      <c r="AG413" s="848"/>
      <c r="AH413" s="855">
        <v>500</v>
      </c>
      <c r="AI413" s="855">
        <f>AL413+AX413</f>
        <v>9859</v>
      </c>
      <c r="AJ413" s="848"/>
      <c r="AK413" s="848"/>
      <c r="AL413" s="855">
        <v>9359</v>
      </c>
      <c r="AM413" s="848"/>
      <c r="AN413" s="848"/>
      <c r="AO413" s="848"/>
      <c r="AP413" s="848"/>
      <c r="AQ413" s="848"/>
      <c r="AR413" s="848"/>
      <c r="AS413" s="848"/>
      <c r="AT413" s="848"/>
      <c r="AU413" s="848"/>
      <c r="AV413" s="848"/>
      <c r="AW413" s="848"/>
      <c r="AX413" s="855">
        <v>500</v>
      </c>
      <c r="AY413" s="855">
        <f t="shared" si="357"/>
        <v>0</v>
      </c>
      <c r="AZ413" s="848"/>
      <c r="BA413" s="848"/>
      <c r="BB413" s="848"/>
      <c r="BC413" s="848"/>
      <c r="BD413" s="848"/>
      <c r="BE413" s="848"/>
      <c r="BF413" s="848"/>
      <c r="BG413" s="848"/>
      <c r="BH413" s="848"/>
      <c r="BI413" s="848"/>
      <c r="BJ413" s="848"/>
      <c r="BK413" s="848"/>
      <c r="BL413" s="848"/>
      <c r="BM413" s="848"/>
      <c r="BN413" s="848"/>
      <c r="BO413" s="848">
        <f t="shared" si="334"/>
        <v>1530.67</v>
      </c>
      <c r="BP413" s="848"/>
      <c r="BQ413" s="848"/>
      <c r="BR413" s="848"/>
      <c r="BS413" s="855">
        <v>1530.67</v>
      </c>
      <c r="BT413" s="848"/>
      <c r="BU413" s="848"/>
      <c r="BV413" s="848"/>
      <c r="BW413" s="848"/>
      <c r="BX413" s="848"/>
      <c r="BY413" s="848"/>
      <c r="BZ413" s="848"/>
      <c r="CA413" s="848"/>
      <c r="CB413" s="848"/>
      <c r="CC413" s="848"/>
      <c r="CD413" s="848"/>
      <c r="CE413" s="848"/>
      <c r="CF413" s="848"/>
      <c r="CG413" s="848"/>
      <c r="CH413" s="848"/>
      <c r="CI413" s="848"/>
      <c r="CJ413" s="848"/>
      <c r="CK413" s="848"/>
      <c r="CL413" s="848"/>
      <c r="CM413" s="848"/>
      <c r="CN413" s="848"/>
      <c r="CO413" s="848"/>
      <c r="CP413" s="848"/>
      <c r="CQ413" s="848"/>
      <c r="CR413" s="848"/>
      <c r="CS413" s="848"/>
      <c r="CT413" s="848"/>
      <c r="CU413" s="848"/>
      <c r="CV413" s="848"/>
      <c r="CW413" s="848"/>
    </row>
    <row r="414" spans="1:101" s="851" customFormat="1" ht="27.6" customHeight="1">
      <c r="A414" s="845" t="s">
        <v>31</v>
      </c>
      <c r="B414" s="852"/>
      <c r="C414" s="857" t="s">
        <v>508</v>
      </c>
      <c r="D414" s="846">
        <f>D415</f>
        <v>0</v>
      </c>
      <c r="E414" s="845">
        <f t="shared" ref="E414:CE414" si="359">E415</f>
        <v>0</v>
      </c>
      <c r="F414" s="847"/>
      <c r="G414" s="845"/>
      <c r="H414" s="850">
        <f t="shared" si="352"/>
        <v>7063</v>
      </c>
      <c r="I414" s="848">
        <f t="shared" ref="I414:AX414" si="360">I415</f>
        <v>0</v>
      </c>
      <c r="J414" s="848">
        <f t="shared" si="360"/>
        <v>0</v>
      </c>
      <c r="K414" s="848">
        <f t="shared" si="360"/>
        <v>0</v>
      </c>
      <c r="L414" s="848">
        <f t="shared" si="360"/>
        <v>0</v>
      </c>
      <c r="M414" s="848">
        <f t="shared" si="360"/>
        <v>0</v>
      </c>
      <c r="N414" s="848">
        <f t="shared" si="360"/>
        <v>0</v>
      </c>
      <c r="O414" s="848">
        <f t="shared" si="360"/>
        <v>0</v>
      </c>
      <c r="P414" s="848">
        <f t="shared" si="360"/>
        <v>0</v>
      </c>
      <c r="Q414" s="848">
        <f t="shared" si="360"/>
        <v>0</v>
      </c>
      <c r="R414" s="848"/>
      <c r="S414" s="848">
        <f t="shared" si="360"/>
        <v>7063</v>
      </c>
      <c r="T414" s="848">
        <f t="shared" si="360"/>
        <v>0</v>
      </c>
      <c r="U414" s="848">
        <f t="shared" si="360"/>
        <v>0</v>
      </c>
      <c r="V414" s="848">
        <f t="shared" si="360"/>
        <v>0</v>
      </c>
      <c r="W414" s="848">
        <f t="shared" si="360"/>
        <v>0</v>
      </c>
      <c r="X414" s="848">
        <f t="shared" si="360"/>
        <v>0</v>
      </c>
      <c r="Y414" s="848">
        <f t="shared" si="360"/>
        <v>0</v>
      </c>
      <c r="Z414" s="848">
        <f t="shared" si="360"/>
        <v>0</v>
      </c>
      <c r="AA414" s="848">
        <f t="shared" si="360"/>
        <v>0</v>
      </c>
      <c r="AB414" s="848">
        <f t="shared" si="360"/>
        <v>0</v>
      </c>
      <c r="AC414" s="848">
        <f t="shared" si="360"/>
        <v>0</v>
      </c>
      <c r="AD414" s="848"/>
      <c r="AE414" s="848"/>
      <c r="AF414" s="848">
        <f t="shared" si="360"/>
        <v>0</v>
      </c>
      <c r="AG414" s="848">
        <f t="shared" si="360"/>
        <v>0</v>
      </c>
      <c r="AH414" s="848">
        <v>3000</v>
      </c>
      <c r="AI414" s="848">
        <f t="shared" si="360"/>
        <v>0</v>
      </c>
      <c r="AJ414" s="848">
        <f t="shared" si="360"/>
        <v>0</v>
      </c>
      <c r="AK414" s="848">
        <f t="shared" si="360"/>
        <v>0</v>
      </c>
      <c r="AL414" s="848">
        <f t="shared" si="360"/>
        <v>0</v>
      </c>
      <c r="AM414" s="848">
        <f t="shared" si="360"/>
        <v>0</v>
      </c>
      <c r="AN414" s="848">
        <f t="shared" si="360"/>
        <v>0</v>
      </c>
      <c r="AO414" s="848">
        <f t="shared" si="360"/>
        <v>0</v>
      </c>
      <c r="AP414" s="848">
        <f t="shared" si="360"/>
        <v>0</v>
      </c>
      <c r="AQ414" s="848">
        <f t="shared" si="360"/>
        <v>0</v>
      </c>
      <c r="AR414" s="848">
        <f t="shared" si="360"/>
        <v>0</v>
      </c>
      <c r="AS414" s="848"/>
      <c r="AT414" s="848">
        <f t="shared" si="360"/>
        <v>0</v>
      </c>
      <c r="AU414" s="848">
        <f t="shared" si="360"/>
        <v>0</v>
      </c>
      <c r="AV414" s="848">
        <f t="shared" si="360"/>
        <v>0</v>
      </c>
      <c r="AW414" s="848">
        <f t="shared" si="360"/>
        <v>0</v>
      </c>
      <c r="AX414" s="848">
        <f t="shared" si="360"/>
        <v>0</v>
      </c>
      <c r="AY414" s="848">
        <f t="shared" si="359"/>
        <v>358</v>
      </c>
      <c r="AZ414" s="848">
        <f t="shared" si="359"/>
        <v>0</v>
      </c>
      <c r="BA414" s="848"/>
      <c r="BB414" s="848"/>
      <c r="BC414" s="848">
        <f t="shared" si="359"/>
        <v>0</v>
      </c>
      <c r="BD414" s="848">
        <f t="shared" si="359"/>
        <v>0</v>
      </c>
      <c r="BE414" s="848"/>
      <c r="BF414" s="848">
        <f t="shared" si="359"/>
        <v>0</v>
      </c>
      <c r="BG414" s="848">
        <f t="shared" si="359"/>
        <v>0</v>
      </c>
      <c r="BH414" s="848">
        <f t="shared" si="359"/>
        <v>0</v>
      </c>
      <c r="BI414" s="848">
        <f t="shared" si="359"/>
        <v>0</v>
      </c>
      <c r="BJ414" s="848">
        <f t="shared" si="359"/>
        <v>0</v>
      </c>
      <c r="BK414" s="848">
        <f t="shared" si="359"/>
        <v>0</v>
      </c>
      <c r="BL414" s="848">
        <f t="shared" si="359"/>
        <v>0</v>
      </c>
      <c r="BM414" s="848">
        <f t="shared" si="359"/>
        <v>0</v>
      </c>
      <c r="BN414" s="848">
        <f t="shared" si="359"/>
        <v>358</v>
      </c>
      <c r="BO414" s="848">
        <f t="shared" si="334"/>
        <v>358</v>
      </c>
      <c r="BP414" s="848">
        <f t="shared" si="359"/>
        <v>0</v>
      </c>
      <c r="BQ414" s="848"/>
      <c r="BR414" s="848"/>
      <c r="BS414" s="848">
        <f t="shared" si="359"/>
        <v>0</v>
      </c>
      <c r="BT414" s="848">
        <f t="shared" si="359"/>
        <v>0</v>
      </c>
      <c r="BU414" s="848"/>
      <c r="BV414" s="848">
        <f t="shared" si="359"/>
        <v>0</v>
      </c>
      <c r="BW414" s="848">
        <f t="shared" si="359"/>
        <v>0</v>
      </c>
      <c r="BX414" s="848">
        <f t="shared" si="359"/>
        <v>0</v>
      </c>
      <c r="BY414" s="848">
        <f t="shared" si="359"/>
        <v>0</v>
      </c>
      <c r="BZ414" s="848">
        <f t="shared" si="359"/>
        <v>0</v>
      </c>
      <c r="CA414" s="848">
        <f t="shared" si="359"/>
        <v>0</v>
      </c>
      <c r="CB414" s="848">
        <f t="shared" si="359"/>
        <v>0</v>
      </c>
      <c r="CC414" s="848">
        <f t="shared" si="359"/>
        <v>0</v>
      </c>
      <c r="CD414" s="848">
        <f t="shared" si="359"/>
        <v>0</v>
      </c>
      <c r="CE414" s="848">
        <f t="shared" si="359"/>
        <v>358</v>
      </c>
      <c r="CF414" s="848">
        <f>BO414/AY414%</f>
        <v>100</v>
      </c>
      <c r="CG414" s="848"/>
      <c r="CH414" s="848"/>
      <c r="CI414" s="848"/>
      <c r="CJ414" s="848"/>
      <c r="CK414" s="848"/>
      <c r="CL414" s="848"/>
      <c r="CM414" s="848"/>
      <c r="CN414" s="848"/>
      <c r="CO414" s="848"/>
      <c r="CP414" s="848"/>
      <c r="CQ414" s="848"/>
      <c r="CR414" s="848"/>
      <c r="CS414" s="848"/>
      <c r="CT414" s="848"/>
      <c r="CU414" s="848"/>
      <c r="CV414" s="848"/>
      <c r="CW414" s="848">
        <f t="shared" si="358"/>
        <v>100</v>
      </c>
    </row>
    <row r="415" spans="1:101" ht="30.6" customHeight="1">
      <c r="A415" s="846"/>
      <c r="B415" s="852" t="s">
        <v>834</v>
      </c>
      <c r="C415" s="852" t="s">
        <v>1055</v>
      </c>
      <c r="D415" s="846"/>
      <c r="E415" s="846"/>
      <c r="F415" s="853">
        <v>2017</v>
      </c>
      <c r="G415" s="846" t="s">
        <v>1056</v>
      </c>
      <c r="H415" s="850">
        <f t="shared" si="352"/>
        <v>7063</v>
      </c>
      <c r="I415" s="860"/>
      <c r="J415" s="855"/>
      <c r="K415" s="855"/>
      <c r="L415" s="855"/>
      <c r="M415" s="855"/>
      <c r="N415" s="855"/>
      <c r="O415" s="855"/>
      <c r="P415" s="855"/>
      <c r="Q415" s="855"/>
      <c r="R415" s="855"/>
      <c r="S415" s="855">
        <v>7063</v>
      </c>
      <c r="T415" s="855">
        <f t="shared" si="341"/>
        <v>0</v>
      </c>
      <c r="U415" s="855"/>
      <c r="V415" s="855"/>
      <c r="W415" s="855"/>
      <c r="X415" s="855"/>
      <c r="Y415" s="855"/>
      <c r="Z415" s="855"/>
      <c r="AA415" s="855"/>
      <c r="AB415" s="855"/>
      <c r="AC415" s="855"/>
      <c r="AD415" s="855"/>
      <c r="AE415" s="855"/>
      <c r="AF415" s="855"/>
      <c r="AG415" s="855"/>
      <c r="AH415" s="855"/>
      <c r="AI415" s="855">
        <f>AX415</f>
        <v>0</v>
      </c>
      <c r="AJ415" s="855"/>
      <c r="AK415" s="855"/>
      <c r="AL415" s="855"/>
      <c r="AM415" s="855"/>
      <c r="AN415" s="855"/>
      <c r="AO415" s="855"/>
      <c r="AP415" s="855"/>
      <c r="AQ415" s="855"/>
      <c r="AR415" s="855"/>
      <c r="AS415" s="855"/>
      <c r="AT415" s="855"/>
      <c r="AU415" s="855"/>
      <c r="AV415" s="855"/>
      <c r="AW415" s="855"/>
      <c r="AX415" s="855"/>
      <c r="AY415" s="855">
        <f t="shared" si="357"/>
        <v>358</v>
      </c>
      <c r="AZ415" s="855"/>
      <c r="BA415" s="855"/>
      <c r="BB415" s="855"/>
      <c r="BC415" s="855"/>
      <c r="BD415" s="855"/>
      <c r="BE415" s="855"/>
      <c r="BF415" s="855"/>
      <c r="BG415" s="855"/>
      <c r="BH415" s="855"/>
      <c r="BI415" s="855"/>
      <c r="BJ415" s="855"/>
      <c r="BK415" s="855"/>
      <c r="BL415" s="855"/>
      <c r="BM415" s="855"/>
      <c r="BN415" s="855">
        <f>'[10]bieu cu'!H114</f>
        <v>358</v>
      </c>
      <c r="BO415" s="848">
        <f t="shared" si="334"/>
        <v>358</v>
      </c>
      <c r="BP415" s="855"/>
      <c r="BQ415" s="855"/>
      <c r="BR415" s="855"/>
      <c r="BS415" s="855"/>
      <c r="BT415" s="855"/>
      <c r="BU415" s="855"/>
      <c r="BV415" s="855"/>
      <c r="BW415" s="855"/>
      <c r="BX415" s="855"/>
      <c r="BY415" s="855"/>
      <c r="BZ415" s="855"/>
      <c r="CA415" s="855"/>
      <c r="CB415" s="855"/>
      <c r="CC415" s="855"/>
      <c r="CD415" s="855"/>
      <c r="CE415" s="855">
        <f>'[10]bieu cu'!M114</f>
        <v>358</v>
      </c>
      <c r="CF415" s="848">
        <f>BO415/AY415%</f>
        <v>100</v>
      </c>
      <c r="CG415" s="848"/>
      <c r="CH415" s="848"/>
      <c r="CI415" s="848"/>
      <c r="CJ415" s="848"/>
      <c r="CK415" s="848"/>
      <c r="CL415" s="848"/>
      <c r="CM415" s="848"/>
      <c r="CN415" s="848"/>
      <c r="CO415" s="848"/>
      <c r="CP415" s="848"/>
      <c r="CQ415" s="848"/>
      <c r="CR415" s="848"/>
      <c r="CS415" s="848"/>
      <c r="CT415" s="848"/>
      <c r="CU415" s="848"/>
      <c r="CV415" s="848"/>
      <c r="CW415" s="848">
        <f t="shared" si="358"/>
        <v>100</v>
      </c>
    </row>
    <row r="416" spans="1:101" s="851" customFormat="1" ht="24.75" customHeight="1">
      <c r="A416" s="845" t="s">
        <v>96</v>
      </c>
      <c r="B416" s="845"/>
      <c r="C416" s="857" t="s">
        <v>779</v>
      </c>
      <c r="D416" s="846">
        <f>D417</f>
        <v>0</v>
      </c>
      <c r="E416" s="845">
        <f t="shared" ref="E416:E417" si="361">E417</f>
        <v>0</v>
      </c>
      <c r="F416" s="847"/>
      <c r="G416" s="845"/>
      <c r="H416" s="850">
        <f t="shared" si="352"/>
        <v>3909</v>
      </c>
      <c r="I416" s="848">
        <f t="shared" ref="I416:BQ417" si="362">I417</f>
        <v>0</v>
      </c>
      <c r="J416" s="848">
        <f t="shared" si="362"/>
        <v>0</v>
      </c>
      <c r="K416" s="848">
        <f t="shared" si="362"/>
        <v>0</v>
      </c>
      <c r="L416" s="848">
        <f t="shared" si="362"/>
        <v>0</v>
      </c>
      <c r="M416" s="848">
        <f t="shared" si="362"/>
        <v>0</v>
      </c>
      <c r="N416" s="848">
        <f t="shared" si="362"/>
        <v>0</v>
      </c>
      <c r="O416" s="848">
        <f t="shared" si="362"/>
        <v>0</v>
      </c>
      <c r="P416" s="848">
        <f t="shared" si="362"/>
        <v>0</v>
      </c>
      <c r="Q416" s="848">
        <f t="shared" si="362"/>
        <v>0</v>
      </c>
      <c r="R416" s="848">
        <v>1053</v>
      </c>
      <c r="S416" s="848">
        <f t="shared" si="362"/>
        <v>2856</v>
      </c>
      <c r="T416" s="848">
        <f t="shared" si="362"/>
        <v>2178</v>
      </c>
      <c r="U416" s="848">
        <f t="shared" si="362"/>
        <v>0</v>
      </c>
      <c r="V416" s="848">
        <f t="shared" si="362"/>
        <v>0</v>
      </c>
      <c r="W416" s="848">
        <f t="shared" si="362"/>
        <v>0</v>
      </c>
      <c r="X416" s="848">
        <f t="shared" si="362"/>
        <v>0</v>
      </c>
      <c r="Y416" s="848">
        <f t="shared" si="362"/>
        <v>0</v>
      </c>
      <c r="Z416" s="848">
        <f t="shared" si="362"/>
        <v>0</v>
      </c>
      <c r="AA416" s="848">
        <f t="shared" si="362"/>
        <v>0</v>
      </c>
      <c r="AB416" s="848">
        <f t="shared" si="362"/>
        <v>0</v>
      </c>
      <c r="AC416" s="848">
        <f t="shared" si="362"/>
        <v>0</v>
      </c>
      <c r="AD416" s="848"/>
      <c r="AE416" s="848"/>
      <c r="AF416" s="848">
        <f t="shared" si="362"/>
        <v>0</v>
      </c>
      <c r="AG416" s="848">
        <f t="shared" si="362"/>
        <v>0</v>
      </c>
      <c r="AH416" s="848">
        <f t="shared" si="362"/>
        <v>2178</v>
      </c>
      <c r="AI416" s="848">
        <f t="shared" si="362"/>
        <v>2274</v>
      </c>
      <c r="AJ416" s="848">
        <f t="shared" si="362"/>
        <v>0</v>
      </c>
      <c r="AK416" s="848">
        <f t="shared" si="362"/>
        <v>0</v>
      </c>
      <c r="AL416" s="848">
        <f t="shared" si="362"/>
        <v>0</v>
      </c>
      <c r="AM416" s="848">
        <f t="shared" si="362"/>
        <v>0</v>
      </c>
      <c r="AN416" s="848">
        <f t="shared" si="362"/>
        <v>0</v>
      </c>
      <c r="AO416" s="848">
        <f t="shared" si="362"/>
        <v>0</v>
      </c>
      <c r="AP416" s="848">
        <f t="shared" si="362"/>
        <v>0</v>
      </c>
      <c r="AQ416" s="848">
        <f t="shared" si="362"/>
        <v>0</v>
      </c>
      <c r="AR416" s="848">
        <f t="shared" si="362"/>
        <v>0</v>
      </c>
      <c r="AS416" s="848"/>
      <c r="AT416" s="848">
        <f t="shared" si="362"/>
        <v>0</v>
      </c>
      <c r="AU416" s="848">
        <f t="shared" si="362"/>
        <v>0</v>
      </c>
      <c r="AV416" s="848">
        <f t="shared" si="362"/>
        <v>0</v>
      </c>
      <c r="AW416" s="848">
        <f t="shared" si="362"/>
        <v>0</v>
      </c>
      <c r="AX416" s="848">
        <f t="shared" si="362"/>
        <v>2274</v>
      </c>
      <c r="AY416" s="848">
        <f t="shared" si="362"/>
        <v>300</v>
      </c>
      <c r="AZ416" s="848">
        <f t="shared" si="362"/>
        <v>0</v>
      </c>
      <c r="BA416" s="848">
        <f t="shared" si="362"/>
        <v>0</v>
      </c>
      <c r="BB416" s="848">
        <f t="shared" si="362"/>
        <v>0</v>
      </c>
      <c r="BC416" s="848">
        <f t="shared" si="362"/>
        <v>0</v>
      </c>
      <c r="BD416" s="848">
        <f t="shared" si="362"/>
        <v>0</v>
      </c>
      <c r="BE416" s="848">
        <f t="shared" si="362"/>
        <v>0</v>
      </c>
      <c r="BF416" s="848">
        <f t="shared" si="362"/>
        <v>0</v>
      </c>
      <c r="BG416" s="848">
        <f t="shared" si="362"/>
        <v>0</v>
      </c>
      <c r="BH416" s="848">
        <f t="shared" si="362"/>
        <v>0</v>
      </c>
      <c r="BI416" s="848">
        <f t="shared" si="362"/>
        <v>0</v>
      </c>
      <c r="BJ416" s="848">
        <f t="shared" si="362"/>
        <v>0</v>
      </c>
      <c r="BK416" s="848">
        <f t="shared" si="362"/>
        <v>0</v>
      </c>
      <c r="BL416" s="848">
        <f t="shared" si="362"/>
        <v>0</v>
      </c>
      <c r="BM416" s="848">
        <f t="shared" si="362"/>
        <v>0</v>
      </c>
      <c r="BN416" s="848">
        <f t="shared" si="362"/>
        <v>300</v>
      </c>
      <c r="BO416" s="848">
        <f t="shared" si="334"/>
        <v>300</v>
      </c>
      <c r="BP416" s="848">
        <f t="shared" si="362"/>
        <v>0</v>
      </c>
      <c r="BQ416" s="848">
        <f t="shared" si="362"/>
        <v>0</v>
      </c>
      <c r="BR416" s="848">
        <f t="shared" ref="BR416:CS417" si="363">BR417</f>
        <v>0</v>
      </c>
      <c r="BS416" s="848">
        <f t="shared" si="363"/>
        <v>0</v>
      </c>
      <c r="BT416" s="848">
        <f t="shared" si="363"/>
        <v>0</v>
      </c>
      <c r="BU416" s="848">
        <f t="shared" si="363"/>
        <v>0</v>
      </c>
      <c r="BV416" s="848">
        <f t="shared" si="363"/>
        <v>0</v>
      </c>
      <c r="BW416" s="848">
        <f t="shared" si="363"/>
        <v>0</v>
      </c>
      <c r="BX416" s="848">
        <f t="shared" si="363"/>
        <v>0</v>
      </c>
      <c r="BY416" s="848">
        <f t="shared" si="363"/>
        <v>0</v>
      </c>
      <c r="BZ416" s="848">
        <f t="shared" si="363"/>
        <v>0</v>
      </c>
      <c r="CA416" s="848">
        <f t="shared" si="363"/>
        <v>0</v>
      </c>
      <c r="CB416" s="848">
        <f t="shared" si="363"/>
        <v>0</v>
      </c>
      <c r="CC416" s="848">
        <f t="shared" si="363"/>
        <v>0</v>
      </c>
      <c r="CD416" s="848">
        <f t="shared" si="363"/>
        <v>0</v>
      </c>
      <c r="CE416" s="848">
        <f t="shared" si="363"/>
        <v>300</v>
      </c>
      <c r="CF416" s="848">
        <f t="shared" si="363"/>
        <v>100</v>
      </c>
      <c r="CG416" s="848"/>
      <c r="CH416" s="848"/>
      <c r="CI416" s="848"/>
      <c r="CJ416" s="848"/>
      <c r="CK416" s="848"/>
      <c r="CL416" s="848"/>
      <c r="CM416" s="848"/>
      <c r="CN416" s="848"/>
      <c r="CO416" s="848"/>
      <c r="CP416" s="848"/>
      <c r="CQ416" s="848"/>
      <c r="CR416" s="848"/>
      <c r="CS416" s="848">
        <f t="shared" si="363"/>
        <v>0</v>
      </c>
      <c r="CT416" s="848"/>
      <c r="CU416" s="848"/>
      <c r="CV416" s="848"/>
      <c r="CW416" s="848">
        <f t="shared" si="358"/>
        <v>100</v>
      </c>
    </row>
    <row r="417" spans="1:101" s="851" customFormat="1" ht="24.75" customHeight="1">
      <c r="A417" s="845"/>
      <c r="B417" s="845"/>
      <c r="C417" s="857" t="s">
        <v>358</v>
      </c>
      <c r="D417" s="846">
        <f>D418</f>
        <v>0</v>
      </c>
      <c r="E417" s="845">
        <f t="shared" si="361"/>
        <v>0</v>
      </c>
      <c r="F417" s="847"/>
      <c r="G417" s="845"/>
      <c r="H417" s="850">
        <f t="shared" si="352"/>
        <v>3909</v>
      </c>
      <c r="I417" s="848">
        <f t="shared" si="362"/>
        <v>0</v>
      </c>
      <c r="J417" s="848">
        <f t="shared" si="362"/>
        <v>0</v>
      </c>
      <c r="K417" s="848">
        <f t="shared" si="362"/>
        <v>0</v>
      </c>
      <c r="L417" s="848">
        <f t="shared" si="362"/>
        <v>0</v>
      </c>
      <c r="M417" s="848">
        <f t="shared" si="362"/>
        <v>0</v>
      </c>
      <c r="N417" s="848">
        <f t="shared" si="362"/>
        <v>0</v>
      </c>
      <c r="O417" s="848">
        <f t="shared" si="362"/>
        <v>0</v>
      </c>
      <c r="P417" s="848">
        <f t="shared" si="362"/>
        <v>0</v>
      </c>
      <c r="Q417" s="848">
        <f t="shared" si="362"/>
        <v>0</v>
      </c>
      <c r="R417" s="848">
        <v>1053</v>
      </c>
      <c r="S417" s="848">
        <f t="shared" si="362"/>
        <v>2856</v>
      </c>
      <c r="T417" s="848">
        <f t="shared" si="362"/>
        <v>2178</v>
      </c>
      <c r="U417" s="848">
        <f t="shared" si="362"/>
        <v>0</v>
      </c>
      <c r="V417" s="848">
        <f t="shared" si="362"/>
        <v>0</v>
      </c>
      <c r="W417" s="848">
        <f t="shared" si="362"/>
        <v>0</v>
      </c>
      <c r="X417" s="848">
        <f t="shared" si="362"/>
        <v>0</v>
      </c>
      <c r="Y417" s="848">
        <f t="shared" si="362"/>
        <v>0</v>
      </c>
      <c r="Z417" s="848">
        <f t="shared" si="362"/>
        <v>0</v>
      </c>
      <c r="AA417" s="848">
        <f t="shared" si="362"/>
        <v>0</v>
      </c>
      <c r="AB417" s="848">
        <f t="shared" si="362"/>
        <v>0</v>
      </c>
      <c r="AC417" s="848">
        <f t="shared" si="362"/>
        <v>0</v>
      </c>
      <c r="AD417" s="848"/>
      <c r="AE417" s="848"/>
      <c r="AF417" s="848">
        <f t="shared" si="362"/>
        <v>0</v>
      </c>
      <c r="AG417" s="848">
        <f t="shared" si="362"/>
        <v>0</v>
      </c>
      <c r="AH417" s="848">
        <f t="shared" si="362"/>
        <v>2178</v>
      </c>
      <c r="AI417" s="848">
        <f t="shared" si="362"/>
        <v>2274</v>
      </c>
      <c r="AJ417" s="848">
        <f t="shared" si="362"/>
        <v>0</v>
      </c>
      <c r="AK417" s="848">
        <f t="shared" si="362"/>
        <v>0</v>
      </c>
      <c r="AL417" s="848">
        <f t="shared" si="362"/>
        <v>0</v>
      </c>
      <c r="AM417" s="848">
        <f t="shared" si="362"/>
        <v>0</v>
      </c>
      <c r="AN417" s="848">
        <f t="shared" si="362"/>
        <v>0</v>
      </c>
      <c r="AO417" s="848">
        <f t="shared" si="362"/>
        <v>0</v>
      </c>
      <c r="AP417" s="848">
        <f t="shared" si="362"/>
        <v>0</v>
      </c>
      <c r="AQ417" s="848">
        <f t="shared" si="362"/>
        <v>0</v>
      </c>
      <c r="AR417" s="848">
        <f t="shared" si="362"/>
        <v>0</v>
      </c>
      <c r="AS417" s="848"/>
      <c r="AT417" s="848">
        <f t="shared" si="362"/>
        <v>0</v>
      </c>
      <c r="AU417" s="848">
        <f t="shared" si="362"/>
        <v>0</v>
      </c>
      <c r="AV417" s="848">
        <f t="shared" si="362"/>
        <v>0</v>
      </c>
      <c r="AW417" s="848">
        <f t="shared" si="362"/>
        <v>0</v>
      </c>
      <c r="AX417" s="848">
        <f t="shared" si="362"/>
        <v>2274</v>
      </c>
      <c r="AY417" s="848">
        <f t="shared" si="362"/>
        <v>300</v>
      </c>
      <c r="AZ417" s="848">
        <f t="shared" si="362"/>
        <v>0</v>
      </c>
      <c r="BA417" s="848">
        <f t="shared" si="362"/>
        <v>0</v>
      </c>
      <c r="BB417" s="848">
        <f t="shared" si="362"/>
        <v>0</v>
      </c>
      <c r="BC417" s="848">
        <f t="shared" si="362"/>
        <v>0</v>
      </c>
      <c r="BD417" s="848">
        <f t="shared" si="362"/>
        <v>0</v>
      </c>
      <c r="BE417" s="848">
        <f t="shared" si="362"/>
        <v>0</v>
      </c>
      <c r="BF417" s="848">
        <f t="shared" si="362"/>
        <v>0</v>
      </c>
      <c r="BG417" s="848">
        <f t="shared" si="362"/>
        <v>0</v>
      </c>
      <c r="BH417" s="848">
        <f t="shared" si="362"/>
        <v>0</v>
      </c>
      <c r="BI417" s="848">
        <f t="shared" si="362"/>
        <v>0</v>
      </c>
      <c r="BJ417" s="848">
        <f t="shared" si="362"/>
        <v>0</v>
      </c>
      <c r="BK417" s="848">
        <f t="shared" si="362"/>
        <v>0</v>
      </c>
      <c r="BL417" s="848">
        <f t="shared" si="362"/>
        <v>0</v>
      </c>
      <c r="BM417" s="848">
        <f t="shared" si="362"/>
        <v>0</v>
      </c>
      <c r="BN417" s="848">
        <f t="shared" si="362"/>
        <v>300</v>
      </c>
      <c r="BO417" s="848">
        <f t="shared" si="334"/>
        <v>300</v>
      </c>
      <c r="BP417" s="848">
        <f t="shared" si="362"/>
        <v>0</v>
      </c>
      <c r="BQ417" s="848">
        <f t="shared" si="362"/>
        <v>0</v>
      </c>
      <c r="BR417" s="848">
        <f t="shared" si="363"/>
        <v>0</v>
      </c>
      <c r="BS417" s="848">
        <f t="shared" si="363"/>
        <v>0</v>
      </c>
      <c r="BT417" s="848">
        <f t="shared" si="363"/>
        <v>0</v>
      </c>
      <c r="BU417" s="848">
        <f t="shared" si="363"/>
        <v>0</v>
      </c>
      <c r="BV417" s="848">
        <f t="shared" si="363"/>
        <v>0</v>
      </c>
      <c r="BW417" s="848">
        <f t="shared" si="363"/>
        <v>0</v>
      </c>
      <c r="BX417" s="848">
        <f t="shared" si="363"/>
        <v>0</v>
      </c>
      <c r="BY417" s="848">
        <f t="shared" si="363"/>
        <v>0</v>
      </c>
      <c r="BZ417" s="848">
        <f t="shared" si="363"/>
        <v>0</v>
      </c>
      <c r="CA417" s="848">
        <f t="shared" si="363"/>
        <v>0</v>
      </c>
      <c r="CB417" s="848">
        <f t="shared" si="363"/>
        <v>0</v>
      </c>
      <c r="CC417" s="848">
        <f t="shared" si="363"/>
        <v>0</v>
      </c>
      <c r="CD417" s="848">
        <f t="shared" si="363"/>
        <v>0</v>
      </c>
      <c r="CE417" s="848">
        <f t="shared" si="363"/>
        <v>300</v>
      </c>
      <c r="CF417" s="848">
        <f t="shared" si="363"/>
        <v>100</v>
      </c>
      <c r="CG417" s="848"/>
      <c r="CH417" s="848"/>
      <c r="CI417" s="848"/>
      <c r="CJ417" s="848"/>
      <c r="CK417" s="848"/>
      <c r="CL417" s="848"/>
      <c r="CM417" s="848"/>
      <c r="CN417" s="848"/>
      <c r="CO417" s="848"/>
      <c r="CP417" s="848"/>
      <c r="CQ417" s="848"/>
      <c r="CR417" s="848"/>
      <c r="CS417" s="848">
        <f t="shared" si="363"/>
        <v>0</v>
      </c>
      <c r="CT417" s="848"/>
      <c r="CU417" s="848"/>
      <c r="CV417" s="848"/>
      <c r="CW417" s="848">
        <f t="shared" si="358"/>
        <v>100</v>
      </c>
    </row>
    <row r="418" spans="1:101" s="851" customFormat="1" ht="39.6" customHeight="1">
      <c r="A418" s="845"/>
      <c r="B418" s="852" t="s">
        <v>779</v>
      </c>
      <c r="C418" s="852" t="s">
        <v>1057</v>
      </c>
      <c r="D418" s="846"/>
      <c r="E418" s="845"/>
      <c r="F418" s="853">
        <v>2013</v>
      </c>
      <c r="G418" s="854" t="s">
        <v>1058</v>
      </c>
      <c r="H418" s="850">
        <f t="shared" si="352"/>
        <v>3909</v>
      </c>
      <c r="I418" s="850"/>
      <c r="J418" s="848"/>
      <c r="K418" s="848"/>
      <c r="L418" s="848"/>
      <c r="M418" s="848"/>
      <c r="N418" s="848"/>
      <c r="O418" s="848"/>
      <c r="P418" s="848"/>
      <c r="Q418" s="848"/>
      <c r="R418" s="855">
        <v>1053</v>
      </c>
      <c r="S418" s="855">
        <v>2856</v>
      </c>
      <c r="T418" s="855">
        <f t="shared" si="341"/>
        <v>2178</v>
      </c>
      <c r="U418" s="848"/>
      <c r="V418" s="848"/>
      <c r="W418" s="848"/>
      <c r="X418" s="848"/>
      <c r="Y418" s="848"/>
      <c r="Z418" s="848"/>
      <c r="AA418" s="848"/>
      <c r="AB418" s="848"/>
      <c r="AC418" s="848"/>
      <c r="AD418" s="848"/>
      <c r="AE418" s="848"/>
      <c r="AF418" s="848"/>
      <c r="AG418" s="848"/>
      <c r="AH418" s="855">
        <v>2178</v>
      </c>
      <c r="AI418" s="848">
        <f>AX418</f>
        <v>2274</v>
      </c>
      <c r="AJ418" s="848"/>
      <c r="AK418" s="848"/>
      <c r="AL418" s="848"/>
      <c r="AM418" s="848"/>
      <c r="AN418" s="848"/>
      <c r="AO418" s="848"/>
      <c r="AP418" s="848"/>
      <c r="AQ418" s="848"/>
      <c r="AR418" s="848"/>
      <c r="AS418" s="848"/>
      <c r="AT418" s="848"/>
      <c r="AU418" s="848"/>
      <c r="AV418" s="848"/>
      <c r="AW418" s="848"/>
      <c r="AX418" s="855">
        <f>96+1053+1125</f>
        <v>2274</v>
      </c>
      <c r="AY418" s="855">
        <f t="shared" ref="AY418" si="364">SUM(AZ418:BN418)</f>
        <v>300</v>
      </c>
      <c r="AZ418" s="848"/>
      <c r="BA418" s="848"/>
      <c r="BB418" s="848"/>
      <c r="BC418" s="848"/>
      <c r="BD418" s="848"/>
      <c r="BE418" s="848"/>
      <c r="BF418" s="848"/>
      <c r="BG418" s="848"/>
      <c r="BH418" s="848"/>
      <c r="BI418" s="848"/>
      <c r="BJ418" s="848"/>
      <c r="BK418" s="848"/>
      <c r="BL418" s="848"/>
      <c r="BM418" s="848"/>
      <c r="BN418" s="855">
        <f>'[10]bieu cu'!H72</f>
        <v>300</v>
      </c>
      <c r="BO418" s="848">
        <f t="shared" si="334"/>
        <v>300</v>
      </c>
      <c r="BP418" s="848"/>
      <c r="BQ418" s="848"/>
      <c r="BR418" s="848"/>
      <c r="BS418" s="848"/>
      <c r="BT418" s="848"/>
      <c r="BU418" s="848"/>
      <c r="BV418" s="848"/>
      <c r="BW418" s="848"/>
      <c r="BX418" s="848"/>
      <c r="BY418" s="848"/>
      <c r="BZ418" s="848"/>
      <c r="CA418" s="848"/>
      <c r="CB418" s="848"/>
      <c r="CC418" s="848"/>
      <c r="CD418" s="848"/>
      <c r="CE418" s="855">
        <f>'[10]bieu cu'!M72</f>
        <v>300</v>
      </c>
      <c r="CF418" s="848">
        <f t="shared" ref="CF418:CF429" si="365">BO418/AY418%</f>
        <v>100</v>
      </c>
      <c r="CG418" s="848"/>
      <c r="CH418" s="848"/>
      <c r="CI418" s="848"/>
      <c r="CJ418" s="848"/>
      <c r="CK418" s="848"/>
      <c r="CL418" s="848"/>
      <c r="CM418" s="848"/>
      <c r="CN418" s="848"/>
      <c r="CO418" s="848"/>
      <c r="CP418" s="848"/>
      <c r="CQ418" s="848"/>
      <c r="CR418" s="848"/>
      <c r="CS418" s="848"/>
      <c r="CT418" s="848"/>
      <c r="CU418" s="848"/>
      <c r="CV418" s="848"/>
      <c r="CW418" s="848">
        <f t="shared" si="358"/>
        <v>100</v>
      </c>
    </row>
    <row r="419" spans="1:101" s="851" customFormat="1" ht="24.75" customHeight="1">
      <c r="A419" s="845" t="s">
        <v>139</v>
      </c>
      <c r="B419" s="845"/>
      <c r="C419" s="857" t="s">
        <v>409</v>
      </c>
      <c r="D419" s="846">
        <f>D420</f>
        <v>0</v>
      </c>
      <c r="E419" s="845">
        <f t="shared" ref="E419:CE419" si="366">E420</f>
        <v>0</v>
      </c>
      <c r="F419" s="847"/>
      <c r="G419" s="845"/>
      <c r="H419" s="850">
        <f t="shared" si="352"/>
        <v>10760</v>
      </c>
      <c r="I419" s="848">
        <f t="shared" si="366"/>
        <v>0</v>
      </c>
      <c r="J419" s="848">
        <f t="shared" si="366"/>
        <v>0</v>
      </c>
      <c r="K419" s="848">
        <f t="shared" si="366"/>
        <v>0</v>
      </c>
      <c r="L419" s="848">
        <f t="shared" si="366"/>
        <v>0</v>
      </c>
      <c r="M419" s="848">
        <f t="shared" si="366"/>
        <v>0</v>
      </c>
      <c r="N419" s="848">
        <f t="shared" si="366"/>
        <v>0</v>
      </c>
      <c r="O419" s="848">
        <f t="shared" si="366"/>
        <v>0</v>
      </c>
      <c r="P419" s="848">
        <f t="shared" si="366"/>
        <v>0</v>
      </c>
      <c r="Q419" s="848">
        <f t="shared" si="366"/>
        <v>0</v>
      </c>
      <c r="R419" s="848">
        <v>0</v>
      </c>
      <c r="S419" s="848">
        <f t="shared" si="366"/>
        <v>10760</v>
      </c>
      <c r="T419" s="848">
        <f t="shared" si="366"/>
        <v>2650</v>
      </c>
      <c r="U419" s="848">
        <f t="shared" si="366"/>
        <v>0</v>
      </c>
      <c r="V419" s="848">
        <f t="shared" si="366"/>
        <v>0</v>
      </c>
      <c r="W419" s="848">
        <f t="shared" si="366"/>
        <v>0</v>
      </c>
      <c r="X419" s="848">
        <f t="shared" si="366"/>
        <v>0</v>
      </c>
      <c r="Y419" s="848">
        <f t="shared" si="366"/>
        <v>0</v>
      </c>
      <c r="Z419" s="848">
        <f t="shared" si="366"/>
        <v>0</v>
      </c>
      <c r="AA419" s="848">
        <f t="shared" si="366"/>
        <v>0</v>
      </c>
      <c r="AB419" s="848">
        <f t="shared" si="366"/>
        <v>0</v>
      </c>
      <c r="AC419" s="848">
        <f t="shared" si="366"/>
        <v>0</v>
      </c>
      <c r="AD419" s="848"/>
      <c r="AE419" s="848"/>
      <c r="AF419" s="848">
        <f t="shared" si="366"/>
        <v>0</v>
      </c>
      <c r="AG419" s="848">
        <f t="shared" si="366"/>
        <v>0</v>
      </c>
      <c r="AH419" s="848">
        <f t="shared" si="366"/>
        <v>2650</v>
      </c>
      <c r="AI419" s="848">
        <f t="shared" si="366"/>
        <v>6906</v>
      </c>
      <c r="AJ419" s="848">
        <f t="shared" si="366"/>
        <v>0</v>
      </c>
      <c r="AK419" s="848">
        <f t="shared" si="366"/>
        <v>0</v>
      </c>
      <c r="AL419" s="848">
        <f t="shared" si="366"/>
        <v>0</v>
      </c>
      <c r="AM419" s="848">
        <f t="shared" si="366"/>
        <v>0</v>
      </c>
      <c r="AN419" s="848">
        <f t="shared" si="366"/>
        <v>0</v>
      </c>
      <c r="AO419" s="848">
        <f t="shared" si="366"/>
        <v>0</v>
      </c>
      <c r="AP419" s="848">
        <f t="shared" si="366"/>
        <v>0</v>
      </c>
      <c r="AQ419" s="848">
        <f t="shared" si="366"/>
        <v>0</v>
      </c>
      <c r="AR419" s="848">
        <f t="shared" si="366"/>
        <v>0</v>
      </c>
      <c r="AS419" s="848"/>
      <c r="AT419" s="848">
        <f t="shared" si="366"/>
        <v>0</v>
      </c>
      <c r="AU419" s="848">
        <f t="shared" si="366"/>
        <v>0</v>
      </c>
      <c r="AV419" s="848">
        <f t="shared" si="366"/>
        <v>0</v>
      </c>
      <c r="AW419" s="848">
        <f t="shared" si="366"/>
        <v>0</v>
      </c>
      <c r="AX419" s="848">
        <f t="shared" si="366"/>
        <v>6906</v>
      </c>
      <c r="AY419" s="848">
        <f t="shared" si="366"/>
        <v>1315.2180000000001</v>
      </c>
      <c r="AZ419" s="848">
        <f t="shared" si="366"/>
        <v>0</v>
      </c>
      <c r="BA419" s="848">
        <f t="shared" si="366"/>
        <v>0</v>
      </c>
      <c r="BB419" s="848">
        <f t="shared" si="366"/>
        <v>0</v>
      </c>
      <c r="BC419" s="848">
        <f t="shared" si="366"/>
        <v>0</v>
      </c>
      <c r="BD419" s="848">
        <f t="shared" si="366"/>
        <v>0</v>
      </c>
      <c r="BE419" s="848">
        <f t="shared" si="366"/>
        <v>0</v>
      </c>
      <c r="BF419" s="848">
        <f t="shared" si="366"/>
        <v>0</v>
      </c>
      <c r="BG419" s="848">
        <f t="shared" si="366"/>
        <v>0</v>
      </c>
      <c r="BH419" s="848">
        <f t="shared" si="366"/>
        <v>0</v>
      </c>
      <c r="BI419" s="848">
        <f t="shared" si="366"/>
        <v>0</v>
      </c>
      <c r="BJ419" s="848">
        <f t="shared" si="366"/>
        <v>0</v>
      </c>
      <c r="BK419" s="848">
        <f t="shared" si="366"/>
        <v>0</v>
      </c>
      <c r="BL419" s="848">
        <f t="shared" si="366"/>
        <v>0</v>
      </c>
      <c r="BM419" s="848">
        <f t="shared" si="366"/>
        <v>0</v>
      </c>
      <c r="BN419" s="848">
        <f t="shared" si="366"/>
        <v>1315.2180000000001</v>
      </c>
      <c r="BO419" s="848">
        <f t="shared" si="334"/>
        <v>1315.2180000000001</v>
      </c>
      <c r="BP419" s="848">
        <f t="shared" si="366"/>
        <v>0</v>
      </c>
      <c r="BQ419" s="848">
        <f t="shared" si="366"/>
        <v>0</v>
      </c>
      <c r="BR419" s="848">
        <f t="shared" si="366"/>
        <v>0</v>
      </c>
      <c r="BS419" s="848">
        <f t="shared" si="366"/>
        <v>0</v>
      </c>
      <c r="BT419" s="848">
        <f t="shared" si="366"/>
        <v>0</v>
      </c>
      <c r="BU419" s="848">
        <f t="shared" si="366"/>
        <v>0</v>
      </c>
      <c r="BV419" s="848">
        <f t="shared" si="366"/>
        <v>0</v>
      </c>
      <c r="BW419" s="848">
        <f t="shared" si="366"/>
        <v>0</v>
      </c>
      <c r="BX419" s="848">
        <f t="shared" si="366"/>
        <v>0</v>
      </c>
      <c r="BY419" s="848">
        <f t="shared" si="366"/>
        <v>0</v>
      </c>
      <c r="BZ419" s="848">
        <f t="shared" si="366"/>
        <v>0</v>
      </c>
      <c r="CA419" s="848">
        <f t="shared" si="366"/>
        <v>0</v>
      </c>
      <c r="CB419" s="848">
        <f t="shared" si="366"/>
        <v>0</v>
      </c>
      <c r="CC419" s="848">
        <f t="shared" si="366"/>
        <v>0</v>
      </c>
      <c r="CD419" s="848">
        <f t="shared" si="366"/>
        <v>0</v>
      </c>
      <c r="CE419" s="848">
        <f t="shared" si="366"/>
        <v>1315.2180000000001</v>
      </c>
      <c r="CF419" s="848">
        <f t="shared" si="365"/>
        <v>100</v>
      </c>
      <c r="CG419" s="848"/>
      <c r="CH419" s="848"/>
      <c r="CI419" s="848"/>
      <c r="CJ419" s="848"/>
      <c r="CK419" s="848"/>
      <c r="CL419" s="848"/>
      <c r="CM419" s="848"/>
      <c r="CN419" s="848"/>
      <c r="CO419" s="848"/>
      <c r="CP419" s="848"/>
      <c r="CQ419" s="848"/>
      <c r="CR419" s="848"/>
      <c r="CS419" s="848"/>
      <c r="CT419" s="848"/>
      <c r="CU419" s="848"/>
      <c r="CV419" s="848"/>
      <c r="CW419" s="848">
        <f t="shared" si="358"/>
        <v>100</v>
      </c>
    </row>
    <row r="420" spans="1:101" s="851" customFormat="1" ht="24.75" customHeight="1">
      <c r="A420" s="845"/>
      <c r="B420" s="845"/>
      <c r="C420" s="857" t="s">
        <v>358</v>
      </c>
      <c r="D420" s="846">
        <f>D421+D422</f>
        <v>0</v>
      </c>
      <c r="E420" s="845">
        <f t="shared" ref="E420:BM420" si="367">E421+E422</f>
        <v>0</v>
      </c>
      <c r="F420" s="847"/>
      <c r="G420" s="845"/>
      <c r="H420" s="850">
        <f t="shared" si="352"/>
        <v>10760</v>
      </c>
      <c r="I420" s="848">
        <f t="shared" ref="I420:AX420" si="368">I421+I422</f>
        <v>0</v>
      </c>
      <c r="J420" s="848">
        <f t="shared" si="368"/>
        <v>0</v>
      </c>
      <c r="K420" s="848">
        <f t="shared" si="368"/>
        <v>0</v>
      </c>
      <c r="L420" s="848">
        <f t="shared" si="368"/>
        <v>0</v>
      </c>
      <c r="M420" s="848">
        <f t="shared" si="368"/>
        <v>0</v>
      </c>
      <c r="N420" s="848">
        <f t="shared" si="368"/>
        <v>0</v>
      </c>
      <c r="O420" s="848">
        <f t="shared" si="368"/>
        <v>0</v>
      </c>
      <c r="P420" s="848">
        <f t="shared" si="368"/>
        <v>0</v>
      </c>
      <c r="Q420" s="848">
        <f t="shared" si="368"/>
        <v>0</v>
      </c>
      <c r="R420" s="848">
        <v>0</v>
      </c>
      <c r="S420" s="848">
        <f t="shared" si="368"/>
        <v>10760</v>
      </c>
      <c r="T420" s="848">
        <f t="shared" si="368"/>
        <v>2650</v>
      </c>
      <c r="U420" s="848">
        <f t="shared" si="368"/>
        <v>0</v>
      </c>
      <c r="V420" s="848">
        <f t="shared" si="368"/>
        <v>0</v>
      </c>
      <c r="W420" s="848">
        <f t="shared" si="368"/>
        <v>0</v>
      </c>
      <c r="X420" s="848">
        <f t="shared" si="368"/>
        <v>0</v>
      </c>
      <c r="Y420" s="848">
        <f t="shared" si="368"/>
        <v>0</v>
      </c>
      <c r="Z420" s="848">
        <f t="shared" si="368"/>
        <v>0</v>
      </c>
      <c r="AA420" s="848">
        <f t="shared" si="368"/>
        <v>0</v>
      </c>
      <c r="AB420" s="848">
        <f t="shared" si="368"/>
        <v>0</v>
      </c>
      <c r="AC420" s="848">
        <f t="shared" si="368"/>
        <v>0</v>
      </c>
      <c r="AD420" s="848"/>
      <c r="AE420" s="848"/>
      <c r="AF420" s="848">
        <f t="shared" si="368"/>
        <v>0</v>
      </c>
      <c r="AG420" s="848">
        <f t="shared" si="368"/>
        <v>0</v>
      </c>
      <c r="AH420" s="848">
        <f t="shared" si="368"/>
        <v>2650</v>
      </c>
      <c r="AI420" s="848">
        <f t="shared" si="368"/>
        <v>6906</v>
      </c>
      <c r="AJ420" s="848">
        <f t="shared" si="368"/>
        <v>0</v>
      </c>
      <c r="AK420" s="848">
        <f t="shared" si="368"/>
        <v>0</v>
      </c>
      <c r="AL420" s="848">
        <f t="shared" si="368"/>
        <v>0</v>
      </c>
      <c r="AM420" s="848">
        <f t="shared" si="368"/>
        <v>0</v>
      </c>
      <c r="AN420" s="848">
        <f t="shared" si="368"/>
        <v>0</v>
      </c>
      <c r="AO420" s="848">
        <f t="shared" si="368"/>
        <v>0</v>
      </c>
      <c r="AP420" s="848">
        <f t="shared" si="368"/>
        <v>0</v>
      </c>
      <c r="AQ420" s="848">
        <f t="shared" si="368"/>
        <v>0</v>
      </c>
      <c r="AR420" s="848">
        <f t="shared" si="368"/>
        <v>0</v>
      </c>
      <c r="AS420" s="848"/>
      <c r="AT420" s="848">
        <f t="shared" si="368"/>
        <v>0</v>
      </c>
      <c r="AU420" s="848">
        <f t="shared" si="368"/>
        <v>0</v>
      </c>
      <c r="AV420" s="848">
        <f t="shared" si="368"/>
        <v>0</v>
      </c>
      <c r="AW420" s="848">
        <f t="shared" si="368"/>
        <v>0</v>
      </c>
      <c r="AX420" s="848">
        <f t="shared" si="368"/>
        <v>6906</v>
      </c>
      <c r="AY420" s="848">
        <f t="shared" si="367"/>
        <v>1315.2180000000001</v>
      </c>
      <c r="AZ420" s="848">
        <f t="shared" si="367"/>
        <v>0</v>
      </c>
      <c r="BA420" s="848"/>
      <c r="BB420" s="848"/>
      <c r="BC420" s="848">
        <f t="shared" si="367"/>
        <v>0</v>
      </c>
      <c r="BD420" s="848">
        <f t="shared" si="367"/>
        <v>0</v>
      </c>
      <c r="BE420" s="848"/>
      <c r="BF420" s="848">
        <f t="shared" si="367"/>
        <v>0</v>
      </c>
      <c r="BG420" s="848">
        <f t="shared" si="367"/>
        <v>0</v>
      </c>
      <c r="BH420" s="848">
        <f t="shared" si="367"/>
        <v>0</v>
      </c>
      <c r="BI420" s="848">
        <f t="shared" si="367"/>
        <v>0</v>
      </c>
      <c r="BJ420" s="848">
        <f t="shared" si="367"/>
        <v>0</v>
      </c>
      <c r="BK420" s="848">
        <f t="shared" si="367"/>
        <v>0</v>
      </c>
      <c r="BL420" s="848">
        <f t="shared" si="367"/>
        <v>0</v>
      </c>
      <c r="BM420" s="848">
        <f t="shared" si="367"/>
        <v>0</v>
      </c>
      <c r="BN420" s="848">
        <f>BN421+BN422</f>
        <v>1315.2180000000001</v>
      </c>
      <c r="BO420" s="848">
        <f t="shared" si="334"/>
        <v>1315.2180000000001</v>
      </c>
      <c r="BP420" s="848">
        <f t="shared" ref="BP420:CE420" si="369">BP421+BP422</f>
        <v>0</v>
      </c>
      <c r="BQ420" s="848">
        <f t="shared" si="369"/>
        <v>0</v>
      </c>
      <c r="BR420" s="848">
        <f t="shared" si="369"/>
        <v>0</v>
      </c>
      <c r="BS420" s="848">
        <f t="shared" si="369"/>
        <v>0</v>
      </c>
      <c r="BT420" s="848">
        <f t="shared" si="369"/>
        <v>0</v>
      </c>
      <c r="BU420" s="848">
        <f t="shared" si="369"/>
        <v>0</v>
      </c>
      <c r="BV420" s="848">
        <f t="shared" si="369"/>
        <v>0</v>
      </c>
      <c r="BW420" s="848">
        <f t="shared" si="369"/>
        <v>0</v>
      </c>
      <c r="BX420" s="848">
        <f t="shared" si="369"/>
        <v>0</v>
      </c>
      <c r="BY420" s="848">
        <f t="shared" si="369"/>
        <v>0</v>
      </c>
      <c r="BZ420" s="848">
        <f t="shared" si="369"/>
        <v>0</v>
      </c>
      <c r="CA420" s="848">
        <f t="shared" si="369"/>
        <v>0</v>
      </c>
      <c r="CB420" s="848">
        <f t="shared" si="369"/>
        <v>0</v>
      </c>
      <c r="CC420" s="848">
        <f t="shared" si="369"/>
        <v>0</v>
      </c>
      <c r="CD420" s="848">
        <f t="shared" si="369"/>
        <v>0</v>
      </c>
      <c r="CE420" s="848">
        <f t="shared" si="369"/>
        <v>1315.2180000000001</v>
      </c>
      <c r="CF420" s="848">
        <f t="shared" si="365"/>
        <v>100</v>
      </c>
      <c r="CG420" s="848"/>
      <c r="CH420" s="848"/>
      <c r="CI420" s="848"/>
      <c r="CJ420" s="848"/>
      <c r="CK420" s="848"/>
      <c r="CL420" s="848"/>
      <c r="CM420" s="848"/>
      <c r="CN420" s="848"/>
      <c r="CO420" s="848"/>
      <c r="CP420" s="848"/>
      <c r="CQ420" s="848"/>
      <c r="CR420" s="848"/>
      <c r="CS420" s="848"/>
      <c r="CT420" s="848"/>
      <c r="CU420" s="848"/>
      <c r="CV420" s="848"/>
      <c r="CW420" s="848">
        <f t="shared" si="358"/>
        <v>100</v>
      </c>
    </row>
    <row r="421" spans="1:101" ht="24.75" customHeight="1">
      <c r="A421" s="845"/>
      <c r="B421" s="852" t="s">
        <v>409</v>
      </c>
      <c r="C421" s="852" t="s">
        <v>1059</v>
      </c>
      <c r="D421" s="846"/>
      <c r="E421" s="845"/>
      <c r="F421" s="853" t="s">
        <v>1060</v>
      </c>
      <c r="G421" s="846" t="s">
        <v>1061</v>
      </c>
      <c r="H421" s="850">
        <f t="shared" si="352"/>
        <v>5044</v>
      </c>
      <c r="I421" s="860"/>
      <c r="J421" s="848"/>
      <c r="K421" s="848"/>
      <c r="L421" s="848"/>
      <c r="M421" s="848"/>
      <c r="N421" s="848"/>
      <c r="O421" s="848"/>
      <c r="P421" s="848"/>
      <c r="Q421" s="848"/>
      <c r="R421" s="848"/>
      <c r="S421" s="860">
        <v>5044</v>
      </c>
      <c r="T421" s="855">
        <f t="shared" si="341"/>
        <v>1000</v>
      </c>
      <c r="U421" s="848"/>
      <c r="V421" s="848"/>
      <c r="W421" s="848"/>
      <c r="X421" s="848"/>
      <c r="Y421" s="848"/>
      <c r="Z421" s="848"/>
      <c r="AA421" s="848"/>
      <c r="AB421" s="848"/>
      <c r="AC421" s="848"/>
      <c r="AD421" s="848"/>
      <c r="AE421" s="848"/>
      <c r="AF421" s="848"/>
      <c r="AG421" s="848"/>
      <c r="AH421" s="855">
        <v>1000</v>
      </c>
      <c r="AI421" s="855">
        <f>AX421</f>
        <v>5156</v>
      </c>
      <c r="AJ421" s="855"/>
      <c r="AK421" s="855"/>
      <c r="AL421" s="855"/>
      <c r="AM421" s="855"/>
      <c r="AN421" s="855"/>
      <c r="AO421" s="855"/>
      <c r="AP421" s="855"/>
      <c r="AQ421" s="855"/>
      <c r="AR421" s="855"/>
      <c r="AS421" s="855"/>
      <c r="AT421" s="855"/>
      <c r="AU421" s="855"/>
      <c r="AV421" s="855"/>
      <c r="AW421" s="855"/>
      <c r="AX421" s="855">
        <f>3400+756+1000</f>
        <v>5156</v>
      </c>
      <c r="AY421" s="855">
        <f t="shared" ref="AY421:AY422" si="370">SUM(AZ421:BN421)</f>
        <v>215.21799999999999</v>
      </c>
      <c r="AZ421" s="855"/>
      <c r="BA421" s="855"/>
      <c r="BB421" s="855"/>
      <c r="BC421" s="855"/>
      <c r="BD421" s="855"/>
      <c r="BE421" s="855"/>
      <c r="BF421" s="855"/>
      <c r="BG421" s="855"/>
      <c r="BH421" s="855"/>
      <c r="BI421" s="855"/>
      <c r="BJ421" s="855"/>
      <c r="BK421" s="855"/>
      <c r="BL421" s="855"/>
      <c r="BM421" s="855"/>
      <c r="BN421" s="855">
        <v>215.21799999999999</v>
      </c>
      <c r="BO421" s="848">
        <f t="shared" si="334"/>
        <v>215.21799999999999</v>
      </c>
      <c r="BP421" s="855"/>
      <c r="BQ421" s="855"/>
      <c r="BR421" s="855"/>
      <c r="BS421" s="855"/>
      <c r="BT421" s="855"/>
      <c r="BU421" s="855"/>
      <c r="BV421" s="855"/>
      <c r="BW421" s="855"/>
      <c r="BX421" s="855"/>
      <c r="BY421" s="855"/>
      <c r="BZ421" s="855"/>
      <c r="CA421" s="855"/>
      <c r="CB421" s="855"/>
      <c r="CC421" s="855"/>
      <c r="CD421" s="855"/>
      <c r="CE421" s="855">
        <v>215.21799999999999</v>
      </c>
      <c r="CF421" s="848">
        <f t="shared" si="365"/>
        <v>100</v>
      </c>
      <c r="CG421" s="848"/>
      <c r="CH421" s="848"/>
      <c r="CI421" s="848"/>
      <c r="CJ421" s="848"/>
      <c r="CK421" s="848"/>
      <c r="CL421" s="848"/>
      <c r="CM421" s="848"/>
      <c r="CN421" s="848"/>
      <c r="CO421" s="848"/>
      <c r="CP421" s="848"/>
      <c r="CQ421" s="848"/>
      <c r="CR421" s="848"/>
      <c r="CS421" s="848"/>
      <c r="CT421" s="848"/>
      <c r="CU421" s="848"/>
      <c r="CV421" s="848"/>
      <c r="CW421" s="848">
        <f t="shared" si="358"/>
        <v>100</v>
      </c>
    </row>
    <row r="422" spans="1:101" ht="24.75" customHeight="1">
      <c r="A422" s="845"/>
      <c r="B422" s="852" t="s">
        <v>409</v>
      </c>
      <c r="C422" s="852" t="s">
        <v>1062</v>
      </c>
      <c r="D422" s="846"/>
      <c r="E422" s="845"/>
      <c r="F422" s="853" t="s">
        <v>412</v>
      </c>
      <c r="G422" s="846" t="s">
        <v>1063</v>
      </c>
      <c r="H422" s="850">
        <f t="shared" si="352"/>
        <v>5716</v>
      </c>
      <c r="I422" s="860"/>
      <c r="J422" s="848"/>
      <c r="K422" s="848"/>
      <c r="L422" s="848"/>
      <c r="M422" s="848"/>
      <c r="N422" s="848"/>
      <c r="O422" s="848"/>
      <c r="P422" s="848"/>
      <c r="Q422" s="848"/>
      <c r="R422" s="848"/>
      <c r="S422" s="860">
        <v>5716</v>
      </c>
      <c r="T422" s="855">
        <f t="shared" si="341"/>
        <v>1650</v>
      </c>
      <c r="U422" s="848"/>
      <c r="V422" s="848"/>
      <c r="W422" s="848"/>
      <c r="X422" s="848"/>
      <c r="Y422" s="848"/>
      <c r="Z422" s="848"/>
      <c r="AA422" s="848"/>
      <c r="AB422" s="848"/>
      <c r="AC422" s="848"/>
      <c r="AD422" s="848"/>
      <c r="AE422" s="848"/>
      <c r="AF422" s="848"/>
      <c r="AG422" s="848"/>
      <c r="AH422" s="855">
        <v>1650</v>
      </c>
      <c r="AI422" s="855">
        <f>AX422</f>
        <v>1750</v>
      </c>
      <c r="AJ422" s="855"/>
      <c r="AK422" s="855"/>
      <c r="AL422" s="855"/>
      <c r="AM422" s="855"/>
      <c r="AN422" s="855"/>
      <c r="AO422" s="855"/>
      <c r="AP422" s="855"/>
      <c r="AQ422" s="855"/>
      <c r="AR422" s="855"/>
      <c r="AS422" s="855"/>
      <c r="AT422" s="855"/>
      <c r="AU422" s="855"/>
      <c r="AV422" s="855"/>
      <c r="AW422" s="855"/>
      <c r="AX422" s="855">
        <f>100+1150+500</f>
        <v>1750</v>
      </c>
      <c r="AY422" s="855">
        <f t="shared" si="370"/>
        <v>1100</v>
      </c>
      <c r="AZ422" s="855"/>
      <c r="BA422" s="855"/>
      <c r="BB422" s="855"/>
      <c r="BC422" s="855"/>
      <c r="BD422" s="855"/>
      <c r="BE422" s="855"/>
      <c r="BF422" s="855"/>
      <c r="BG422" s="855"/>
      <c r="BH422" s="855"/>
      <c r="BI422" s="855"/>
      <c r="BJ422" s="855"/>
      <c r="BK422" s="855"/>
      <c r="BL422" s="855"/>
      <c r="BM422" s="855"/>
      <c r="BN422" s="855">
        <v>1100</v>
      </c>
      <c r="BO422" s="848">
        <f t="shared" si="334"/>
        <v>1100</v>
      </c>
      <c r="BP422" s="855"/>
      <c r="BQ422" s="855"/>
      <c r="BR422" s="855"/>
      <c r="BS422" s="855"/>
      <c r="BT422" s="855"/>
      <c r="BU422" s="855"/>
      <c r="BV422" s="855"/>
      <c r="BW422" s="855"/>
      <c r="BX422" s="855"/>
      <c r="BY422" s="855"/>
      <c r="BZ422" s="855"/>
      <c r="CA422" s="855"/>
      <c r="CB422" s="855"/>
      <c r="CC422" s="855"/>
      <c r="CD422" s="855"/>
      <c r="CE422" s="855">
        <v>1100</v>
      </c>
      <c r="CF422" s="848">
        <f t="shared" si="365"/>
        <v>100</v>
      </c>
      <c r="CG422" s="848"/>
      <c r="CH422" s="848"/>
      <c r="CI422" s="848"/>
      <c r="CJ422" s="848"/>
      <c r="CK422" s="848"/>
      <c r="CL422" s="848"/>
      <c r="CM422" s="848"/>
      <c r="CN422" s="848"/>
      <c r="CO422" s="848"/>
      <c r="CP422" s="848"/>
      <c r="CQ422" s="848"/>
      <c r="CR422" s="848"/>
      <c r="CS422" s="848"/>
      <c r="CT422" s="848"/>
      <c r="CU422" s="848"/>
      <c r="CV422" s="848"/>
      <c r="CW422" s="848">
        <f t="shared" si="358"/>
        <v>100</v>
      </c>
    </row>
    <row r="423" spans="1:101" s="851" customFormat="1" ht="24.75" customHeight="1">
      <c r="A423" s="845" t="s">
        <v>504</v>
      </c>
      <c r="B423" s="845"/>
      <c r="C423" s="857" t="s">
        <v>465</v>
      </c>
      <c r="D423" s="846">
        <f>D424</f>
        <v>0</v>
      </c>
      <c r="E423" s="845">
        <f t="shared" ref="E423:CE424" si="371">E424</f>
        <v>0</v>
      </c>
      <c r="F423" s="847"/>
      <c r="G423" s="845"/>
      <c r="H423" s="850">
        <f t="shared" si="352"/>
        <v>7094</v>
      </c>
      <c r="I423" s="848">
        <f t="shared" si="371"/>
        <v>0</v>
      </c>
      <c r="J423" s="848">
        <f t="shared" si="371"/>
        <v>0</v>
      </c>
      <c r="K423" s="848">
        <f t="shared" si="371"/>
        <v>0</v>
      </c>
      <c r="L423" s="848">
        <f t="shared" si="371"/>
        <v>0</v>
      </c>
      <c r="M423" s="848">
        <f t="shared" si="371"/>
        <v>0</v>
      </c>
      <c r="N423" s="848">
        <f t="shared" si="371"/>
        <v>0</v>
      </c>
      <c r="O423" s="848">
        <f t="shared" si="371"/>
        <v>0</v>
      </c>
      <c r="P423" s="848">
        <f t="shared" si="371"/>
        <v>0</v>
      </c>
      <c r="Q423" s="848">
        <f t="shared" si="371"/>
        <v>0</v>
      </c>
      <c r="R423" s="848">
        <v>0</v>
      </c>
      <c r="S423" s="848">
        <f t="shared" si="371"/>
        <v>7094</v>
      </c>
      <c r="T423" s="855">
        <f t="shared" si="341"/>
        <v>0</v>
      </c>
      <c r="U423" s="848">
        <f t="shared" ref="U423:AH424" si="372">U424</f>
        <v>0</v>
      </c>
      <c r="V423" s="848">
        <f t="shared" si="372"/>
        <v>0</v>
      </c>
      <c r="W423" s="848">
        <f t="shared" si="372"/>
        <v>0</v>
      </c>
      <c r="X423" s="848">
        <f t="shared" si="372"/>
        <v>0</v>
      </c>
      <c r="Y423" s="848">
        <f t="shared" si="372"/>
        <v>0</v>
      </c>
      <c r="Z423" s="848">
        <f t="shared" si="372"/>
        <v>0</v>
      </c>
      <c r="AA423" s="848">
        <f t="shared" si="372"/>
        <v>0</v>
      </c>
      <c r="AB423" s="848">
        <f t="shared" si="372"/>
        <v>0</v>
      </c>
      <c r="AC423" s="848">
        <f t="shared" si="372"/>
        <v>0</v>
      </c>
      <c r="AD423" s="848"/>
      <c r="AE423" s="848"/>
      <c r="AF423" s="848">
        <f t="shared" si="372"/>
        <v>0</v>
      </c>
      <c r="AG423" s="848">
        <f t="shared" si="372"/>
        <v>0</v>
      </c>
      <c r="AH423" s="848">
        <f t="shared" si="372"/>
        <v>0</v>
      </c>
      <c r="AI423" s="848">
        <f t="shared" si="371"/>
        <v>0</v>
      </c>
      <c r="AJ423" s="848">
        <f t="shared" si="371"/>
        <v>0</v>
      </c>
      <c r="AK423" s="848">
        <f t="shared" si="371"/>
        <v>0</v>
      </c>
      <c r="AL423" s="848">
        <f t="shared" si="371"/>
        <v>0</v>
      </c>
      <c r="AM423" s="848">
        <f t="shared" si="371"/>
        <v>0</v>
      </c>
      <c r="AN423" s="848">
        <f t="shared" si="371"/>
        <v>0</v>
      </c>
      <c r="AO423" s="848">
        <f t="shared" si="371"/>
        <v>0</v>
      </c>
      <c r="AP423" s="848">
        <f t="shared" si="371"/>
        <v>0</v>
      </c>
      <c r="AQ423" s="848">
        <f t="shared" si="371"/>
        <v>0</v>
      </c>
      <c r="AR423" s="848">
        <f t="shared" si="371"/>
        <v>0</v>
      </c>
      <c r="AS423" s="848"/>
      <c r="AT423" s="848">
        <f t="shared" si="371"/>
        <v>0</v>
      </c>
      <c r="AU423" s="848">
        <f t="shared" si="371"/>
        <v>0</v>
      </c>
      <c r="AV423" s="848">
        <f t="shared" si="371"/>
        <v>0</v>
      </c>
      <c r="AW423" s="848">
        <f t="shared" si="371"/>
        <v>0</v>
      </c>
      <c r="AX423" s="848">
        <f t="shared" si="371"/>
        <v>0</v>
      </c>
      <c r="AY423" s="848">
        <f t="shared" si="371"/>
        <v>216</v>
      </c>
      <c r="AZ423" s="848">
        <f t="shared" si="371"/>
        <v>0</v>
      </c>
      <c r="BA423" s="848">
        <f t="shared" si="371"/>
        <v>0</v>
      </c>
      <c r="BB423" s="848">
        <f t="shared" si="371"/>
        <v>0</v>
      </c>
      <c r="BC423" s="848">
        <f t="shared" si="371"/>
        <v>0</v>
      </c>
      <c r="BD423" s="848">
        <f t="shared" si="371"/>
        <v>0</v>
      </c>
      <c r="BE423" s="848">
        <f t="shared" si="371"/>
        <v>0</v>
      </c>
      <c r="BF423" s="848">
        <f t="shared" si="371"/>
        <v>0</v>
      </c>
      <c r="BG423" s="848">
        <f t="shared" si="371"/>
        <v>0</v>
      </c>
      <c r="BH423" s="848">
        <f t="shared" si="371"/>
        <v>0</v>
      </c>
      <c r="BI423" s="848">
        <f t="shared" si="371"/>
        <v>0</v>
      </c>
      <c r="BJ423" s="848">
        <f t="shared" si="371"/>
        <v>0</v>
      </c>
      <c r="BK423" s="848">
        <f t="shared" si="371"/>
        <v>0</v>
      </c>
      <c r="BL423" s="848">
        <f t="shared" si="371"/>
        <v>0</v>
      </c>
      <c r="BM423" s="848">
        <f t="shared" si="371"/>
        <v>0</v>
      </c>
      <c r="BN423" s="848">
        <f t="shared" si="371"/>
        <v>216</v>
      </c>
      <c r="BO423" s="848">
        <f t="shared" si="334"/>
        <v>216</v>
      </c>
      <c r="BP423" s="848">
        <f t="shared" si="371"/>
        <v>0</v>
      </c>
      <c r="BQ423" s="848">
        <f t="shared" si="371"/>
        <v>0</v>
      </c>
      <c r="BR423" s="848">
        <f t="shared" si="371"/>
        <v>0</v>
      </c>
      <c r="BS423" s="848">
        <f t="shared" si="371"/>
        <v>0</v>
      </c>
      <c r="BT423" s="848">
        <f t="shared" si="371"/>
        <v>0</v>
      </c>
      <c r="BU423" s="848">
        <f t="shared" si="371"/>
        <v>0</v>
      </c>
      <c r="BV423" s="848">
        <f t="shared" si="371"/>
        <v>0</v>
      </c>
      <c r="BW423" s="848">
        <f t="shared" si="371"/>
        <v>0</v>
      </c>
      <c r="BX423" s="848">
        <f t="shared" si="371"/>
        <v>0</v>
      </c>
      <c r="BY423" s="848">
        <f t="shared" si="371"/>
        <v>0</v>
      </c>
      <c r="BZ423" s="848">
        <f t="shared" si="371"/>
        <v>0</v>
      </c>
      <c r="CA423" s="848">
        <f t="shared" si="371"/>
        <v>0</v>
      </c>
      <c r="CB423" s="848">
        <f t="shared" si="371"/>
        <v>0</v>
      </c>
      <c r="CC423" s="848">
        <f t="shared" si="371"/>
        <v>0</v>
      </c>
      <c r="CD423" s="848">
        <f t="shared" si="371"/>
        <v>0</v>
      </c>
      <c r="CE423" s="848">
        <f t="shared" si="371"/>
        <v>216</v>
      </c>
      <c r="CF423" s="848">
        <f t="shared" si="365"/>
        <v>100</v>
      </c>
      <c r="CG423" s="848"/>
      <c r="CH423" s="848"/>
      <c r="CI423" s="848"/>
      <c r="CJ423" s="848"/>
      <c r="CK423" s="848"/>
      <c r="CL423" s="848"/>
      <c r="CM423" s="848"/>
      <c r="CN423" s="848"/>
      <c r="CO423" s="848"/>
      <c r="CP423" s="848"/>
      <c r="CQ423" s="848"/>
      <c r="CR423" s="848"/>
      <c r="CS423" s="848"/>
      <c r="CT423" s="848"/>
      <c r="CU423" s="848"/>
      <c r="CV423" s="848"/>
      <c r="CW423" s="848">
        <f t="shared" si="358"/>
        <v>100</v>
      </c>
    </row>
    <row r="424" spans="1:101" s="851" customFormat="1" ht="24.75" customHeight="1">
      <c r="A424" s="845"/>
      <c r="B424" s="845"/>
      <c r="C424" s="857" t="s">
        <v>508</v>
      </c>
      <c r="D424" s="846">
        <f>D425</f>
        <v>0</v>
      </c>
      <c r="E424" s="845">
        <f t="shared" si="371"/>
        <v>0</v>
      </c>
      <c r="F424" s="847"/>
      <c r="G424" s="845"/>
      <c r="H424" s="850">
        <f t="shared" si="352"/>
        <v>7094</v>
      </c>
      <c r="I424" s="848">
        <f t="shared" si="371"/>
        <v>0</v>
      </c>
      <c r="J424" s="848">
        <f t="shared" si="371"/>
        <v>0</v>
      </c>
      <c r="K424" s="848">
        <f t="shared" si="371"/>
        <v>0</v>
      </c>
      <c r="L424" s="848">
        <f t="shared" si="371"/>
        <v>0</v>
      </c>
      <c r="M424" s="848">
        <f t="shared" si="371"/>
        <v>0</v>
      </c>
      <c r="N424" s="848">
        <f t="shared" si="371"/>
        <v>0</v>
      </c>
      <c r="O424" s="848">
        <f t="shared" si="371"/>
        <v>0</v>
      </c>
      <c r="P424" s="848">
        <f t="shared" si="371"/>
        <v>0</v>
      </c>
      <c r="Q424" s="848">
        <f t="shared" si="371"/>
        <v>0</v>
      </c>
      <c r="R424" s="848">
        <v>0</v>
      </c>
      <c r="S424" s="848">
        <f t="shared" si="371"/>
        <v>7094</v>
      </c>
      <c r="T424" s="855">
        <f t="shared" si="341"/>
        <v>0</v>
      </c>
      <c r="U424" s="848">
        <f t="shared" si="372"/>
        <v>0</v>
      </c>
      <c r="V424" s="848">
        <f t="shared" si="372"/>
        <v>0</v>
      </c>
      <c r="W424" s="848">
        <f t="shared" si="372"/>
        <v>0</v>
      </c>
      <c r="X424" s="848">
        <f t="shared" si="372"/>
        <v>0</v>
      </c>
      <c r="Y424" s="848">
        <f t="shared" si="372"/>
        <v>0</v>
      </c>
      <c r="Z424" s="848">
        <f t="shared" si="372"/>
        <v>0</v>
      </c>
      <c r="AA424" s="848">
        <f t="shared" si="372"/>
        <v>0</v>
      </c>
      <c r="AB424" s="848">
        <f t="shared" si="372"/>
        <v>0</v>
      </c>
      <c r="AC424" s="848">
        <f t="shared" si="372"/>
        <v>0</v>
      </c>
      <c r="AD424" s="848"/>
      <c r="AE424" s="848"/>
      <c r="AF424" s="848">
        <f t="shared" si="372"/>
        <v>0</v>
      </c>
      <c r="AG424" s="848">
        <f t="shared" si="372"/>
        <v>0</v>
      </c>
      <c r="AH424" s="848">
        <f t="shared" si="372"/>
        <v>0</v>
      </c>
      <c r="AI424" s="848">
        <f t="shared" si="371"/>
        <v>0</v>
      </c>
      <c r="AJ424" s="848">
        <f t="shared" si="371"/>
        <v>0</v>
      </c>
      <c r="AK424" s="848">
        <f t="shared" si="371"/>
        <v>0</v>
      </c>
      <c r="AL424" s="848">
        <f t="shared" si="371"/>
        <v>0</v>
      </c>
      <c r="AM424" s="848">
        <f t="shared" si="371"/>
        <v>0</v>
      </c>
      <c r="AN424" s="848">
        <f t="shared" si="371"/>
        <v>0</v>
      </c>
      <c r="AO424" s="848">
        <f t="shared" si="371"/>
        <v>0</v>
      </c>
      <c r="AP424" s="848">
        <f t="shared" si="371"/>
        <v>0</v>
      </c>
      <c r="AQ424" s="848">
        <f t="shared" si="371"/>
        <v>0</v>
      </c>
      <c r="AR424" s="848">
        <f t="shared" si="371"/>
        <v>0</v>
      </c>
      <c r="AS424" s="848"/>
      <c r="AT424" s="848">
        <f t="shared" si="371"/>
        <v>0</v>
      </c>
      <c r="AU424" s="848">
        <f t="shared" si="371"/>
        <v>0</v>
      </c>
      <c r="AV424" s="848">
        <f t="shared" si="371"/>
        <v>0</v>
      </c>
      <c r="AW424" s="848">
        <f t="shared" si="371"/>
        <v>0</v>
      </c>
      <c r="AX424" s="848">
        <f t="shared" si="371"/>
        <v>0</v>
      </c>
      <c r="AY424" s="848">
        <f t="shared" si="371"/>
        <v>216</v>
      </c>
      <c r="AZ424" s="848">
        <f t="shared" si="371"/>
        <v>0</v>
      </c>
      <c r="BA424" s="848">
        <f t="shared" si="371"/>
        <v>0</v>
      </c>
      <c r="BB424" s="848">
        <f t="shared" si="371"/>
        <v>0</v>
      </c>
      <c r="BC424" s="848">
        <f t="shared" si="371"/>
        <v>0</v>
      </c>
      <c r="BD424" s="848">
        <f t="shared" si="371"/>
        <v>0</v>
      </c>
      <c r="BE424" s="848">
        <f t="shared" si="371"/>
        <v>0</v>
      </c>
      <c r="BF424" s="848">
        <f t="shared" si="371"/>
        <v>0</v>
      </c>
      <c r="BG424" s="848">
        <f t="shared" si="371"/>
        <v>0</v>
      </c>
      <c r="BH424" s="848">
        <f t="shared" si="371"/>
        <v>0</v>
      </c>
      <c r="BI424" s="848">
        <f t="shared" si="371"/>
        <v>0</v>
      </c>
      <c r="BJ424" s="848">
        <f t="shared" si="371"/>
        <v>0</v>
      </c>
      <c r="BK424" s="848">
        <f t="shared" si="371"/>
        <v>0</v>
      </c>
      <c r="BL424" s="848">
        <f t="shared" si="371"/>
        <v>0</v>
      </c>
      <c r="BM424" s="848">
        <f t="shared" si="371"/>
        <v>0</v>
      </c>
      <c r="BN424" s="848">
        <f t="shared" si="371"/>
        <v>216</v>
      </c>
      <c r="BO424" s="848">
        <f t="shared" si="334"/>
        <v>216</v>
      </c>
      <c r="BP424" s="848">
        <f t="shared" si="371"/>
        <v>0</v>
      </c>
      <c r="BQ424" s="848">
        <f t="shared" si="371"/>
        <v>0</v>
      </c>
      <c r="BR424" s="848"/>
      <c r="BS424" s="848">
        <f t="shared" si="371"/>
        <v>0</v>
      </c>
      <c r="BT424" s="848">
        <f t="shared" si="371"/>
        <v>0</v>
      </c>
      <c r="BU424" s="848"/>
      <c r="BV424" s="848">
        <f t="shared" si="371"/>
        <v>0</v>
      </c>
      <c r="BW424" s="848">
        <f t="shared" si="371"/>
        <v>0</v>
      </c>
      <c r="BX424" s="848">
        <f t="shared" si="371"/>
        <v>0</v>
      </c>
      <c r="BY424" s="848">
        <f t="shared" si="371"/>
        <v>0</v>
      </c>
      <c r="BZ424" s="848">
        <f t="shared" si="371"/>
        <v>0</v>
      </c>
      <c r="CA424" s="848">
        <f t="shared" si="371"/>
        <v>0</v>
      </c>
      <c r="CB424" s="848">
        <f t="shared" si="371"/>
        <v>0</v>
      </c>
      <c r="CC424" s="848">
        <f t="shared" si="371"/>
        <v>0</v>
      </c>
      <c r="CD424" s="848">
        <f t="shared" si="371"/>
        <v>0</v>
      </c>
      <c r="CE424" s="848">
        <f t="shared" si="371"/>
        <v>216</v>
      </c>
      <c r="CF424" s="848">
        <f t="shared" si="365"/>
        <v>100</v>
      </c>
      <c r="CG424" s="848"/>
      <c r="CH424" s="848"/>
      <c r="CI424" s="848"/>
      <c r="CJ424" s="848"/>
      <c r="CK424" s="848"/>
      <c r="CL424" s="848"/>
      <c r="CM424" s="848"/>
      <c r="CN424" s="848"/>
      <c r="CO424" s="848"/>
      <c r="CP424" s="848"/>
      <c r="CQ424" s="848"/>
      <c r="CR424" s="848"/>
      <c r="CS424" s="848"/>
      <c r="CT424" s="848"/>
      <c r="CU424" s="848"/>
      <c r="CV424" s="848"/>
      <c r="CW424" s="848">
        <f t="shared" si="358"/>
        <v>100</v>
      </c>
    </row>
    <row r="425" spans="1:101" ht="24.75" customHeight="1">
      <c r="A425" s="845"/>
      <c r="B425" s="852" t="s">
        <v>465</v>
      </c>
      <c r="C425" s="852" t="s">
        <v>1064</v>
      </c>
      <c r="D425" s="846"/>
      <c r="E425" s="845"/>
      <c r="F425" s="853" t="s">
        <v>1065</v>
      </c>
      <c r="G425" s="846" t="s">
        <v>1066</v>
      </c>
      <c r="H425" s="850">
        <f t="shared" si="352"/>
        <v>7094</v>
      </c>
      <c r="I425" s="855"/>
      <c r="J425" s="848"/>
      <c r="K425" s="848"/>
      <c r="L425" s="848"/>
      <c r="M425" s="848"/>
      <c r="N425" s="848"/>
      <c r="O425" s="848"/>
      <c r="P425" s="848"/>
      <c r="Q425" s="848"/>
      <c r="R425" s="848"/>
      <c r="S425" s="855">
        <v>7094</v>
      </c>
      <c r="T425" s="855">
        <f t="shared" si="341"/>
        <v>0</v>
      </c>
      <c r="U425" s="848"/>
      <c r="V425" s="848"/>
      <c r="W425" s="848"/>
      <c r="X425" s="848"/>
      <c r="Y425" s="848"/>
      <c r="Z425" s="848"/>
      <c r="AA425" s="848"/>
      <c r="AB425" s="848"/>
      <c r="AC425" s="848"/>
      <c r="AD425" s="848"/>
      <c r="AE425" s="848"/>
      <c r="AF425" s="848"/>
      <c r="AG425" s="848"/>
      <c r="AH425" s="855"/>
      <c r="AI425" s="855">
        <f>AX425</f>
        <v>0</v>
      </c>
      <c r="AJ425" s="855"/>
      <c r="AK425" s="855"/>
      <c r="AL425" s="855"/>
      <c r="AM425" s="855"/>
      <c r="AN425" s="855"/>
      <c r="AO425" s="855"/>
      <c r="AP425" s="855"/>
      <c r="AQ425" s="855"/>
      <c r="AR425" s="855"/>
      <c r="AS425" s="855"/>
      <c r="AT425" s="855"/>
      <c r="AU425" s="855"/>
      <c r="AV425" s="855"/>
      <c r="AW425" s="855"/>
      <c r="AX425" s="855"/>
      <c r="AY425" s="855">
        <f t="shared" ref="AY425" si="373">SUM(AZ425:BN425)</f>
        <v>216</v>
      </c>
      <c r="AZ425" s="855"/>
      <c r="BA425" s="855"/>
      <c r="BB425" s="855"/>
      <c r="BC425" s="855"/>
      <c r="BD425" s="855"/>
      <c r="BE425" s="855"/>
      <c r="BF425" s="855"/>
      <c r="BG425" s="855"/>
      <c r="BH425" s="855"/>
      <c r="BI425" s="855"/>
      <c r="BJ425" s="855"/>
      <c r="BK425" s="855"/>
      <c r="BL425" s="855"/>
      <c r="BM425" s="855"/>
      <c r="BN425" s="855">
        <f>'[10]bieu cu'!H108</f>
        <v>216</v>
      </c>
      <c r="BO425" s="848">
        <f t="shared" si="334"/>
        <v>216</v>
      </c>
      <c r="BP425" s="855"/>
      <c r="BQ425" s="855"/>
      <c r="BR425" s="855"/>
      <c r="BS425" s="855"/>
      <c r="BT425" s="855"/>
      <c r="BU425" s="855"/>
      <c r="BV425" s="855"/>
      <c r="BW425" s="855"/>
      <c r="BX425" s="855"/>
      <c r="BY425" s="855"/>
      <c r="BZ425" s="855"/>
      <c r="CA425" s="855"/>
      <c r="CB425" s="855"/>
      <c r="CC425" s="855"/>
      <c r="CD425" s="855"/>
      <c r="CE425" s="855">
        <f>'[10]bieu cu'!M108</f>
        <v>216</v>
      </c>
      <c r="CF425" s="848">
        <f t="shared" si="365"/>
        <v>100</v>
      </c>
      <c r="CG425" s="848"/>
      <c r="CH425" s="848"/>
      <c r="CI425" s="848"/>
      <c r="CJ425" s="848"/>
      <c r="CK425" s="848"/>
      <c r="CL425" s="848"/>
      <c r="CM425" s="848"/>
      <c r="CN425" s="848"/>
      <c r="CO425" s="848"/>
      <c r="CP425" s="848"/>
      <c r="CQ425" s="848"/>
      <c r="CR425" s="848"/>
      <c r="CS425" s="848"/>
      <c r="CT425" s="848"/>
      <c r="CU425" s="848"/>
      <c r="CV425" s="848"/>
      <c r="CW425" s="848">
        <f t="shared" si="358"/>
        <v>100</v>
      </c>
    </row>
    <row r="426" spans="1:101" s="851" customFormat="1" ht="24.75" customHeight="1">
      <c r="A426" s="845" t="s">
        <v>511</v>
      </c>
      <c r="B426" s="845"/>
      <c r="C426" s="857" t="s">
        <v>505</v>
      </c>
      <c r="D426" s="846">
        <f>D427</f>
        <v>0</v>
      </c>
      <c r="E426" s="845">
        <f t="shared" ref="E426:CE427" si="374">E427</f>
        <v>0</v>
      </c>
      <c r="F426" s="847"/>
      <c r="G426" s="845"/>
      <c r="H426" s="850">
        <f t="shared" si="352"/>
        <v>493</v>
      </c>
      <c r="I426" s="848">
        <f t="shared" si="374"/>
        <v>0</v>
      </c>
      <c r="J426" s="848">
        <f t="shared" si="374"/>
        <v>0</v>
      </c>
      <c r="K426" s="848">
        <f t="shared" si="374"/>
        <v>0</v>
      </c>
      <c r="L426" s="848">
        <f t="shared" si="374"/>
        <v>0</v>
      </c>
      <c r="M426" s="848">
        <f t="shared" si="374"/>
        <v>0</v>
      </c>
      <c r="N426" s="848">
        <f t="shared" si="374"/>
        <v>0</v>
      </c>
      <c r="O426" s="848">
        <f t="shared" si="374"/>
        <v>0</v>
      </c>
      <c r="P426" s="848">
        <f t="shared" si="374"/>
        <v>0</v>
      </c>
      <c r="Q426" s="848">
        <f t="shared" si="374"/>
        <v>0</v>
      </c>
      <c r="R426" s="848">
        <v>438</v>
      </c>
      <c r="S426" s="848">
        <f t="shared" si="374"/>
        <v>55</v>
      </c>
      <c r="T426" s="855">
        <f t="shared" si="341"/>
        <v>438.11599999999999</v>
      </c>
      <c r="U426" s="848">
        <f t="shared" ref="U426:AH427" si="375">U427</f>
        <v>0</v>
      </c>
      <c r="V426" s="848">
        <f t="shared" si="375"/>
        <v>0</v>
      </c>
      <c r="W426" s="848">
        <f t="shared" si="375"/>
        <v>0</v>
      </c>
      <c r="X426" s="848">
        <f t="shared" si="375"/>
        <v>0</v>
      </c>
      <c r="Y426" s="848">
        <f t="shared" si="375"/>
        <v>0</v>
      </c>
      <c r="Z426" s="848">
        <f t="shared" si="375"/>
        <v>0</v>
      </c>
      <c r="AA426" s="848">
        <f t="shared" si="375"/>
        <v>0</v>
      </c>
      <c r="AB426" s="848">
        <f t="shared" si="375"/>
        <v>0</v>
      </c>
      <c r="AC426" s="848">
        <f t="shared" si="375"/>
        <v>0</v>
      </c>
      <c r="AD426" s="848"/>
      <c r="AE426" s="848"/>
      <c r="AF426" s="848">
        <f t="shared" si="375"/>
        <v>0</v>
      </c>
      <c r="AG426" s="848">
        <f t="shared" si="375"/>
        <v>0</v>
      </c>
      <c r="AH426" s="848">
        <f t="shared" si="375"/>
        <v>438.11599999999999</v>
      </c>
      <c r="AI426" s="848">
        <f t="shared" si="374"/>
        <v>447</v>
      </c>
      <c r="AJ426" s="848">
        <f t="shared" si="374"/>
        <v>0</v>
      </c>
      <c r="AK426" s="848">
        <f t="shared" si="374"/>
        <v>0</v>
      </c>
      <c r="AL426" s="848">
        <f t="shared" si="374"/>
        <v>0</v>
      </c>
      <c r="AM426" s="848">
        <f t="shared" si="374"/>
        <v>0</v>
      </c>
      <c r="AN426" s="848">
        <f t="shared" si="374"/>
        <v>0</v>
      </c>
      <c r="AO426" s="848">
        <f t="shared" si="374"/>
        <v>0</v>
      </c>
      <c r="AP426" s="848">
        <f t="shared" si="374"/>
        <v>0</v>
      </c>
      <c r="AQ426" s="848">
        <f t="shared" si="374"/>
        <v>0</v>
      </c>
      <c r="AR426" s="848">
        <f t="shared" si="374"/>
        <v>0</v>
      </c>
      <c r="AS426" s="848"/>
      <c r="AT426" s="848">
        <f t="shared" si="374"/>
        <v>0</v>
      </c>
      <c r="AU426" s="848">
        <f t="shared" si="374"/>
        <v>0</v>
      </c>
      <c r="AV426" s="848">
        <f t="shared" si="374"/>
        <v>0</v>
      </c>
      <c r="AW426" s="848">
        <f t="shared" si="374"/>
        <v>0</v>
      </c>
      <c r="AX426" s="848">
        <f t="shared" si="374"/>
        <v>447</v>
      </c>
      <c r="AY426" s="848">
        <f t="shared" si="374"/>
        <v>4</v>
      </c>
      <c r="AZ426" s="848">
        <f t="shared" si="374"/>
        <v>0</v>
      </c>
      <c r="BA426" s="848"/>
      <c r="BB426" s="848"/>
      <c r="BC426" s="848">
        <f t="shared" si="374"/>
        <v>0</v>
      </c>
      <c r="BD426" s="848">
        <f t="shared" si="374"/>
        <v>0</v>
      </c>
      <c r="BE426" s="848"/>
      <c r="BF426" s="848">
        <f t="shared" si="374"/>
        <v>0</v>
      </c>
      <c r="BG426" s="848">
        <f t="shared" si="374"/>
        <v>0</v>
      </c>
      <c r="BH426" s="848">
        <f t="shared" si="374"/>
        <v>0</v>
      </c>
      <c r="BI426" s="848">
        <f t="shared" si="374"/>
        <v>0</v>
      </c>
      <c r="BJ426" s="848">
        <f t="shared" si="374"/>
        <v>0</v>
      </c>
      <c r="BK426" s="848">
        <f t="shared" si="374"/>
        <v>0</v>
      </c>
      <c r="BL426" s="848">
        <f t="shared" si="374"/>
        <v>0</v>
      </c>
      <c r="BM426" s="848">
        <f t="shared" si="374"/>
        <v>0</v>
      </c>
      <c r="BN426" s="848">
        <f t="shared" si="374"/>
        <v>4</v>
      </c>
      <c r="BO426" s="848">
        <f t="shared" si="334"/>
        <v>1.8720000000000001</v>
      </c>
      <c r="BP426" s="848">
        <f t="shared" si="374"/>
        <v>0</v>
      </c>
      <c r="BQ426" s="848"/>
      <c r="BR426" s="848"/>
      <c r="BS426" s="848">
        <f t="shared" si="374"/>
        <v>0</v>
      </c>
      <c r="BT426" s="848">
        <f t="shared" si="374"/>
        <v>0</v>
      </c>
      <c r="BU426" s="848"/>
      <c r="BV426" s="848">
        <f t="shared" si="374"/>
        <v>0</v>
      </c>
      <c r="BW426" s="848">
        <f t="shared" si="374"/>
        <v>0</v>
      </c>
      <c r="BX426" s="848">
        <f t="shared" si="374"/>
        <v>0</v>
      </c>
      <c r="BY426" s="848">
        <f t="shared" si="374"/>
        <v>0</v>
      </c>
      <c r="BZ426" s="848">
        <f t="shared" si="374"/>
        <v>0</v>
      </c>
      <c r="CA426" s="848">
        <f t="shared" si="374"/>
        <v>0</v>
      </c>
      <c r="CB426" s="848">
        <f t="shared" si="374"/>
        <v>0</v>
      </c>
      <c r="CC426" s="848">
        <f t="shared" si="374"/>
        <v>0</v>
      </c>
      <c r="CD426" s="848">
        <f t="shared" si="374"/>
        <v>0</v>
      </c>
      <c r="CE426" s="848">
        <f t="shared" si="374"/>
        <v>1.8720000000000001</v>
      </c>
      <c r="CF426" s="848">
        <f t="shared" si="365"/>
        <v>46.800000000000004</v>
      </c>
      <c r="CG426" s="848"/>
      <c r="CH426" s="848"/>
      <c r="CI426" s="848"/>
      <c r="CJ426" s="848"/>
      <c r="CK426" s="848"/>
      <c r="CL426" s="848"/>
      <c r="CM426" s="848"/>
      <c r="CN426" s="848"/>
      <c r="CO426" s="848"/>
      <c r="CP426" s="848"/>
      <c r="CQ426" s="848"/>
      <c r="CR426" s="848"/>
      <c r="CS426" s="848"/>
      <c r="CT426" s="848"/>
      <c r="CU426" s="848"/>
      <c r="CV426" s="848"/>
      <c r="CW426" s="848">
        <f t="shared" si="358"/>
        <v>46.800000000000004</v>
      </c>
    </row>
    <row r="427" spans="1:101" s="851" customFormat="1" ht="24.75" customHeight="1">
      <c r="A427" s="845"/>
      <c r="B427" s="845"/>
      <c r="C427" s="857" t="s">
        <v>358</v>
      </c>
      <c r="D427" s="846">
        <f>D428</f>
        <v>0</v>
      </c>
      <c r="E427" s="845">
        <f t="shared" si="374"/>
        <v>0</v>
      </c>
      <c r="F427" s="847"/>
      <c r="G427" s="845"/>
      <c r="H427" s="850">
        <f t="shared" si="352"/>
        <v>493</v>
      </c>
      <c r="I427" s="848">
        <f t="shared" si="374"/>
        <v>0</v>
      </c>
      <c r="J427" s="848">
        <f t="shared" si="374"/>
        <v>0</v>
      </c>
      <c r="K427" s="848">
        <f t="shared" si="374"/>
        <v>0</v>
      </c>
      <c r="L427" s="848">
        <f t="shared" si="374"/>
        <v>0</v>
      </c>
      <c r="M427" s="848">
        <f t="shared" si="374"/>
        <v>0</v>
      </c>
      <c r="N427" s="848">
        <f t="shared" si="374"/>
        <v>0</v>
      </c>
      <c r="O427" s="848">
        <f t="shared" si="374"/>
        <v>0</v>
      </c>
      <c r="P427" s="848">
        <f t="shared" si="374"/>
        <v>0</v>
      </c>
      <c r="Q427" s="848">
        <f t="shared" si="374"/>
        <v>0</v>
      </c>
      <c r="R427" s="848">
        <v>438</v>
      </c>
      <c r="S427" s="848">
        <f t="shared" si="374"/>
        <v>55</v>
      </c>
      <c r="T427" s="855">
        <f t="shared" si="341"/>
        <v>438.11599999999999</v>
      </c>
      <c r="U427" s="848">
        <f t="shared" si="375"/>
        <v>0</v>
      </c>
      <c r="V427" s="848">
        <f t="shared" si="375"/>
        <v>0</v>
      </c>
      <c r="W427" s="848">
        <f t="shared" si="375"/>
        <v>0</v>
      </c>
      <c r="X427" s="848">
        <f t="shared" si="375"/>
        <v>0</v>
      </c>
      <c r="Y427" s="848">
        <f t="shared" si="375"/>
        <v>0</v>
      </c>
      <c r="Z427" s="848">
        <f t="shared" si="375"/>
        <v>0</v>
      </c>
      <c r="AA427" s="848">
        <f t="shared" si="375"/>
        <v>0</v>
      </c>
      <c r="AB427" s="848">
        <f t="shared" si="375"/>
        <v>0</v>
      </c>
      <c r="AC427" s="848">
        <f t="shared" si="375"/>
        <v>0</v>
      </c>
      <c r="AD427" s="848"/>
      <c r="AE427" s="848"/>
      <c r="AF427" s="848">
        <f t="shared" si="375"/>
        <v>0</v>
      </c>
      <c r="AG427" s="848">
        <f t="shared" si="375"/>
        <v>0</v>
      </c>
      <c r="AH427" s="848">
        <f t="shared" si="375"/>
        <v>438.11599999999999</v>
      </c>
      <c r="AI427" s="848">
        <f t="shared" si="374"/>
        <v>447</v>
      </c>
      <c r="AJ427" s="848">
        <f t="shared" si="374"/>
        <v>0</v>
      </c>
      <c r="AK427" s="848">
        <f t="shared" si="374"/>
        <v>0</v>
      </c>
      <c r="AL427" s="848">
        <f t="shared" si="374"/>
        <v>0</v>
      </c>
      <c r="AM427" s="848">
        <f t="shared" si="374"/>
        <v>0</v>
      </c>
      <c r="AN427" s="848">
        <f t="shared" si="374"/>
        <v>0</v>
      </c>
      <c r="AO427" s="848">
        <f t="shared" si="374"/>
        <v>0</v>
      </c>
      <c r="AP427" s="848">
        <f t="shared" si="374"/>
        <v>0</v>
      </c>
      <c r="AQ427" s="848">
        <f t="shared" si="374"/>
        <v>0</v>
      </c>
      <c r="AR427" s="848">
        <f t="shared" si="374"/>
        <v>0</v>
      </c>
      <c r="AS427" s="848"/>
      <c r="AT427" s="848">
        <f t="shared" si="374"/>
        <v>0</v>
      </c>
      <c r="AU427" s="848">
        <f t="shared" si="374"/>
        <v>0</v>
      </c>
      <c r="AV427" s="848">
        <f t="shared" si="374"/>
        <v>0</v>
      </c>
      <c r="AW427" s="848">
        <f t="shared" si="374"/>
        <v>0</v>
      </c>
      <c r="AX427" s="848">
        <f t="shared" si="374"/>
        <v>447</v>
      </c>
      <c r="AY427" s="848">
        <f t="shared" si="374"/>
        <v>4</v>
      </c>
      <c r="AZ427" s="848">
        <f t="shared" si="374"/>
        <v>0</v>
      </c>
      <c r="BA427" s="848">
        <f t="shared" si="374"/>
        <v>0</v>
      </c>
      <c r="BB427" s="848">
        <f t="shared" si="374"/>
        <v>0</v>
      </c>
      <c r="BC427" s="848">
        <f t="shared" si="374"/>
        <v>0</v>
      </c>
      <c r="BD427" s="848">
        <f t="shared" si="374"/>
        <v>0</v>
      </c>
      <c r="BE427" s="848">
        <f t="shared" si="374"/>
        <v>0</v>
      </c>
      <c r="BF427" s="848">
        <f t="shared" si="374"/>
        <v>0</v>
      </c>
      <c r="BG427" s="848">
        <f t="shared" si="374"/>
        <v>0</v>
      </c>
      <c r="BH427" s="848">
        <f t="shared" si="374"/>
        <v>0</v>
      </c>
      <c r="BI427" s="848">
        <f t="shared" si="374"/>
        <v>0</v>
      </c>
      <c r="BJ427" s="848">
        <f t="shared" si="374"/>
        <v>0</v>
      </c>
      <c r="BK427" s="848">
        <f t="shared" si="374"/>
        <v>0</v>
      </c>
      <c r="BL427" s="848">
        <f t="shared" si="374"/>
        <v>0</v>
      </c>
      <c r="BM427" s="848">
        <f t="shared" si="374"/>
        <v>0</v>
      </c>
      <c r="BN427" s="848">
        <f t="shared" si="374"/>
        <v>4</v>
      </c>
      <c r="BO427" s="848">
        <f t="shared" si="334"/>
        <v>1.8720000000000001</v>
      </c>
      <c r="BP427" s="848">
        <f t="shared" si="374"/>
        <v>0</v>
      </c>
      <c r="BQ427" s="848">
        <f t="shared" si="374"/>
        <v>0</v>
      </c>
      <c r="BR427" s="848">
        <f t="shared" si="374"/>
        <v>0</v>
      </c>
      <c r="BS427" s="848">
        <f t="shared" si="374"/>
        <v>0</v>
      </c>
      <c r="BT427" s="848">
        <f t="shared" si="374"/>
        <v>0</v>
      </c>
      <c r="BU427" s="848">
        <f t="shared" si="374"/>
        <v>0</v>
      </c>
      <c r="BV427" s="848">
        <f t="shared" si="374"/>
        <v>0</v>
      </c>
      <c r="BW427" s="848">
        <f t="shared" si="374"/>
        <v>0</v>
      </c>
      <c r="BX427" s="848">
        <f t="shared" si="374"/>
        <v>0</v>
      </c>
      <c r="BY427" s="848">
        <f t="shared" si="374"/>
        <v>0</v>
      </c>
      <c r="BZ427" s="848">
        <f t="shared" si="374"/>
        <v>0</v>
      </c>
      <c r="CA427" s="848">
        <f t="shared" si="374"/>
        <v>0</v>
      </c>
      <c r="CB427" s="848">
        <f t="shared" si="374"/>
        <v>0</v>
      </c>
      <c r="CC427" s="848">
        <f t="shared" si="374"/>
        <v>0</v>
      </c>
      <c r="CD427" s="848">
        <f t="shared" si="374"/>
        <v>0</v>
      </c>
      <c r="CE427" s="848">
        <f t="shared" si="374"/>
        <v>1.8720000000000001</v>
      </c>
      <c r="CF427" s="848">
        <f t="shared" si="365"/>
        <v>46.800000000000004</v>
      </c>
      <c r="CG427" s="848"/>
      <c r="CH427" s="848"/>
      <c r="CI427" s="848"/>
      <c r="CJ427" s="848"/>
      <c r="CK427" s="848"/>
      <c r="CL427" s="848"/>
      <c r="CM427" s="848"/>
      <c r="CN427" s="848"/>
      <c r="CO427" s="848"/>
      <c r="CP427" s="848"/>
      <c r="CQ427" s="848"/>
      <c r="CR427" s="848"/>
      <c r="CS427" s="848"/>
      <c r="CT427" s="848"/>
      <c r="CU427" s="848"/>
      <c r="CV427" s="848"/>
      <c r="CW427" s="848">
        <f t="shared" si="358"/>
        <v>46.800000000000004</v>
      </c>
    </row>
    <row r="428" spans="1:101" ht="39.6" customHeight="1">
      <c r="A428" s="845"/>
      <c r="B428" s="852" t="s">
        <v>505</v>
      </c>
      <c r="C428" s="852" t="s">
        <v>1067</v>
      </c>
      <c r="D428" s="846"/>
      <c r="E428" s="845"/>
      <c r="F428" s="853">
        <v>2010</v>
      </c>
      <c r="G428" s="846" t="s">
        <v>1068</v>
      </c>
      <c r="H428" s="850">
        <f t="shared" si="352"/>
        <v>493</v>
      </c>
      <c r="I428" s="850"/>
      <c r="J428" s="848"/>
      <c r="K428" s="848"/>
      <c r="L428" s="848"/>
      <c r="M428" s="848"/>
      <c r="N428" s="848"/>
      <c r="O428" s="848"/>
      <c r="P428" s="848"/>
      <c r="Q428" s="848"/>
      <c r="R428" s="855">
        <v>438</v>
      </c>
      <c r="S428" s="855">
        <v>55</v>
      </c>
      <c r="T428" s="855">
        <f t="shared" si="341"/>
        <v>438.11599999999999</v>
      </c>
      <c r="U428" s="848"/>
      <c r="V428" s="848"/>
      <c r="W428" s="848"/>
      <c r="X428" s="848"/>
      <c r="Y428" s="848"/>
      <c r="Z428" s="848"/>
      <c r="AA428" s="848"/>
      <c r="AB428" s="848"/>
      <c r="AC428" s="848"/>
      <c r="AD428" s="848"/>
      <c r="AE428" s="848"/>
      <c r="AF428" s="848"/>
      <c r="AG428" s="848"/>
      <c r="AH428" s="855">
        <v>438.11599999999999</v>
      </c>
      <c r="AI428" s="855">
        <f>AX428</f>
        <v>447</v>
      </c>
      <c r="AJ428" s="855"/>
      <c r="AK428" s="855"/>
      <c r="AL428" s="855"/>
      <c r="AM428" s="855"/>
      <c r="AN428" s="855"/>
      <c r="AO428" s="855"/>
      <c r="AP428" s="855"/>
      <c r="AQ428" s="855"/>
      <c r="AR428" s="855"/>
      <c r="AS428" s="855"/>
      <c r="AT428" s="855"/>
      <c r="AU428" s="855"/>
      <c r="AV428" s="855"/>
      <c r="AW428" s="855"/>
      <c r="AX428" s="855">
        <v>447</v>
      </c>
      <c r="AY428" s="855">
        <f t="shared" ref="AY428" si="376">SUM(AZ428:BN428)</f>
        <v>4</v>
      </c>
      <c r="AZ428" s="855"/>
      <c r="BA428" s="855"/>
      <c r="BB428" s="855"/>
      <c r="BC428" s="855"/>
      <c r="BD428" s="855"/>
      <c r="BE428" s="855"/>
      <c r="BF428" s="855"/>
      <c r="BG428" s="855"/>
      <c r="BH428" s="855"/>
      <c r="BI428" s="855"/>
      <c r="BJ428" s="855"/>
      <c r="BK428" s="855"/>
      <c r="BL428" s="855"/>
      <c r="BM428" s="855"/>
      <c r="BN428" s="855">
        <v>4</v>
      </c>
      <c r="BO428" s="848">
        <f t="shared" si="334"/>
        <v>1.8720000000000001</v>
      </c>
      <c r="BP428" s="855"/>
      <c r="BQ428" s="855"/>
      <c r="BR428" s="855"/>
      <c r="BS428" s="855"/>
      <c r="BT428" s="855"/>
      <c r="BU428" s="855"/>
      <c r="BV428" s="855"/>
      <c r="BW428" s="855"/>
      <c r="BX428" s="855"/>
      <c r="BY428" s="855"/>
      <c r="BZ428" s="855"/>
      <c r="CA428" s="855"/>
      <c r="CB428" s="855"/>
      <c r="CC428" s="855"/>
      <c r="CD428" s="855"/>
      <c r="CE428" s="855">
        <f>'[10]bieu cu'!M45</f>
        <v>1.8720000000000001</v>
      </c>
      <c r="CF428" s="848">
        <f t="shared" si="365"/>
        <v>46.800000000000004</v>
      </c>
      <c r="CG428" s="848"/>
      <c r="CH428" s="848"/>
      <c r="CI428" s="848"/>
      <c r="CJ428" s="848"/>
      <c r="CK428" s="848"/>
      <c r="CL428" s="848"/>
      <c r="CM428" s="848"/>
      <c r="CN428" s="848"/>
      <c r="CO428" s="848"/>
      <c r="CP428" s="848"/>
      <c r="CQ428" s="848"/>
      <c r="CR428" s="848"/>
      <c r="CS428" s="848"/>
      <c r="CT428" s="848"/>
      <c r="CU428" s="848"/>
      <c r="CV428" s="848"/>
      <c r="CW428" s="848">
        <f t="shared" si="358"/>
        <v>46.800000000000004</v>
      </c>
    </row>
    <row r="429" spans="1:101" s="851" customFormat="1" ht="24.75" customHeight="1">
      <c r="A429" s="845" t="s">
        <v>577</v>
      </c>
      <c r="B429" s="845"/>
      <c r="C429" s="857" t="s">
        <v>1069</v>
      </c>
      <c r="D429" s="846">
        <f>D430</f>
        <v>0</v>
      </c>
      <c r="E429" s="845">
        <f t="shared" ref="E429:CE430" si="377">E430</f>
        <v>0</v>
      </c>
      <c r="F429" s="847"/>
      <c r="G429" s="845"/>
      <c r="H429" s="850">
        <f t="shared" si="352"/>
        <v>16116</v>
      </c>
      <c r="I429" s="848">
        <f t="shared" si="377"/>
        <v>0</v>
      </c>
      <c r="J429" s="848">
        <f t="shared" si="377"/>
        <v>0</v>
      </c>
      <c r="K429" s="848">
        <f t="shared" si="377"/>
        <v>0</v>
      </c>
      <c r="L429" s="848">
        <f t="shared" si="377"/>
        <v>0</v>
      </c>
      <c r="M429" s="848">
        <f t="shared" si="377"/>
        <v>0</v>
      </c>
      <c r="N429" s="848">
        <f t="shared" si="377"/>
        <v>0</v>
      </c>
      <c r="O429" s="848">
        <f t="shared" si="377"/>
        <v>0</v>
      </c>
      <c r="P429" s="848">
        <f t="shared" si="377"/>
        <v>0</v>
      </c>
      <c r="Q429" s="848">
        <f t="shared" si="377"/>
        <v>0</v>
      </c>
      <c r="R429" s="848">
        <v>6358</v>
      </c>
      <c r="S429" s="848">
        <f t="shared" si="377"/>
        <v>9758</v>
      </c>
      <c r="T429" s="855">
        <f t="shared" si="341"/>
        <v>9500</v>
      </c>
      <c r="U429" s="848">
        <f t="shared" ref="T429:AH430" si="378">U430</f>
        <v>0</v>
      </c>
      <c r="V429" s="848">
        <f t="shared" si="378"/>
        <v>0</v>
      </c>
      <c r="W429" s="848">
        <f t="shared" si="378"/>
        <v>0</v>
      </c>
      <c r="X429" s="848">
        <f t="shared" si="378"/>
        <v>0</v>
      </c>
      <c r="Y429" s="848">
        <f t="shared" si="378"/>
        <v>0</v>
      </c>
      <c r="Z429" s="848">
        <f t="shared" si="378"/>
        <v>0</v>
      </c>
      <c r="AA429" s="848">
        <f t="shared" si="378"/>
        <v>0</v>
      </c>
      <c r="AB429" s="848">
        <f t="shared" si="378"/>
        <v>0</v>
      </c>
      <c r="AC429" s="848">
        <f t="shared" si="378"/>
        <v>0</v>
      </c>
      <c r="AD429" s="848"/>
      <c r="AE429" s="848"/>
      <c r="AF429" s="848">
        <f t="shared" si="378"/>
        <v>0</v>
      </c>
      <c r="AG429" s="848">
        <f t="shared" si="378"/>
        <v>0</v>
      </c>
      <c r="AH429" s="848">
        <f t="shared" si="378"/>
        <v>9500</v>
      </c>
      <c r="AI429" s="848">
        <f t="shared" si="377"/>
        <v>9500</v>
      </c>
      <c r="AJ429" s="848">
        <f t="shared" si="377"/>
        <v>0</v>
      </c>
      <c r="AK429" s="848">
        <f t="shared" si="377"/>
        <v>0</v>
      </c>
      <c r="AL429" s="848">
        <f t="shared" si="377"/>
        <v>0</v>
      </c>
      <c r="AM429" s="848">
        <f t="shared" si="377"/>
        <v>0</v>
      </c>
      <c r="AN429" s="848">
        <f t="shared" si="377"/>
        <v>0</v>
      </c>
      <c r="AO429" s="848">
        <f t="shared" si="377"/>
        <v>0</v>
      </c>
      <c r="AP429" s="848">
        <f t="shared" si="377"/>
        <v>0</v>
      </c>
      <c r="AQ429" s="848">
        <f t="shared" si="377"/>
        <v>0</v>
      </c>
      <c r="AR429" s="848">
        <f t="shared" si="377"/>
        <v>0</v>
      </c>
      <c r="AS429" s="848"/>
      <c r="AT429" s="848">
        <f t="shared" si="377"/>
        <v>0</v>
      </c>
      <c r="AU429" s="848">
        <f t="shared" si="377"/>
        <v>0</v>
      </c>
      <c r="AV429" s="848">
        <f t="shared" si="377"/>
        <v>0</v>
      </c>
      <c r="AW429" s="848">
        <f t="shared" si="377"/>
        <v>0</v>
      </c>
      <c r="AX429" s="848">
        <f>AX430</f>
        <v>9500</v>
      </c>
      <c r="AY429" s="848">
        <f t="shared" si="377"/>
        <v>6616</v>
      </c>
      <c r="AZ429" s="848">
        <f t="shared" si="377"/>
        <v>0</v>
      </c>
      <c r="BA429" s="848"/>
      <c r="BB429" s="848"/>
      <c r="BC429" s="848">
        <f t="shared" si="377"/>
        <v>0</v>
      </c>
      <c r="BD429" s="848">
        <f t="shared" si="377"/>
        <v>0</v>
      </c>
      <c r="BE429" s="848"/>
      <c r="BF429" s="848">
        <f t="shared" si="377"/>
        <v>0</v>
      </c>
      <c r="BG429" s="848">
        <f t="shared" si="377"/>
        <v>0</v>
      </c>
      <c r="BH429" s="848">
        <f t="shared" si="377"/>
        <v>0</v>
      </c>
      <c r="BI429" s="848">
        <f t="shared" si="377"/>
        <v>0</v>
      </c>
      <c r="BJ429" s="848">
        <f t="shared" si="377"/>
        <v>0</v>
      </c>
      <c r="BK429" s="848">
        <f t="shared" si="377"/>
        <v>0</v>
      </c>
      <c r="BL429" s="848">
        <f t="shared" si="377"/>
        <v>0</v>
      </c>
      <c r="BM429" s="848">
        <f t="shared" si="377"/>
        <v>0</v>
      </c>
      <c r="BN429" s="848">
        <f t="shared" si="377"/>
        <v>6616</v>
      </c>
      <c r="BO429" s="848">
        <f t="shared" si="334"/>
        <v>6615.2269999999999</v>
      </c>
      <c r="BP429" s="848">
        <f t="shared" si="377"/>
        <v>0</v>
      </c>
      <c r="BQ429" s="848"/>
      <c r="BR429" s="848"/>
      <c r="BS429" s="848">
        <f t="shared" si="377"/>
        <v>0</v>
      </c>
      <c r="BT429" s="848">
        <f t="shared" si="377"/>
        <v>0</v>
      </c>
      <c r="BU429" s="848"/>
      <c r="BV429" s="848">
        <f t="shared" si="377"/>
        <v>0</v>
      </c>
      <c r="BW429" s="848">
        <f t="shared" si="377"/>
        <v>0</v>
      </c>
      <c r="BX429" s="848">
        <f t="shared" si="377"/>
        <v>0</v>
      </c>
      <c r="BY429" s="848">
        <f t="shared" si="377"/>
        <v>0</v>
      </c>
      <c r="BZ429" s="848">
        <f t="shared" si="377"/>
        <v>0</v>
      </c>
      <c r="CA429" s="848">
        <f t="shared" si="377"/>
        <v>0</v>
      </c>
      <c r="CB429" s="848">
        <f t="shared" si="377"/>
        <v>0</v>
      </c>
      <c r="CC429" s="848">
        <f t="shared" si="377"/>
        <v>0</v>
      </c>
      <c r="CD429" s="848">
        <f t="shared" si="377"/>
        <v>0</v>
      </c>
      <c r="CE429" s="848">
        <f t="shared" si="377"/>
        <v>6615.2269999999999</v>
      </c>
      <c r="CF429" s="848">
        <f t="shared" si="365"/>
        <v>99.988316203143896</v>
      </c>
      <c r="CG429" s="848"/>
      <c r="CH429" s="848"/>
      <c r="CI429" s="848"/>
      <c r="CJ429" s="848"/>
      <c r="CK429" s="848"/>
      <c r="CL429" s="848"/>
      <c r="CM429" s="848"/>
      <c r="CN429" s="848"/>
      <c r="CO429" s="848"/>
      <c r="CP429" s="848"/>
      <c r="CQ429" s="848"/>
      <c r="CR429" s="848"/>
      <c r="CS429" s="848"/>
      <c r="CT429" s="848"/>
      <c r="CU429" s="848"/>
      <c r="CV429" s="848"/>
      <c r="CW429" s="848">
        <f t="shared" si="358"/>
        <v>99.988316203143896</v>
      </c>
    </row>
    <row r="430" spans="1:101" s="851" customFormat="1" ht="24.75" customHeight="1">
      <c r="A430" s="845"/>
      <c r="B430" s="845"/>
      <c r="C430" s="857" t="s">
        <v>358</v>
      </c>
      <c r="D430" s="846">
        <f>D431</f>
        <v>0</v>
      </c>
      <c r="E430" s="845">
        <f t="shared" si="377"/>
        <v>0</v>
      </c>
      <c r="F430" s="847"/>
      <c r="G430" s="845"/>
      <c r="H430" s="850">
        <f t="shared" si="352"/>
        <v>16116</v>
      </c>
      <c r="I430" s="848">
        <f t="shared" si="377"/>
        <v>0</v>
      </c>
      <c r="J430" s="848">
        <f t="shared" si="377"/>
        <v>0</v>
      </c>
      <c r="K430" s="848">
        <f t="shared" si="377"/>
        <v>0</v>
      </c>
      <c r="L430" s="848">
        <f t="shared" si="377"/>
        <v>0</v>
      </c>
      <c r="M430" s="848">
        <f t="shared" si="377"/>
        <v>0</v>
      </c>
      <c r="N430" s="848">
        <f t="shared" si="377"/>
        <v>0</v>
      </c>
      <c r="O430" s="848">
        <f t="shared" si="377"/>
        <v>0</v>
      </c>
      <c r="P430" s="848">
        <f t="shared" si="377"/>
        <v>0</v>
      </c>
      <c r="Q430" s="848">
        <f t="shared" si="377"/>
        <v>0</v>
      </c>
      <c r="R430" s="848">
        <v>6358</v>
      </c>
      <c r="S430" s="848">
        <f t="shared" si="377"/>
        <v>9758</v>
      </c>
      <c r="T430" s="848">
        <f t="shared" si="378"/>
        <v>9500</v>
      </c>
      <c r="U430" s="848">
        <f t="shared" si="378"/>
        <v>0</v>
      </c>
      <c r="V430" s="848">
        <f t="shared" si="378"/>
        <v>0</v>
      </c>
      <c r="W430" s="848">
        <f t="shared" si="378"/>
        <v>0</v>
      </c>
      <c r="X430" s="848">
        <f t="shared" si="378"/>
        <v>0</v>
      </c>
      <c r="Y430" s="848">
        <f t="shared" si="378"/>
        <v>0</v>
      </c>
      <c r="Z430" s="848">
        <f t="shared" si="378"/>
        <v>0</v>
      </c>
      <c r="AA430" s="848">
        <f t="shared" si="378"/>
        <v>0</v>
      </c>
      <c r="AB430" s="848">
        <f t="shared" si="378"/>
        <v>0</v>
      </c>
      <c r="AC430" s="848">
        <f t="shared" si="378"/>
        <v>0</v>
      </c>
      <c r="AD430" s="848"/>
      <c r="AE430" s="848"/>
      <c r="AF430" s="848">
        <f t="shared" si="378"/>
        <v>0</v>
      </c>
      <c r="AG430" s="848">
        <f t="shared" si="378"/>
        <v>0</v>
      </c>
      <c r="AH430" s="848">
        <f t="shared" si="378"/>
        <v>9500</v>
      </c>
      <c r="AI430" s="848">
        <f t="shared" si="377"/>
        <v>9500</v>
      </c>
      <c r="AJ430" s="848">
        <f t="shared" si="377"/>
        <v>0</v>
      </c>
      <c r="AK430" s="848">
        <f t="shared" si="377"/>
        <v>0</v>
      </c>
      <c r="AL430" s="848">
        <f t="shared" si="377"/>
        <v>0</v>
      </c>
      <c r="AM430" s="848">
        <f t="shared" si="377"/>
        <v>0</v>
      </c>
      <c r="AN430" s="848">
        <f t="shared" si="377"/>
        <v>0</v>
      </c>
      <c r="AO430" s="848">
        <f t="shared" si="377"/>
        <v>0</v>
      </c>
      <c r="AP430" s="848">
        <f t="shared" si="377"/>
        <v>0</v>
      </c>
      <c r="AQ430" s="848">
        <f t="shared" si="377"/>
        <v>0</v>
      </c>
      <c r="AR430" s="848">
        <f t="shared" si="377"/>
        <v>0</v>
      </c>
      <c r="AS430" s="848"/>
      <c r="AT430" s="848">
        <f t="shared" si="377"/>
        <v>0</v>
      </c>
      <c r="AU430" s="848">
        <f t="shared" si="377"/>
        <v>0</v>
      </c>
      <c r="AV430" s="848">
        <f t="shared" si="377"/>
        <v>0</v>
      </c>
      <c r="AW430" s="848">
        <f t="shared" si="377"/>
        <v>0</v>
      </c>
      <c r="AX430" s="848">
        <f t="shared" si="377"/>
        <v>9500</v>
      </c>
      <c r="AY430" s="848">
        <f t="shared" si="377"/>
        <v>6616</v>
      </c>
      <c r="AZ430" s="848">
        <f t="shared" si="377"/>
        <v>0</v>
      </c>
      <c r="BA430" s="848">
        <f t="shared" si="377"/>
        <v>0</v>
      </c>
      <c r="BB430" s="848">
        <f t="shared" si="377"/>
        <v>0</v>
      </c>
      <c r="BC430" s="848">
        <f t="shared" si="377"/>
        <v>0</v>
      </c>
      <c r="BD430" s="848">
        <f t="shared" si="377"/>
        <v>0</v>
      </c>
      <c r="BE430" s="848">
        <f t="shared" si="377"/>
        <v>0</v>
      </c>
      <c r="BF430" s="848">
        <f t="shared" si="377"/>
        <v>0</v>
      </c>
      <c r="BG430" s="848">
        <f t="shared" si="377"/>
        <v>0</v>
      </c>
      <c r="BH430" s="848">
        <f t="shared" si="377"/>
        <v>0</v>
      </c>
      <c r="BI430" s="848">
        <f t="shared" si="377"/>
        <v>0</v>
      </c>
      <c r="BJ430" s="848">
        <f t="shared" si="377"/>
        <v>0</v>
      </c>
      <c r="BK430" s="848">
        <f t="shared" si="377"/>
        <v>0</v>
      </c>
      <c r="BL430" s="848">
        <f t="shared" si="377"/>
        <v>0</v>
      </c>
      <c r="BM430" s="848">
        <f t="shared" si="377"/>
        <v>0</v>
      </c>
      <c r="BN430" s="848">
        <f t="shared" si="377"/>
        <v>6616</v>
      </c>
      <c r="BO430" s="848">
        <f t="shared" si="334"/>
        <v>6615.2269999999999</v>
      </c>
      <c r="BP430" s="848">
        <f t="shared" si="377"/>
        <v>0</v>
      </c>
      <c r="BQ430" s="848">
        <f t="shared" si="377"/>
        <v>0</v>
      </c>
      <c r="BR430" s="848">
        <f t="shared" si="377"/>
        <v>0</v>
      </c>
      <c r="BS430" s="848">
        <f t="shared" si="377"/>
        <v>0</v>
      </c>
      <c r="BT430" s="848">
        <f t="shared" si="377"/>
        <v>0</v>
      </c>
      <c r="BU430" s="848">
        <f t="shared" si="377"/>
        <v>0</v>
      </c>
      <c r="BV430" s="848">
        <f t="shared" si="377"/>
        <v>0</v>
      </c>
      <c r="BW430" s="848">
        <f t="shared" si="377"/>
        <v>0</v>
      </c>
      <c r="BX430" s="848">
        <f t="shared" si="377"/>
        <v>0</v>
      </c>
      <c r="BY430" s="848">
        <f t="shared" si="377"/>
        <v>0</v>
      </c>
      <c r="BZ430" s="848">
        <f t="shared" si="377"/>
        <v>0</v>
      </c>
      <c r="CA430" s="848">
        <f t="shared" si="377"/>
        <v>0</v>
      </c>
      <c r="CB430" s="848">
        <f t="shared" si="377"/>
        <v>0</v>
      </c>
      <c r="CC430" s="848">
        <f t="shared" si="377"/>
        <v>0</v>
      </c>
      <c r="CD430" s="848">
        <f t="shared" si="377"/>
        <v>0</v>
      </c>
      <c r="CE430" s="848">
        <f t="shared" si="377"/>
        <v>6615.2269999999999</v>
      </c>
      <c r="CF430" s="848">
        <f t="shared" ref="CF430:CS430" si="379">CF431</f>
        <v>99.988316203143896</v>
      </c>
      <c r="CG430" s="848"/>
      <c r="CH430" s="848"/>
      <c r="CI430" s="848"/>
      <c r="CJ430" s="848"/>
      <c r="CK430" s="848"/>
      <c r="CL430" s="848"/>
      <c r="CM430" s="848"/>
      <c r="CN430" s="848"/>
      <c r="CO430" s="848"/>
      <c r="CP430" s="848"/>
      <c r="CQ430" s="848"/>
      <c r="CR430" s="848"/>
      <c r="CS430" s="848">
        <f t="shared" si="379"/>
        <v>0</v>
      </c>
      <c r="CT430" s="848"/>
      <c r="CU430" s="848"/>
      <c r="CV430" s="848"/>
      <c r="CW430" s="848">
        <f t="shared" si="358"/>
        <v>99.988316203143896</v>
      </c>
    </row>
    <row r="431" spans="1:101" ht="46.9" customHeight="1">
      <c r="A431" s="845"/>
      <c r="B431" s="852" t="s">
        <v>1069</v>
      </c>
      <c r="C431" s="852" t="s">
        <v>1070</v>
      </c>
      <c r="D431" s="846"/>
      <c r="E431" s="845"/>
      <c r="F431" s="853">
        <v>2014</v>
      </c>
      <c r="G431" s="854" t="s">
        <v>1071</v>
      </c>
      <c r="H431" s="850">
        <f t="shared" si="352"/>
        <v>16116</v>
      </c>
      <c r="I431" s="850"/>
      <c r="J431" s="848"/>
      <c r="K431" s="848"/>
      <c r="L431" s="848"/>
      <c r="M431" s="848"/>
      <c r="N431" s="848"/>
      <c r="O431" s="848"/>
      <c r="P431" s="848"/>
      <c r="Q431" s="848"/>
      <c r="R431" s="855">
        <v>6358</v>
      </c>
      <c r="S431" s="855">
        <v>9758</v>
      </c>
      <c r="T431" s="855">
        <f t="shared" si="341"/>
        <v>9500</v>
      </c>
      <c r="U431" s="848"/>
      <c r="V431" s="848"/>
      <c r="W431" s="848"/>
      <c r="X431" s="848"/>
      <c r="Y431" s="848"/>
      <c r="Z431" s="848"/>
      <c r="AA431" s="848"/>
      <c r="AB431" s="848"/>
      <c r="AC431" s="848"/>
      <c r="AD431" s="848"/>
      <c r="AE431" s="848"/>
      <c r="AF431" s="848"/>
      <c r="AG431" s="848"/>
      <c r="AH431" s="855">
        <v>9500</v>
      </c>
      <c r="AI431" s="855">
        <f>AX431</f>
        <v>9500</v>
      </c>
      <c r="AJ431" s="855"/>
      <c r="AK431" s="855"/>
      <c r="AL431" s="855"/>
      <c r="AM431" s="855"/>
      <c r="AN431" s="855"/>
      <c r="AO431" s="855"/>
      <c r="AP431" s="855"/>
      <c r="AQ431" s="855"/>
      <c r="AR431" s="855"/>
      <c r="AS431" s="855"/>
      <c r="AT431" s="855"/>
      <c r="AU431" s="855"/>
      <c r="AV431" s="855"/>
      <c r="AW431" s="855"/>
      <c r="AX431" s="855">
        <v>9500</v>
      </c>
      <c r="AY431" s="855">
        <f t="shared" ref="AY431" si="380">SUM(AZ431:BN431)</f>
        <v>6616</v>
      </c>
      <c r="AZ431" s="855"/>
      <c r="BA431" s="855"/>
      <c r="BB431" s="855"/>
      <c r="BC431" s="855"/>
      <c r="BD431" s="855"/>
      <c r="BE431" s="855"/>
      <c r="BF431" s="855"/>
      <c r="BG431" s="855"/>
      <c r="BH431" s="855"/>
      <c r="BI431" s="855"/>
      <c r="BJ431" s="855"/>
      <c r="BK431" s="855"/>
      <c r="BL431" s="855"/>
      <c r="BM431" s="855"/>
      <c r="BN431" s="855">
        <f>'[10]bieu cu'!H49</f>
        <v>6616</v>
      </c>
      <c r="BO431" s="848">
        <f t="shared" si="334"/>
        <v>6615.2269999999999</v>
      </c>
      <c r="BP431" s="855"/>
      <c r="BQ431" s="855"/>
      <c r="BR431" s="855"/>
      <c r="BS431" s="855"/>
      <c r="BT431" s="855"/>
      <c r="BU431" s="855"/>
      <c r="BV431" s="855"/>
      <c r="BW431" s="855"/>
      <c r="BX431" s="855"/>
      <c r="BY431" s="855"/>
      <c r="BZ431" s="855"/>
      <c r="CA431" s="855"/>
      <c r="CB431" s="855"/>
      <c r="CC431" s="855"/>
      <c r="CD431" s="855"/>
      <c r="CE431" s="855">
        <f>'[10]bieu cu'!M49</f>
        <v>6615.2269999999999</v>
      </c>
      <c r="CF431" s="848">
        <f>BO431/AY431%</f>
        <v>99.988316203143896</v>
      </c>
      <c r="CG431" s="848"/>
      <c r="CH431" s="848"/>
      <c r="CI431" s="848"/>
      <c r="CJ431" s="848"/>
      <c r="CK431" s="848"/>
      <c r="CL431" s="848"/>
      <c r="CM431" s="848"/>
      <c r="CN431" s="848"/>
      <c r="CO431" s="848"/>
      <c r="CP431" s="848"/>
      <c r="CQ431" s="848"/>
      <c r="CR431" s="848"/>
      <c r="CS431" s="848"/>
      <c r="CT431" s="848"/>
      <c r="CU431" s="848"/>
      <c r="CV431" s="848"/>
      <c r="CW431" s="848">
        <f t="shared" si="358"/>
        <v>99.988316203143896</v>
      </c>
    </row>
    <row r="432" spans="1:101" s="851" customFormat="1" ht="27.6" customHeight="1">
      <c r="A432" s="845" t="s">
        <v>593</v>
      </c>
      <c r="B432" s="845"/>
      <c r="C432" s="857" t="s">
        <v>976</v>
      </c>
      <c r="D432" s="846">
        <f>D433</f>
        <v>0</v>
      </c>
      <c r="E432" s="845">
        <f t="shared" ref="E432" si="381">E433</f>
        <v>0</v>
      </c>
      <c r="F432" s="847"/>
      <c r="G432" s="845"/>
      <c r="H432" s="850">
        <f t="shared" si="352"/>
        <v>6759</v>
      </c>
      <c r="I432" s="848">
        <f t="shared" ref="I432:BT432" si="382">I433</f>
        <v>0</v>
      </c>
      <c r="J432" s="848">
        <f t="shared" si="382"/>
        <v>0</v>
      </c>
      <c r="K432" s="848">
        <f t="shared" si="382"/>
        <v>0</v>
      </c>
      <c r="L432" s="848">
        <f t="shared" si="382"/>
        <v>0</v>
      </c>
      <c r="M432" s="848">
        <f t="shared" si="382"/>
        <v>0</v>
      </c>
      <c r="N432" s="848">
        <f t="shared" si="382"/>
        <v>0</v>
      </c>
      <c r="O432" s="848">
        <f t="shared" si="382"/>
        <v>0</v>
      </c>
      <c r="P432" s="848">
        <f t="shared" si="382"/>
        <v>0</v>
      </c>
      <c r="Q432" s="848">
        <f t="shared" si="382"/>
        <v>0</v>
      </c>
      <c r="R432" s="848">
        <v>0</v>
      </c>
      <c r="S432" s="848">
        <f>S433</f>
        <v>6759</v>
      </c>
      <c r="T432" s="848">
        <f t="shared" si="382"/>
        <v>5336.59</v>
      </c>
      <c r="U432" s="848">
        <f t="shared" si="382"/>
        <v>0</v>
      </c>
      <c r="V432" s="848">
        <f t="shared" si="382"/>
        <v>0</v>
      </c>
      <c r="W432" s="848">
        <f t="shared" si="382"/>
        <v>5336.59</v>
      </c>
      <c r="X432" s="848">
        <f t="shared" si="382"/>
        <v>0</v>
      </c>
      <c r="Y432" s="848">
        <f t="shared" si="382"/>
        <v>0</v>
      </c>
      <c r="Z432" s="848">
        <f t="shared" si="382"/>
        <v>0</v>
      </c>
      <c r="AA432" s="848">
        <f t="shared" si="382"/>
        <v>0</v>
      </c>
      <c r="AB432" s="848">
        <f t="shared" si="382"/>
        <v>0</v>
      </c>
      <c r="AC432" s="848">
        <f t="shared" si="382"/>
        <v>0</v>
      </c>
      <c r="AD432" s="848"/>
      <c r="AE432" s="848"/>
      <c r="AF432" s="848">
        <f t="shared" si="382"/>
        <v>0</v>
      </c>
      <c r="AG432" s="848">
        <f t="shared" si="382"/>
        <v>0</v>
      </c>
      <c r="AH432" s="848">
        <f t="shared" si="382"/>
        <v>0</v>
      </c>
      <c r="AI432" s="848">
        <f t="shared" si="382"/>
        <v>3192</v>
      </c>
      <c r="AJ432" s="848">
        <f t="shared" si="382"/>
        <v>0</v>
      </c>
      <c r="AK432" s="848">
        <f t="shared" si="382"/>
        <v>0</v>
      </c>
      <c r="AL432" s="848">
        <f t="shared" si="382"/>
        <v>3192</v>
      </c>
      <c r="AM432" s="848">
        <f t="shared" si="382"/>
        <v>0</v>
      </c>
      <c r="AN432" s="848">
        <f t="shared" si="382"/>
        <v>0</v>
      </c>
      <c r="AO432" s="848">
        <f t="shared" si="382"/>
        <v>0</v>
      </c>
      <c r="AP432" s="848">
        <f t="shared" si="382"/>
        <v>0</v>
      </c>
      <c r="AQ432" s="848">
        <f t="shared" si="382"/>
        <v>0</v>
      </c>
      <c r="AR432" s="848">
        <f t="shared" si="382"/>
        <v>0</v>
      </c>
      <c r="AS432" s="848"/>
      <c r="AT432" s="848">
        <f t="shared" si="382"/>
        <v>0</v>
      </c>
      <c r="AU432" s="848">
        <f t="shared" si="382"/>
        <v>0</v>
      </c>
      <c r="AV432" s="848">
        <f t="shared" si="382"/>
        <v>0</v>
      </c>
      <c r="AW432" s="848">
        <f t="shared" si="382"/>
        <v>0</v>
      </c>
      <c r="AX432" s="848">
        <f t="shared" si="382"/>
        <v>0</v>
      </c>
      <c r="AY432" s="848">
        <f t="shared" si="382"/>
        <v>279</v>
      </c>
      <c r="AZ432" s="848">
        <f t="shared" si="382"/>
        <v>0</v>
      </c>
      <c r="BA432" s="848">
        <f t="shared" si="382"/>
        <v>0</v>
      </c>
      <c r="BB432" s="848">
        <f t="shared" si="382"/>
        <v>0</v>
      </c>
      <c r="BC432" s="848">
        <f t="shared" si="382"/>
        <v>0</v>
      </c>
      <c r="BD432" s="848">
        <f t="shared" si="382"/>
        <v>0</v>
      </c>
      <c r="BE432" s="848">
        <f t="shared" si="382"/>
        <v>0</v>
      </c>
      <c r="BF432" s="848">
        <f t="shared" si="382"/>
        <v>0</v>
      </c>
      <c r="BG432" s="848">
        <f t="shared" si="382"/>
        <v>0</v>
      </c>
      <c r="BH432" s="848">
        <f t="shared" si="382"/>
        <v>0</v>
      </c>
      <c r="BI432" s="848">
        <f t="shared" si="382"/>
        <v>0</v>
      </c>
      <c r="BJ432" s="848">
        <f t="shared" si="382"/>
        <v>0</v>
      </c>
      <c r="BK432" s="848">
        <f t="shared" si="382"/>
        <v>0</v>
      </c>
      <c r="BL432" s="848">
        <f t="shared" si="382"/>
        <v>0</v>
      </c>
      <c r="BM432" s="848">
        <f t="shared" si="382"/>
        <v>0</v>
      </c>
      <c r="BN432" s="848">
        <f t="shared" si="382"/>
        <v>279</v>
      </c>
      <c r="BO432" s="848">
        <f t="shared" si="334"/>
        <v>278.19400000000002</v>
      </c>
      <c r="BP432" s="848">
        <f t="shared" si="382"/>
        <v>0</v>
      </c>
      <c r="BQ432" s="848">
        <f t="shared" si="382"/>
        <v>0</v>
      </c>
      <c r="BR432" s="848">
        <f t="shared" si="382"/>
        <v>0</v>
      </c>
      <c r="BS432" s="848">
        <f t="shared" si="382"/>
        <v>0</v>
      </c>
      <c r="BT432" s="848">
        <f t="shared" si="382"/>
        <v>0</v>
      </c>
      <c r="BU432" s="848">
        <f t="shared" ref="BU432:CS432" si="383">BU433</f>
        <v>0</v>
      </c>
      <c r="BV432" s="848">
        <f t="shared" si="383"/>
        <v>0</v>
      </c>
      <c r="BW432" s="848">
        <f t="shared" si="383"/>
        <v>0</v>
      </c>
      <c r="BX432" s="848">
        <f t="shared" si="383"/>
        <v>0</v>
      </c>
      <c r="BY432" s="848">
        <f t="shared" si="383"/>
        <v>0</v>
      </c>
      <c r="BZ432" s="848">
        <f t="shared" si="383"/>
        <v>0</v>
      </c>
      <c r="CA432" s="848">
        <f t="shared" si="383"/>
        <v>0</v>
      </c>
      <c r="CB432" s="848">
        <f t="shared" si="383"/>
        <v>0</v>
      </c>
      <c r="CC432" s="848">
        <f t="shared" si="383"/>
        <v>0</v>
      </c>
      <c r="CD432" s="848">
        <f t="shared" si="383"/>
        <v>0</v>
      </c>
      <c r="CE432" s="848">
        <f t="shared" si="383"/>
        <v>278.19400000000002</v>
      </c>
      <c r="CF432" s="848">
        <f t="shared" si="383"/>
        <v>99.711111111111123</v>
      </c>
      <c r="CG432" s="848"/>
      <c r="CH432" s="848"/>
      <c r="CI432" s="848"/>
      <c r="CJ432" s="848"/>
      <c r="CK432" s="848"/>
      <c r="CL432" s="848"/>
      <c r="CM432" s="848"/>
      <c r="CN432" s="848"/>
      <c r="CO432" s="848"/>
      <c r="CP432" s="848"/>
      <c r="CQ432" s="848"/>
      <c r="CR432" s="848"/>
      <c r="CS432" s="848">
        <f t="shared" si="383"/>
        <v>0</v>
      </c>
      <c r="CT432" s="848"/>
      <c r="CU432" s="848"/>
      <c r="CV432" s="848"/>
      <c r="CW432" s="848">
        <f t="shared" si="358"/>
        <v>99.711111111111123</v>
      </c>
    </row>
    <row r="433" spans="1:101" ht="33.6" customHeight="1">
      <c r="A433" s="845"/>
      <c r="B433" s="852" t="s">
        <v>976</v>
      </c>
      <c r="C433" s="852" t="s">
        <v>1072</v>
      </c>
      <c r="D433" s="846"/>
      <c r="E433" s="845"/>
      <c r="F433" s="853">
        <v>2011</v>
      </c>
      <c r="G433" s="846" t="s">
        <v>1073</v>
      </c>
      <c r="H433" s="850">
        <f>SUM(I433:S433)</f>
        <v>6759</v>
      </c>
      <c r="I433" s="855"/>
      <c r="J433" s="848"/>
      <c r="K433" s="848"/>
      <c r="L433" s="848"/>
      <c r="M433" s="848"/>
      <c r="N433" s="848"/>
      <c r="O433" s="848"/>
      <c r="P433" s="848"/>
      <c r="Q433" s="848"/>
      <c r="R433" s="890"/>
      <c r="S433" s="855">
        <v>6759</v>
      </c>
      <c r="T433" s="855">
        <f t="shared" si="341"/>
        <v>5336.59</v>
      </c>
      <c r="U433" s="848"/>
      <c r="V433" s="848"/>
      <c r="W433" s="855">
        <v>5336.59</v>
      </c>
      <c r="X433" s="848"/>
      <c r="Y433" s="848"/>
      <c r="Z433" s="848"/>
      <c r="AA433" s="848"/>
      <c r="AB433" s="848"/>
      <c r="AC433" s="848"/>
      <c r="AD433" s="848"/>
      <c r="AE433" s="848"/>
      <c r="AF433" s="848"/>
      <c r="AG433" s="848"/>
      <c r="AH433" s="855"/>
      <c r="AI433" s="855">
        <f>AL433</f>
        <v>3192</v>
      </c>
      <c r="AJ433" s="855"/>
      <c r="AK433" s="855"/>
      <c r="AL433" s="855">
        <v>3192</v>
      </c>
      <c r="AM433" s="855"/>
      <c r="AN433" s="855"/>
      <c r="AO433" s="855"/>
      <c r="AP433" s="855"/>
      <c r="AQ433" s="855"/>
      <c r="AR433" s="855"/>
      <c r="AS433" s="855"/>
      <c r="AT433" s="855"/>
      <c r="AU433" s="855"/>
      <c r="AV433" s="855"/>
      <c r="AW433" s="855"/>
      <c r="AX433" s="855"/>
      <c r="AY433" s="855">
        <f t="shared" ref="AY433" si="384">SUM(AZ433:BN433)</f>
        <v>279</v>
      </c>
      <c r="AZ433" s="855"/>
      <c r="BA433" s="855"/>
      <c r="BB433" s="855"/>
      <c r="BC433" s="855"/>
      <c r="BD433" s="855"/>
      <c r="BE433" s="855"/>
      <c r="BF433" s="855"/>
      <c r="BG433" s="855"/>
      <c r="BH433" s="855"/>
      <c r="BI433" s="855"/>
      <c r="BJ433" s="855"/>
      <c r="BK433" s="855"/>
      <c r="BL433" s="855"/>
      <c r="BM433" s="855"/>
      <c r="BN433" s="855">
        <v>279</v>
      </c>
      <c r="BO433" s="848">
        <f t="shared" si="334"/>
        <v>278.19400000000002</v>
      </c>
      <c r="BP433" s="855"/>
      <c r="BQ433" s="855"/>
      <c r="BR433" s="855"/>
      <c r="BS433" s="855"/>
      <c r="BT433" s="855"/>
      <c r="BU433" s="855"/>
      <c r="BV433" s="855"/>
      <c r="BW433" s="855"/>
      <c r="BX433" s="855"/>
      <c r="BY433" s="855"/>
      <c r="BZ433" s="855"/>
      <c r="CA433" s="855"/>
      <c r="CB433" s="855"/>
      <c r="CC433" s="855"/>
      <c r="CD433" s="855"/>
      <c r="CE433" s="855">
        <v>278.19400000000002</v>
      </c>
      <c r="CF433" s="855">
        <f>BO433/AY433%</f>
        <v>99.711111111111123</v>
      </c>
      <c r="CG433" s="848"/>
      <c r="CH433" s="848"/>
      <c r="CI433" s="848"/>
      <c r="CJ433" s="848"/>
      <c r="CK433" s="848"/>
      <c r="CL433" s="848"/>
      <c r="CM433" s="848"/>
      <c r="CN433" s="848"/>
      <c r="CO433" s="848"/>
      <c r="CP433" s="848"/>
      <c r="CQ433" s="848"/>
      <c r="CR433" s="848"/>
      <c r="CS433" s="848"/>
      <c r="CT433" s="848"/>
      <c r="CU433" s="848"/>
      <c r="CV433" s="848"/>
      <c r="CW433" s="848">
        <f t="shared" si="358"/>
        <v>99.711111111111123</v>
      </c>
    </row>
    <row r="434" spans="1:101" ht="37.9" customHeight="1">
      <c r="A434" s="845" t="s">
        <v>19</v>
      </c>
      <c r="B434" s="845"/>
      <c r="C434" s="857" t="s">
        <v>1074</v>
      </c>
      <c r="D434" s="846">
        <f>D435+D439+D442+D444</f>
        <v>0</v>
      </c>
      <c r="E434" s="845">
        <f t="shared" ref="E434:CE434" si="385">E435+E439+E442+E444</f>
        <v>0</v>
      </c>
      <c r="F434" s="847"/>
      <c r="G434" s="845"/>
      <c r="H434" s="850">
        <f t="shared" si="352"/>
        <v>46092.205749000001</v>
      </c>
      <c r="I434" s="848">
        <f t="shared" ref="I434:AX434" si="386">I435+I439+I442+I444</f>
        <v>0</v>
      </c>
      <c r="J434" s="848">
        <f t="shared" si="386"/>
        <v>0</v>
      </c>
      <c r="K434" s="848">
        <f t="shared" si="386"/>
        <v>0</v>
      </c>
      <c r="L434" s="848">
        <f t="shared" si="386"/>
        <v>0</v>
      </c>
      <c r="M434" s="848">
        <f t="shared" si="386"/>
        <v>0</v>
      </c>
      <c r="N434" s="848">
        <f t="shared" si="386"/>
        <v>0</v>
      </c>
      <c r="O434" s="848">
        <f t="shared" si="386"/>
        <v>0</v>
      </c>
      <c r="P434" s="848">
        <f t="shared" si="386"/>
        <v>0</v>
      </c>
      <c r="Q434" s="848">
        <f t="shared" si="386"/>
        <v>0</v>
      </c>
      <c r="R434" s="848">
        <v>5674</v>
      </c>
      <c r="S434" s="848">
        <f t="shared" si="386"/>
        <v>40418.205749000001</v>
      </c>
      <c r="T434" s="848">
        <f t="shared" si="386"/>
        <v>10695.015000000001</v>
      </c>
      <c r="U434" s="848">
        <f t="shared" si="386"/>
        <v>0</v>
      </c>
      <c r="V434" s="848">
        <f t="shared" si="386"/>
        <v>0</v>
      </c>
      <c r="W434" s="848">
        <f t="shared" si="386"/>
        <v>0</v>
      </c>
      <c r="X434" s="848">
        <f t="shared" si="386"/>
        <v>0</v>
      </c>
      <c r="Y434" s="848">
        <f t="shared" si="386"/>
        <v>0</v>
      </c>
      <c r="Z434" s="848">
        <f t="shared" si="386"/>
        <v>0</v>
      </c>
      <c r="AA434" s="848">
        <f t="shared" si="386"/>
        <v>0</v>
      </c>
      <c r="AB434" s="848">
        <f t="shared" si="386"/>
        <v>0</v>
      </c>
      <c r="AC434" s="848">
        <f t="shared" si="386"/>
        <v>0</v>
      </c>
      <c r="AD434" s="848">
        <f t="shared" si="386"/>
        <v>0</v>
      </c>
      <c r="AE434" s="848"/>
      <c r="AF434" s="848">
        <f t="shared" si="386"/>
        <v>0</v>
      </c>
      <c r="AG434" s="848">
        <f t="shared" si="386"/>
        <v>0</v>
      </c>
      <c r="AH434" s="848">
        <f t="shared" si="386"/>
        <v>10695.015000000001</v>
      </c>
      <c r="AI434" s="848">
        <f t="shared" si="386"/>
        <v>9034</v>
      </c>
      <c r="AJ434" s="848">
        <f t="shared" si="386"/>
        <v>0</v>
      </c>
      <c r="AK434" s="848">
        <f t="shared" si="386"/>
        <v>0</v>
      </c>
      <c r="AL434" s="848">
        <f t="shared" si="386"/>
        <v>0</v>
      </c>
      <c r="AM434" s="848">
        <f t="shared" si="386"/>
        <v>0</v>
      </c>
      <c r="AN434" s="848">
        <f t="shared" si="386"/>
        <v>0</v>
      </c>
      <c r="AO434" s="848">
        <f t="shared" si="386"/>
        <v>0</v>
      </c>
      <c r="AP434" s="848">
        <f t="shared" si="386"/>
        <v>0</v>
      </c>
      <c r="AQ434" s="848">
        <f t="shared" si="386"/>
        <v>0</v>
      </c>
      <c r="AR434" s="848">
        <f t="shared" si="386"/>
        <v>0</v>
      </c>
      <c r="AS434" s="848"/>
      <c r="AT434" s="848">
        <f t="shared" si="386"/>
        <v>0</v>
      </c>
      <c r="AU434" s="848">
        <f t="shared" si="386"/>
        <v>0</v>
      </c>
      <c r="AV434" s="848">
        <f t="shared" si="386"/>
        <v>0</v>
      </c>
      <c r="AW434" s="848">
        <f t="shared" si="386"/>
        <v>0</v>
      </c>
      <c r="AX434" s="848">
        <f t="shared" si="386"/>
        <v>9034</v>
      </c>
      <c r="AY434" s="848">
        <f t="shared" si="385"/>
        <v>19207</v>
      </c>
      <c r="AZ434" s="848">
        <f t="shared" si="385"/>
        <v>0</v>
      </c>
      <c r="BA434" s="848">
        <f t="shared" si="385"/>
        <v>0</v>
      </c>
      <c r="BB434" s="848">
        <f t="shared" si="385"/>
        <v>0</v>
      </c>
      <c r="BC434" s="848">
        <f t="shared" si="385"/>
        <v>10000</v>
      </c>
      <c r="BD434" s="848">
        <f t="shared" si="385"/>
        <v>0</v>
      </c>
      <c r="BE434" s="848">
        <f t="shared" si="385"/>
        <v>0</v>
      </c>
      <c r="BF434" s="848">
        <f t="shared" si="385"/>
        <v>0</v>
      </c>
      <c r="BG434" s="848">
        <f t="shared" si="385"/>
        <v>0</v>
      </c>
      <c r="BH434" s="848">
        <f t="shared" si="385"/>
        <v>0</v>
      </c>
      <c r="BI434" s="848">
        <f t="shared" si="385"/>
        <v>0</v>
      </c>
      <c r="BJ434" s="848">
        <f t="shared" si="385"/>
        <v>0</v>
      </c>
      <c r="BK434" s="848">
        <f t="shared" si="385"/>
        <v>0</v>
      </c>
      <c r="BL434" s="848">
        <f t="shared" si="385"/>
        <v>0</v>
      </c>
      <c r="BM434" s="848">
        <f t="shared" si="385"/>
        <v>0</v>
      </c>
      <c r="BN434" s="848">
        <f t="shared" si="385"/>
        <v>9207</v>
      </c>
      <c r="BO434" s="848">
        <f t="shared" si="334"/>
        <v>18118.348063000001</v>
      </c>
      <c r="BP434" s="848">
        <f t="shared" si="385"/>
        <v>0</v>
      </c>
      <c r="BQ434" s="848">
        <f t="shared" si="385"/>
        <v>0</v>
      </c>
      <c r="BR434" s="848">
        <f t="shared" si="385"/>
        <v>0</v>
      </c>
      <c r="BS434" s="848">
        <f t="shared" si="385"/>
        <v>10000</v>
      </c>
      <c r="BT434" s="848">
        <f t="shared" si="385"/>
        <v>0</v>
      </c>
      <c r="BU434" s="848">
        <f t="shared" si="385"/>
        <v>0</v>
      </c>
      <c r="BV434" s="848">
        <f t="shared" si="385"/>
        <v>0</v>
      </c>
      <c r="BW434" s="848">
        <f t="shared" si="385"/>
        <v>0</v>
      </c>
      <c r="BX434" s="848">
        <f t="shared" si="385"/>
        <v>0</v>
      </c>
      <c r="BY434" s="848">
        <f t="shared" si="385"/>
        <v>0</v>
      </c>
      <c r="BZ434" s="848">
        <f t="shared" si="385"/>
        <v>0</v>
      </c>
      <c r="CA434" s="848">
        <f t="shared" si="385"/>
        <v>0</v>
      </c>
      <c r="CB434" s="848">
        <f t="shared" si="385"/>
        <v>0</v>
      </c>
      <c r="CC434" s="848">
        <f t="shared" si="385"/>
        <v>0</v>
      </c>
      <c r="CD434" s="848">
        <f t="shared" si="385"/>
        <v>0</v>
      </c>
      <c r="CE434" s="848">
        <f t="shared" si="385"/>
        <v>8118.3480630000004</v>
      </c>
      <c r="CF434" s="848">
        <f>BO434/AY434%</f>
        <v>94.332004284896144</v>
      </c>
      <c r="CG434" s="848"/>
      <c r="CH434" s="848"/>
      <c r="CI434" s="848"/>
      <c r="CJ434" s="848"/>
      <c r="CK434" s="848"/>
      <c r="CL434" s="848"/>
      <c r="CM434" s="848"/>
      <c r="CN434" s="848"/>
      <c r="CO434" s="848"/>
      <c r="CP434" s="848"/>
      <c r="CQ434" s="848"/>
      <c r="CR434" s="848"/>
      <c r="CS434" s="848"/>
      <c r="CT434" s="848"/>
      <c r="CU434" s="848"/>
      <c r="CV434" s="848"/>
      <c r="CW434" s="848">
        <f t="shared" si="358"/>
        <v>88.175823427826657</v>
      </c>
    </row>
    <row r="435" spans="1:101" ht="24.75" customHeight="1">
      <c r="A435" s="845" t="s">
        <v>11</v>
      </c>
      <c r="B435" s="845"/>
      <c r="C435" s="857" t="s">
        <v>1075</v>
      </c>
      <c r="D435" s="846">
        <f>D436</f>
        <v>0</v>
      </c>
      <c r="E435" s="845">
        <f t="shared" ref="E435:CE435" si="387">E436</f>
        <v>0</v>
      </c>
      <c r="F435" s="847"/>
      <c r="G435" s="845"/>
      <c r="H435" s="850">
        <f t="shared" si="352"/>
        <v>28156.205749000001</v>
      </c>
      <c r="I435" s="848">
        <f t="shared" si="387"/>
        <v>0</v>
      </c>
      <c r="J435" s="848">
        <f t="shared" si="387"/>
        <v>0</v>
      </c>
      <c r="K435" s="848">
        <f t="shared" si="387"/>
        <v>0</v>
      </c>
      <c r="L435" s="848">
        <f t="shared" si="387"/>
        <v>0</v>
      </c>
      <c r="M435" s="848">
        <f t="shared" si="387"/>
        <v>0</v>
      </c>
      <c r="N435" s="848">
        <f t="shared" si="387"/>
        <v>0</v>
      </c>
      <c r="O435" s="848">
        <f t="shared" si="387"/>
        <v>0</v>
      </c>
      <c r="P435" s="848">
        <f t="shared" si="387"/>
        <v>0</v>
      </c>
      <c r="Q435" s="848">
        <f t="shared" si="387"/>
        <v>0</v>
      </c>
      <c r="R435" s="848">
        <v>0</v>
      </c>
      <c r="S435" s="848">
        <f t="shared" si="387"/>
        <v>28156.205749000001</v>
      </c>
      <c r="T435" s="855">
        <f t="shared" si="341"/>
        <v>10695.015000000001</v>
      </c>
      <c r="U435" s="848">
        <f t="shared" ref="U435:AH435" si="388">U436</f>
        <v>0</v>
      </c>
      <c r="V435" s="848">
        <f t="shared" si="388"/>
        <v>0</v>
      </c>
      <c r="W435" s="848">
        <f t="shared" si="388"/>
        <v>0</v>
      </c>
      <c r="X435" s="848">
        <f t="shared" si="388"/>
        <v>0</v>
      </c>
      <c r="Y435" s="848">
        <f t="shared" si="388"/>
        <v>0</v>
      </c>
      <c r="Z435" s="848">
        <f t="shared" si="388"/>
        <v>0</v>
      </c>
      <c r="AA435" s="848">
        <f t="shared" si="388"/>
        <v>0</v>
      </c>
      <c r="AB435" s="848">
        <f t="shared" si="388"/>
        <v>0</v>
      </c>
      <c r="AC435" s="848">
        <f t="shared" si="388"/>
        <v>0</v>
      </c>
      <c r="AD435" s="848">
        <f t="shared" si="388"/>
        <v>0</v>
      </c>
      <c r="AE435" s="848"/>
      <c r="AF435" s="848">
        <f t="shared" si="388"/>
        <v>0</v>
      </c>
      <c r="AG435" s="848">
        <f t="shared" si="388"/>
        <v>0</v>
      </c>
      <c r="AH435" s="848">
        <f t="shared" si="388"/>
        <v>10695.015000000001</v>
      </c>
      <c r="AI435" s="848">
        <f t="shared" si="387"/>
        <v>7534</v>
      </c>
      <c r="AJ435" s="848">
        <f t="shared" si="387"/>
        <v>0</v>
      </c>
      <c r="AK435" s="848">
        <f t="shared" si="387"/>
        <v>0</v>
      </c>
      <c r="AL435" s="848">
        <f t="shared" si="387"/>
        <v>0</v>
      </c>
      <c r="AM435" s="848">
        <f t="shared" si="387"/>
        <v>0</v>
      </c>
      <c r="AN435" s="848">
        <f t="shared" si="387"/>
        <v>0</v>
      </c>
      <c r="AO435" s="848">
        <f t="shared" si="387"/>
        <v>0</v>
      </c>
      <c r="AP435" s="848">
        <f t="shared" si="387"/>
        <v>0</v>
      </c>
      <c r="AQ435" s="848">
        <f t="shared" si="387"/>
        <v>0</v>
      </c>
      <c r="AR435" s="848">
        <f t="shared" si="387"/>
        <v>0</v>
      </c>
      <c r="AS435" s="848"/>
      <c r="AT435" s="848">
        <f t="shared" si="387"/>
        <v>0</v>
      </c>
      <c r="AU435" s="848">
        <f t="shared" si="387"/>
        <v>0</v>
      </c>
      <c r="AV435" s="848">
        <f t="shared" si="387"/>
        <v>0</v>
      </c>
      <c r="AW435" s="848">
        <f t="shared" si="387"/>
        <v>0</v>
      </c>
      <c r="AX435" s="848">
        <f>AX436</f>
        <v>7534</v>
      </c>
      <c r="AY435" s="848">
        <f t="shared" si="387"/>
        <v>16100</v>
      </c>
      <c r="AZ435" s="848">
        <f t="shared" si="387"/>
        <v>0</v>
      </c>
      <c r="BA435" s="848">
        <f t="shared" si="387"/>
        <v>0</v>
      </c>
      <c r="BB435" s="848">
        <f t="shared" si="387"/>
        <v>0</v>
      </c>
      <c r="BC435" s="848">
        <f t="shared" si="387"/>
        <v>10000</v>
      </c>
      <c r="BD435" s="848">
        <f t="shared" si="387"/>
        <v>0</v>
      </c>
      <c r="BE435" s="848">
        <f t="shared" si="387"/>
        <v>0</v>
      </c>
      <c r="BF435" s="848">
        <f t="shared" si="387"/>
        <v>0</v>
      </c>
      <c r="BG435" s="848">
        <f t="shared" si="387"/>
        <v>0</v>
      </c>
      <c r="BH435" s="848">
        <f t="shared" si="387"/>
        <v>0</v>
      </c>
      <c r="BI435" s="848">
        <f t="shared" si="387"/>
        <v>0</v>
      </c>
      <c r="BJ435" s="848">
        <f t="shared" si="387"/>
        <v>0</v>
      </c>
      <c r="BK435" s="848">
        <f t="shared" si="387"/>
        <v>0</v>
      </c>
      <c r="BL435" s="848">
        <f t="shared" si="387"/>
        <v>0</v>
      </c>
      <c r="BM435" s="848">
        <f t="shared" si="387"/>
        <v>0</v>
      </c>
      <c r="BN435" s="848">
        <f t="shared" si="387"/>
        <v>6100</v>
      </c>
      <c r="BO435" s="848">
        <f t="shared" si="334"/>
        <v>16324.933000000001</v>
      </c>
      <c r="BP435" s="848">
        <f t="shared" si="387"/>
        <v>0</v>
      </c>
      <c r="BQ435" s="848">
        <f t="shared" si="387"/>
        <v>0</v>
      </c>
      <c r="BR435" s="848">
        <f t="shared" si="387"/>
        <v>0</v>
      </c>
      <c r="BS435" s="848">
        <f t="shared" si="387"/>
        <v>10000</v>
      </c>
      <c r="BT435" s="848">
        <f t="shared" si="387"/>
        <v>0</v>
      </c>
      <c r="BU435" s="848">
        <f t="shared" si="387"/>
        <v>0</v>
      </c>
      <c r="BV435" s="848">
        <f t="shared" si="387"/>
        <v>0</v>
      </c>
      <c r="BW435" s="848">
        <f t="shared" si="387"/>
        <v>0</v>
      </c>
      <c r="BX435" s="848">
        <f t="shared" si="387"/>
        <v>0</v>
      </c>
      <c r="BY435" s="848">
        <f t="shared" si="387"/>
        <v>0</v>
      </c>
      <c r="BZ435" s="848">
        <f t="shared" si="387"/>
        <v>0</v>
      </c>
      <c r="CA435" s="848">
        <f t="shared" si="387"/>
        <v>0</v>
      </c>
      <c r="CB435" s="848">
        <f t="shared" si="387"/>
        <v>0</v>
      </c>
      <c r="CC435" s="848">
        <f t="shared" si="387"/>
        <v>0</v>
      </c>
      <c r="CD435" s="848">
        <f t="shared" si="387"/>
        <v>0</v>
      </c>
      <c r="CE435" s="848">
        <f t="shared" si="387"/>
        <v>6324.933</v>
      </c>
      <c r="CF435" s="848">
        <f>BO435/AY435%</f>
        <v>101.39709937888199</v>
      </c>
      <c r="CG435" s="848"/>
      <c r="CH435" s="848"/>
      <c r="CI435" s="848"/>
      <c r="CJ435" s="848"/>
      <c r="CK435" s="848"/>
      <c r="CL435" s="848"/>
      <c r="CM435" s="848"/>
      <c r="CN435" s="848"/>
      <c r="CO435" s="848"/>
      <c r="CP435" s="848"/>
      <c r="CQ435" s="848"/>
      <c r="CR435" s="848"/>
      <c r="CS435" s="848"/>
      <c r="CT435" s="848"/>
      <c r="CU435" s="848"/>
      <c r="CV435" s="848"/>
      <c r="CW435" s="848">
        <f t="shared" si="358"/>
        <v>103.68742622950819</v>
      </c>
    </row>
    <row r="436" spans="1:101" ht="24.75" customHeight="1">
      <c r="A436" s="845"/>
      <c r="B436" s="845"/>
      <c r="C436" s="857" t="s">
        <v>1076</v>
      </c>
      <c r="D436" s="846">
        <f>D437+D438</f>
        <v>0</v>
      </c>
      <c r="E436" s="845">
        <f t="shared" ref="E436" si="389">E437+E438</f>
        <v>0</v>
      </c>
      <c r="F436" s="847"/>
      <c r="G436" s="845"/>
      <c r="H436" s="850">
        <f t="shared" si="352"/>
        <v>28156.205749000001</v>
      </c>
      <c r="I436" s="848">
        <f t="shared" ref="I436:BT436" si="390">I437+I438</f>
        <v>0</v>
      </c>
      <c r="J436" s="848">
        <f t="shared" si="390"/>
        <v>0</v>
      </c>
      <c r="K436" s="848">
        <f t="shared" si="390"/>
        <v>0</v>
      </c>
      <c r="L436" s="848">
        <f t="shared" si="390"/>
        <v>0</v>
      </c>
      <c r="M436" s="848">
        <f t="shared" si="390"/>
        <v>0</v>
      </c>
      <c r="N436" s="848">
        <f t="shared" si="390"/>
        <v>0</v>
      </c>
      <c r="O436" s="848">
        <f t="shared" si="390"/>
        <v>0</v>
      </c>
      <c r="P436" s="848">
        <f t="shared" si="390"/>
        <v>0</v>
      </c>
      <c r="Q436" s="848">
        <f t="shared" si="390"/>
        <v>0</v>
      </c>
      <c r="R436" s="848">
        <v>0</v>
      </c>
      <c r="S436" s="848">
        <f t="shared" si="390"/>
        <v>28156.205749000001</v>
      </c>
      <c r="T436" s="848">
        <f t="shared" si="390"/>
        <v>10695.015000000001</v>
      </c>
      <c r="U436" s="848">
        <f t="shared" si="390"/>
        <v>0</v>
      </c>
      <c r="V436" s="848">
        <f t="shared" si="390"/>
        <v>0</v>
      </c>
      <c r="W436" s="848">
        <f t="shared" si="390"/>
        <v>0</v>
      </c>
      <c r="X436" s="848">
        <f t="shared" si="390"/>
        <v>0</v>
      </c>
      <c r="Y436" s="848">
        <f t="shared" si="390"/>
        <v>0</v>
      </c>
      <c r="Z436" s="848">
        <f t="shared" si="390"/>
        <v>0</v>
      </c>
      <c r="AA436" s="848">
        <f t="shared" si="390"/>
        <v>0</v>
      </c>
      <c r="AB436" s="848">
        <f t="shared" si="390"/>
        <v>0</v>
      </c>
      <c r="AC436" s="848">
        <f t="shared" si="390"/>
        <v>0</v>
      </c>
      <c r="AD436" s="848">
        <f t="shared" si="390"/>
        <v>0</v>
      </c>
      <c r="AE436" s="848"/>
      <c r="AF436" s="848">
        <f t="shared" si="390"/>
        <v>0</v>
      </c>
      <c r="AG436" s="848">
        <f t="shared" si="390"/>
        <v>0</v>
      </c>
      <c r="AH436" s="848">
        <f t="shared" si="390"/>
        <v>10695.015000000001</v>
      </c>
      <c r="AI436" s="848">
        <f t="shared" si="390"/>
        <v>7534</v>
      </c>
      <c r="AJ436" s="848">
        <f t="shared" si="390"/>
        <v>0</v>
      </c>
      <c r="AK436" s="848">
        <f t="shared" si="390"/>
        <v>0</v>
      </c>
      <c r="AL436" s="848">
        <f t="shared" si="390"/>
        <v>0</v>
      </c>
      <c r="AM436" s="848">
        <f t="shared" si="390"/>
        <v>0</v>
      </c>
      <c r="AN436" s="848">
        <f t="shared" si="390"/>
        <v>0</v>
      </c>
      <c r="AO436" s="848">
        <f t="shared" si="390"/>
        <v>0</v>
      </c>
      <c r="AP436" s="848">
        <f t="shared" si="390"/>
        <v>0</v>
      </c>
      <c r="AQ436" s="848">
        <f t="shared" si="390"/>
        <v>0</v>
      </c>
      <c r="AR436" s="848">
        <f t="shared" si="390"/>
        <v>0</v>
      </c>
      <c r="AS436" s="848"/>
      <c r="AT436" s="848">
        <f t="shared" si="390"/>
        <v>0</v>
      </c>
      <c r="AU436" s="848">
        <f t="shared" si="390"/>
        <v>0</v>
      </c>
      <c r="AV436" s="848">
        <f t="shared" si="390"/>
        <v>0</v>
      </c>
      <c r="AW436" s="848">
        <f t="shared" si="390"/>
        <v>0</v>
      </c>
      <c r="AX436" s="848">
        <f t="shared" si="390"/>
        <v>7534</v>
      </c>
      <c r="AY436" s="848">
        <f t="shared" si="390"/>
        <v>16100</v>
      </c>
      <c r="AZ436" s="848">
        <f t="shared" si="390"/>
        <v>0</v>
      </c>
      <c r="BA436" s="848">
        <f t="shared" si="390"/>
        <v>0</v>
      </c>
      <c r="BB436" s="848">
        <f t="shared" si="390"/>
        <v>0</v>
      </c>
      <c r="BC436" s="848">
        <f t="shared" si="390"/>
        <v>10000</v>
      </c>
      <c r="BD436" s="848">
        <f t="shared" si="390"/>
        <v>0</v>
      </c>
      <c r="BE436" s="848">
        <f t="shared" si="390"/>
        <v>0</v>
      </c>
      <c r="BF436" s="848">
        <f t="shared" si="390"/>
        <v>0</v>
      </c>
      <c r="BG436" s="848">
        <f t="shared" si="390"/>
        <v>0</v>
      </c>
      <c r="BH436" s="848">
        <f t="shared" si="390"/>
        <v>0</v>
      </c>
      <c r="BI436" s="848">
        <f t="shared" si="390"/>
        <v>0</v>
      </c>
      <c r="BJ436" s="848">
        <f t="shared" si="390"/>
        <v>0</v>
      </c>
      <c r="BK436" s="848">
        <f t="shared" si="390"/>
        <v>0</v>
      </c>
      <c r="BL436" s="848">
        <f t="shared" si="390"/>
        <v>0</v>
      </c>
      <c r="BM436" s="848">
        <f t="shared" si="390"/>
        <v>0</v>
      </c>
      <c r="BN436" s="848">
        <f t="shared" si="390"/>
        <v>6100</v>
      </c>
      <c r="BO436" s="848">
        <f t="shared" si="334"/>
        <v>16324.933000000001</v>
      </c>
      <c r="BP436" s="848">
        <f t="shared" si="390"/>
        <v>0</v>
      </c>
      <c r="BQ436" s="848">
        <f t="shared" si="390"/>
        <v>0</v>
      </c>
      <c r="BR436" s="848">
        <f t="shared" si="390"/>
        <v>0</v>
      </c>
      <c r="BS436" s="848">
        <f t="shared" si="390"/>
        <v>10000</v>
      </c>
      <c r="BT436" s="848">
        <f t="shared" si="390"/>
        <v>0</v>
      </c>
      <c r="BU436" s="848">
        <f t="shared" ref="BU436:CS436" si="391">BU437+BU438</f>
        <v>0</v>
      </c>
      <c r="BV436" s="848">
        <f t="shared" si="391"/>
        <v>0</v>
      </c>
      <c r="BW436" s="848">
        <f t="shared" si="391"/>
        <v>0</v>
      </c>
      <c r="BX436" s="848">
        <f t="shared" si="391"/>
        <v>0</v>
      </c>
      <c r="BY436" s="848">
        <f t="shared" si="391"/>
        <v>0</v>
      </c>
      <c r="BZ436" s="848">
        <f t="shared" si="391"/>
        <v>0</v>
      </c>
      <c r="CA436" s="848">
        <f t="shared" si="391"/>
        <v>0</v>
      </c>
      <c r="CB436" s="848">
        <f t="shared" si="391"/>
        <v>0</v>
      </c>
      <c r="CC436" s="848">
        <f t="shared" si="391"/>
        <v>0</v>
      </c>
      <c r="CD436" s="848">
        <f t="shared" si="391"/>
        <v>0</v>
      </c>
      <c r="CE436" s="848">
        <f t="shared" si="391"/>
        <v>6324.933</v>
      </c>
      <c r="CF436" s="848"/>
      <c r="CG436" s="848"/>
      <c r="CH436" s="848"/>
      <c r="CI436" s="848"/>
      <c r="CJ436" s="848"/>
      <c r="CK436" s="848"/>
      <c r="CL436" s="848"/>
      <c r="CM436" s="848"/>
      <c r="CN436" s="848"/>
      <c r="CO436" s="848"/>
      <c r="CP436" s="848"/>
      <c r="CQ436" s="848"/>
      <c r="CR436" s="848"/>
      <c r="CS436" s="848">
        <f t="shared" si="391"/>
        <v>0</v>
      </c>
      <c r="CT436" s="848"/>
      <c r="CU436" s="848"/>
      <c r="CV436" s="848"/>
      <c r="CW436" s="848">
        <f t="shared" si="358"/>
        <v>103.68742622950819</v>
      </c>
    </row>
    <row r="437" spans="1:101" ht="39" customHeight="1">
      <c r="A437" s="845"/>
      <c r="B437" s="852" t="s">
        <v>1075</v>
      </c>
      <c r="C437" s="852" t="s">
        <v>1077</v>
      </c>
      <c r="D437" s="846"/>
      <c r="E437" s="845"/>
      <c r="F437" s="853" t="s">
        <v>1078</v>
      </c>
      <c r="G437" s="846" t="s">
        <v>1079</v>
      </c>
      <c r="H437" s="850">
        <f t="shared" si="352"/>
        <v>19798.205749000001</v>
      </c>
      <c r="I437" s="901"/>
      <c r="J437" s="848"/>
      <c r="K437" s="848"/>
      <c r="L437" s="848"/>
      <c r="M437" s="848"/>
      <c r="N437" s="848"/>
      <c r="O437" s="848"/>
      <c r="P437" s="848"/>
      <c r="Q437" s="848"/>
      <c r="R437" s="848"/>
      <c r="S437" s="860">
        <v>19798.205749000001</v>
      </c>
      <c r="T437" s="855">
        <f t="shared" si="341"/>
        <v>9164.2530000000006</v>
      </c>
      <c r="U437" s="848"/>
      <c r="V437" s="848"/>
      <c r="W437" s="848"/>
      <c r="X437" s="848"/>
      <c r="Y437" s="848"/>
      <c r="Z437" s="848"/>
      <c r="AA437" s="848"/>
      <c r="AB437" s="848"/>
      <c r="AC437" s="848"/>
      <c r="AD437" s="848"/>
      <c r="AE437" s="848"/>
      <c r="AF437" s="848"/>
      <c r="AG437" s="848"/>
      <c r="AH437" s="855">
        <v>9164.2530000000006</v>
      </c>
      <c r="AI437" s="855">
        <f>AX437</f>
        <v>5687</v>
      </c>
      <c r="AJ437" s="855"/>
      <c r="AK437" s="855"/>
      <c r="AL437" s="855"/>
      <c r="AM437" s="855"/>
      <c r="AN437" s="855"/>
      <c r="AO437" s="855"/>
      <c r="AP437" s="855"/>
      <c r="AQ437" s="855"/>
      <c r="AR437" s="855"/>
      <c r="AS437" s="855"/>
      <c r="AT437" s="855"/>
      <c r="AU437" s="855"/>
      <c r="AV437" s="855"/>
      <c r="AW437" s="855"/>
      <c r="AX437" s="855">
        <f>512+100+5075</f>
        <v>5687</v>
      </c>
      <c r="AY437" s="855">
        <f t="shared" ref="AY437:AY438" si="392">SUM(AZ437:BN437)</f>
        <v>6100</v>
      </c>
      <c r="AZ437" s="855"/>
      <c r="BA437" s="855"/>
      <c r="BB437" s="855"/>
      <c r="BC437" s="855"/>
      <c r="BD437" s="855"/>
      <c r="BE437" s="855"/>
      <c r="BF437" s="855"/>
      <c r="BG437" s="855"/>
      <c r="BH437" s="855"/>
      <c r="BI437" s="855"/>
      <c r="BJ437" s="855"/>
      <c r="BK437" s="855"/>
      <c r="BL437" s="855"/>
      <c r="BM437" s="855"/>
      <c r="BN437" s="855">
        <v>6100</v>
      </c>
      <c r="BO437" s="848">
        <f t="shared" si="334"/>
        <v>6008.6949999999997</v>
      </c>
      <c r="BP437" s="855"/>
      <c r="BQ437" s="855"/>
      <c r="BR437" s="855"/>
      <c r="BS437" s="855"/>
      <c r="BT437" s="855"/>
      <c r="BU437" s="855"/>
      <c r="BV437" s="855"/>
      <c r="BW437" s="855"/>
      <c r="BX437" s="855"/>
      <c r="BY437" s="855"/>
      <c r="BZ437" s="855"/>
      <c r="CA437" s="855"/>
      <c r="CB437" s="855"/>
      <c r="CC437" s="855"/>
      <c r="CD437" s="855"/>
      <c r="CE437" s="855">
        <v>6008.6949999999997</v>
      </c>
      <c r="CF437" s="848"/>
      <c r="CG437" s="848"/>
      <c r="CH437" s="848"/>
      <c r="CI437" s="848"/>
      <c r="CJ437" s="848"/>
      <c r="CK437" s="848"/>
      <c r="CL437" s="848"/>
      <c r="CM437" s="848"/>
      <c r="CN437" s="848"/>
      <c r="CO437" s="848"/>
      <c r="CP437" s="848"/>
      <c r="CQ437" s="848"/>
      <c r="CR437" s="848"/>
      <c r="CS437" s="848"/>
      <c r="CT437" s="848"/>
      <c r="CU437" s="848"/>
      <c r="CV437" s="848"/>
      <c r="CW437" s="848">
        <f t="shared" si="358"/>
        <v>98.503196721311468</v>
      </c>
    </row>
    <row r="438" spans="1:101" ht="58.9" customHeight="1">
      <c r="A438" s="845"/>
      <c r="B438" s="852" t="s">
        <v>1080</v>
      </c>
      <c r="C438" s="852" t="s">
        <v>1081</v>
      </c>
      <c r="D438" s="846"/>
      <c r="E438" s="845"/>
      <c r="F438" s="853">
        <v>2016</v>
      </c>
      <c r="G438" s="854" t="s">
        <v>1082</v>
      </c>
      <c r="H438" s="850">
        <f t="shared" si="352"/>
        <v>8358</v>
      </c>
      <c r="I438" s="872"/>
      <c r="J438" s="848"/>
      <c r="K438" s="848"/>
      <c r="L438" s="848"/>
      <c r="M438" s="848"/>
      <c r="N438" s="848"/>
      <c r="O438" s="848"/>
      <c r="P438" s="848"/>
      <c r="Q438" s="848"/>
      <c r="R438" s="848"/>
      <c r="S438" s="872">
        <v>8358</v>
      </c>
      <c r="T438" s="855">
        <f t="shared" si="341"/>
        <v>1530.7619999999999</v>
      </c>
      <c r="U438" s="848"/>
      <c r="V438" s="848"/>
      <c r="W438" s="848"/>
      <c r="X438" s="848"/>
      <c r="Y438" s="848"/>
      <c r="Z438" s="848"/>
      <c r="AA438" s="848"/>
      <c r="AB438" s="848"/>
      <c r="AC438" s="848"/>
      <c r="AD438" s="848"/>
      <c r="AE438" s="848"/>
      <c r="AF438" s="848"/>
      <c r="AG438" s="848"/>
      <c r="AH438" s="855">
        <v>1530.7619999999999</v>
      </c>
      <c r="AI438" s="855">
        <f>AX438</f>
        <v>1847</v>
      </c>
      <c r="AJ438" s="855"/>
      <c r="AK438" s="855"/>
      <c r="AL438" s="855"/>
      <c r="AM438" s="855"/>
      <c r="AN438" s="855"/>
      <c r="AO438" s="855"/>
      <c r="AP438" s="855"/>
      <c r="AQ438" s="855"/>
      <c r="AR438" s="855"/>
      <c r="AS438" s="855"/>
      <c r="AT438" s="855"/>
      <c r="AU438" s="855"/>
      <c r="AV438" s="855"/>
      <c r="AW438" s="855"/>
      <c r="AX438" s="855">
        <v>1847</v>
      </c>
      <c r="AY438" s="855">
        <f t="shared" si="392"/>
        <v>10000</v>
      </c>
      <c r="AZ438" s="855"/>
      <c r="BA438" s="855"/>
      <c r="BB438" s="855"/>
      <c r="BC438" s="855">
        <f>'[10]bieu cu'!H300</f>
        <v>10000</v>
      </c>
      <c r="BD438" s="855"/>
      <c r="BE438" s="855"/>
      <c r="BF438" s="855"/>
      <c r="BG438" s="855"/>
      <c r="BH438" s="855"/>
      <c r="BI438" s="855"/>
      <c r="BJ438" s="855"/>
      <c r="BK438" s="855"/>
      <c r="BL438" s="855"/>
      <c r="BM438" s="855"/>
      <c r="BN438" s="855"/>
      <c r="BO438" s="848">
        <f t="shared" si="334"/>
        <v>10316.237999999999</v>
      </c>
      <c r="BP438" s="855"/>
      <c r="BQ438" s="855"/>
      <c r="BR438" s="855"/>
      <c r="BS438" s="855">
        <f>'[10]bieu cu'!M300</f>
        <v>10000</v>
      </c>
      <c r="BT438" s="855"/>
      <c r="BU438" s="855"/>
      <c r="BV438" s="855"/>
      <c r="BW438" s="855"/>
      <c r="BX438" s="855"/>
      <c r="BY438" s="855"/>
      <c r="BZ438" s="855"/>
      <c r="CA438" s="855"/>
      <c r="CB438" s="855"/>
      <c r="CC438" s="855"/>
      <c r="CD438" s="855"/>
      <c r="CE438" s="855">
        <v>316.238</v>
      </c>
      <c r="CF438" s="848">
        <f>BO438/AY438%</f>
        <v>103.16238</v>
      </c>
      <c r="CG438" s="848"/>
      <c r="CH438" s="848"/>
      <c r="CI438" s="848"/>
      <c r="CJ438" s="848"/>
      <c r="CK438" s="848"/>
      <c r="CL438" s="848"/>
      <c r="CM438" s="848"/>
      <c r="CN438" s="848"/>
      <c r="CO438" s="848"/>
      <c r="CP438" s="848"/>
      <c r="CQ438" s="848"/>
      <c r="CR438" s="848"/>
      <c r="CS438" s="848"/>
      <c r="CT438" s="848"/>
      <c r="CU438" s="848"/>
      <c r="CV438" s="848"/>
      <c r="CW438" s="848" t="e">
        <f t="shared" si="358"/>
        <v>#DIV/0!</v>
      </c>
    </row>
    <row r="439" spans="1:101" ht="24.75" customHeight="1">
      <c r="A439" s="845" t="s">
        <v>7</v>
      </c>
      <c r="B439" s="845"/>
      <c r="C439" s="857" t="s">
        <v>1083</v>
      </c>
      <c r="D439" s="846">
        <f>D440</f>
        <v>0</v>
      </c>
      <c r="E439" s="845">
        <f t="shared" ref="E439:CE440" si="393">E440</f>
        <v>0</v>
      </c>
      <c r="F439" s="847"/>
      <c r="G439" s="845"/>
      <c r="H439" s="850">
        <f t="shared" si="352"/>
        <v>7718</v>
      </c>
      <c r="I439" s="848">
        <f t="shared" si="393"/>
        <v>0</v>
      </c>
      <c r="J439" s="848">
        <f t="shared" si="393"/>
        <v>0</v>
      </c>
      <c r="K439" s="848">
        <f t="shared" si="393"/>
        <v>0</v>
      </c>
      <c r="L439" s="848">
        <f t="shared" si="393"/>
        <v>0</v>
      </c>
      <c r="M439" s="848">
        <f t="shared" si="393"/>
        <v>0</v>
      </c>
      <c r="N439" s="848">
        <f t="shared" si="393"/>
        <v>0</v>
      </c>
      <c r="O439" s="848">
        <f t="shared" si="393"/>
        <v>0</v>
      </c>
      <c r="P439" s="848">
        <f t="shared" si="393"/>
        <v>0</v>
      </c>
      <c r="Q439" s="848">
        <f t="shared" si="393"/>
        <v>0</v>
      </c>
      <c r="R439" s="848">
        <v>5674</v>
      </c>
      <c r="S439" s="848">
        <f t="shared" si="393"/>
        <v>2044</v>
      </c>
      <c r="T439" s="848">
        <f t="shared" si="393"/>
        <v>0</v>
      </c>
      <c r="U439" s="848">
        <f t="shared" si="393"/>
        <v>0</v>
      </c>
      <c r="V439" s="848">
        <f t="shared" si="393"/>
        <v>0</v>
      </c>
      <c r="W439" s="848">
        <f t="shared" si="393"/>
        <v>0</v>
      </c>
      <c r="X439" s="848">
        <f t="shared" si="393"/>
        <v>0</v>
      </c>
      <c r="Y439" s="848">
        <f t="shared" si="393"/>
        <v>0</v>
      </c>
      <c r="Z439" s="848">
        <f t="shared" si="393"/>
        <v>0</v>
      </c>
      <c r="AA439" s="848">
        <f t="shared" si="393"/>
        <v>0</v>
      </c>
      <c r="AB439" s="848">
        <f t="shared" si="393"/>
        <v>0</v>
      </c>
      <c r="AC439" s="848">
        <f t="shared" si="393"/>
        <v>0</v>
      </c>
      <c r="AD439" s="848"/>
      <c r="AE439" s="848"/>
      <c r="AF439" s="848">
        <f t="shared" si="393"/>
        <v>0</v>
      </c>
      <c r="AG439" s="848">
        <f t="shared" si="393"/>
        <v>0</v>
      </c>
      <c r="AH439" s="848">
        <f t="shared" si="393"/>
        <v>0</v>
      </c>
      <c r="AI439" s="848">
        <f t="shared" si="393"/>
        <v>0</v>
      </c>
      <c r="AJ439" s="848">
        <f t="shared" si="393"/>
        <v>0</v>
      </c>
      <c r="AK439" s="848">
        <f t="shared" si="393"/>
        <v>0</v>
      </c>
      <c r="AL439" s="848">
        <f t="shared" si="393"/>
        <v>0</v>
      </c>
      <c r="AM439" s="848">
        <f t="shared" si="393"/>
        <v>0</v>
      </c>
      <c r="AN439" s="848">
        <f t="shared" si="393"/>
        <v>0</v>
      </c>
      <c r="AO439" s="848">
        <f t="shared" si="393"/>
        <v>0</v>
      </c>
      <c r="AP439" s="848">
        <f t="shared" si="393"/>
        <v>0</v>
      </c>
      <c r="AQ439" s="848">
        <f t="shared" si="393"/>
        <v>0</v>
      </c>
      <c r="AR439" s="848">
        <f t="shared" si="393"/>
        <v>0</v>
      </c>
      <c r="AS439" s="848"/>
      <c r="AT439" s="848">
        <f t="shared" si="393"/>
        <v>0</v>
      </c>
      <c r="AU439" s="848">
        <f t="shared" si="393"/>
        <v>0</v>
      </c>
      <c r="AV439" s="848">
        <f t="shared" si="393"/>
        <v>0</v>
      </c>
      <c r="AW439" s="848">
        <f t="shared" si="393"/>
        <v>0</v>
      </c>
      <c r="AX439" s="848">
        <f t="shared" si="393"/>
        <v>0</v>
      </c>
      <c r="AY439" s="848">
        <f t="shared" si="393"/>
        <v>1203</v>
      </c>
      <c r="AZ439" s="848">
        <f t="shared" si="393"/>
        <v>0</v>
      </c>
      <c r="BA439" s="848">
        <f t="shared" si="393"/>
        <v>0</v>
      </c>
      <c r="BB439" s="848">
        <f t="shared" si="393"/>
        <v>0</v>
      </c>
      <c r="BC439" s="848">
        <f t="shared" si="393"/>
        <v>0</v>
      </c>
      <c r="BD439" s="848">
        <f t="shared" si="393"/>
        <v>0</v>
      </c>
      <c r="BE439" s="848">
        <f t="shared" si="393"/>
        <v>0</v>
      </c>
      <c r="BF439" s="848">
        <f t="shared" si="393"/>
        <v>0</v>
      </c>
      <c r="BG439" s="848">
        <f t="shared" si="393"/>
        <v>0</v>
      </c>
      <c r="BH439" s="848">
        <f t="shared" si="393"/>
        <v>0</v>
      </c>
      <c r="BI439" s="848">
        <f t="shared" si="393"/>
        <v>0</v>
      </c>
      <c r="BJ439" s="848">
        <f t="shared" si="393"/>
        <v>0</v>
      </c>
      <c r="BK439" s="848">
        <f t="shared" si="393"/>
        <v>0</v>
      </c>
      <c r="BL439" s="848">
        <f t="shared" si="393"/>
        <v>0</v>
      </c>
      <c r="BM439" s="848">
        <f t="shared" si="393"/>
        <v>0</v>
      </c>
      <c r="BN439" s="848">
        <f t="shared" si="393"/>
        <v>1203</v>
      </c>
      <c r="BO439" s="848">
        <f t="shared" si="334"/>
        <v>878.16506300000003</v>
      </c>
      <c r="BP439" s="848">
        <f t="shared" si="393"/>
        <v>0</v>
      </c>
      <c r="BQ439" s="848">
        <f t="shared" si="393"/>
        <v>0</v>
      </c>
      <c r="BR439" s="848">
        <f t="shared" si="393"/>
        <v>0</v>
      </c>
      <c r="BS439" s="848">
        <f t="shared" si="393"/>
        <v>0</v>
      </c>
      <c r="BT439" s="848">
        <f t="shared" si="393"/>
        <v>0</v>
      </c>
      <c r="BU439" s="848">
        <f t="shared" si="393"/>
        <v>0</v>
      </c>
      <c r="BV439" s="848">
        <f t="shared" si="393"/>
        <v>0</v>
      </c>
      <c r="BW439" s="848">
        <f t="shared" si="393"/>
        <v>0</v>
      </c>
      <c r="BX439" s="848">
        <f t="shared" si="393"/>
        <v>0</v>
      </c>
      <c r="BY439" s="848">
        <f t="shared" si="393"/>
        <v>0</v>
      </c>
      <c r="BZ439" s="848">
        <f t="shared" si="393"/>
        <v>0</v>
      </c>
      <c r="CA439" s="848">
        <f t="shared" si="393"/>
        <v>0</v>
      </c>
      <c r="CB439" s="848">
        <f t="shared" si="393"/>
        <v>0</v>
      </c>
      <c r="CC439" s="848">
        <f t="shared" si="393"/>
        <v>0</v>
      </c>
      <c r="CD439" s="848">
        <f t="shared" si="393"/>
        <v>0</v>
      </c>
      <c r="CE439" s="848">
        <f t="shared" si="393"/>
        <v>878.16506300000003</v>
      </c>
      <c r="CF439" s="848">
        <f t="shared" ref="CF439:CS439" si="394">CF440</f>
        <v>72.997927098919376</v>
      </c>
      <c r="CG439" s="848"/>
      <c r="CH439" s="848"/>
      <c r="CI439" s="848"/>
      <c r="CJ439" s="848"/>
      <c r="CK439" s="848"/>
      <c r="CL439" s="848"/>
      <c r="CM439" s="848"/>
      <c r="CN439" s="848"/>
      <c r="CO439" s="848"/>
      <c r="CP439" s="848"/>
      <c r="CQ439" s="848"/>
      <c r="CR439" s="848"/>
      <c r="CS439" s="848">
        <f t="shared" si="394"/>
        <v>0</v>
      </c>
      <c r="CT439" s="848"/>
      <c r="CU439" s="848"/>
      <c r="CV439" s="848"/>
      <c r="CW439" s="848">
        <f t="shared" si="358"/>
        <v>72.997927098919362</v>
      </c>
    </row>
    <row r="440" spans="1:101" ht="34.9" customHeight="1">
      <c r="A440" s="845"/>
      <c r="B440" s="845"/>
      <c r="C440" s="857" t="s">
        <v>508</v>
      </c>
      <c r="D440" s="846">
        <f>D441</f>
        <v>0</v>
      </c>
      <c r="E440" s="845">
        <f t="shared" si="393"/>
        <v>0</v>
      </c>
      <c r="F440" s="847"/>
      <c r="G440" s="845"/>
      <c r="H440" s="850">
        <f t="shared" si="352"/>
        <v>7718</v>
      </c>
      <c r="I440" s="848">
        <f t="shared" si="393"/>
        <v>0</v>
      </c>
      <c r="J440" s="848">
        <f t="shared" si="393"/>
        <v>0</v>
      </c>
      <c r="K440" s="848">
        <f t="shared" si="393"/>
        <v>0</v>
      </c>
      <c r="L440" s="848">
        <f t="shared" si="393"/>
        <v>0</v>
      </c>
      <c r="M440" s="848">
        <f t="shared" si="393"/>
        <v>0</v>
      </c>
      <c r="N440" s="848">
        <f t="shared" si="393"/>
        <v>0</v>
      </c>
      <c r="O440" s="848">
        <f t="shared" si="393"/>
        <v>0</v>
      </c>
      <c r="P440" s="848">
        <f t="shared" si="393"/>
        <v>0</v>
      </c>
      <c r="Q440" s="848">
        <f t="shared" si="393"/>
        <v>0</v>
      </c>
      <c r="R440" s="848">
        <v>5674</v>
      </c>
      <c r="S440" s="848">
        <f t="shared" si="393"/>
        <v>2044</v>
      </c>
      <c r="T440" s="848">
        <f t="shared" si="393"/>
        <v>0</v>
      </c>
      <c r="U440" s="848">
        <f t="shared" si="393"/>
        <v>0</v>
      </c>
      <c r="V440" s="848">
        <f t="shared" si="393"/>
        <v>0</v>
      </c>
      <c r="W440" s="848">
        <f t="shared" si="393"/>
        <v>0</v>
      </c>
      <c r="X440" s="848">
        <f t="shared" si="393"/>
        <v>0</v>
      </c>
      <c r="Y440" s="848">
        <f t="shared" si="393"/>
        <v>0</v>
      </c>
      <c r="Z440" s="848">
        <f t="shared" si="393"/>
        <v>0</v>
      </c>
      <c r="AA440" s="848">
        <f t="shared" si="393"/>
        <v>0</v>
      </c>
      <c r="AB440" s="848">
        <f t="shared" si="393"/>
        <v>0</v>
      </c>
      <c r="AC440" s="848">
        <f t="shared" si="393"/>
        <v>0</v>
      </c>
      <c r="AD440" s="848"/>
      <c r="AE440" s="848"/>
      <c r="AF440" s="848">
        <f t="shared" si="393"/>
        <v>0</v>
      </c>
      <c r="AG440" s="848">
        <f t="shared" si="393"/>
        <v>0</v>
      </c>
      <c r="AH440" s="848">
        <f t="shared" si="393"/>
        <v>0</v>
      </c>
      <c r="AI440" s="848">
        <f t="shared" si="393"/>
        <v>0</v>
      </c>
      <c r="AJ440" s="848">
        <f t="shared" si="393"/>
        <v>0</v>
      </c>
      <c r="AK440" s="848">
        <f t="shared" si="393"/>
        <v>0</v>
      </c>
      <c r="AL440" s="848">
        <f t="shared" si="393"/>
        <v>0</v>
      </c>
      <c r="AM440" s="848">
        <f t="shared" si="393"/>
        <v>0</v>
      </c>
      <c r="AN440" s="848">
        <f t="shared" si="393"/>
        <v>0</v>
      </c>
      <c r="AO440" s="848">
        <f t="shared" si="393"/>
        <v>0</v>
      </c>
      <c r="AP440" s="848">
        <f t="shared" si="393"/>
        <v>0</v>
      </c>
      <c r="AQ440" s="848">
        <f t="shared" si="393"/>
        <v>0</v>
      </c>
      <c r="AR440" s="848">
        <f t="shared" si="393"/>
        <v>0</v>
      </c>
      <c r="AS440" s="848"/>
      <c r="AT440" s="848">
        <f t="shared" si="393"/>
        <v>0</v>
      </c>
      <c r="AU440" s="848">
        <f t="shared" si="393"/>
        <v>0</v>
      </c>
      <c r="AV440" s="848">
        <f t="shared" si="393"/>
        <v>0</v>
      </c>
      <c r="AW440" s="848">
        <f t="shared" si="393"/>
        <v>0</v>
      </c>
      <c r="AX440" s="848">
        <f t="shared" si="393"/>
        <v>0</v>
      </c>
      <c r="AY440" s="848">
        <f t="shared" si="393"/>
        <v>1203</v>
      </c>
      <c r="AZ440" s="848">
        <f t="shared" si="393"/>
        <v>0</v>
      </c>
      <c r="BA440" s="848">
        <f t="shared" si="393"/>
        <v>0</v>
      </c>
      <c r="BB440" s="848">
        <f t="shared" si="393"/>
        <v>0</v>
      </c>
      <c r="BC440" s="848">
        <f t="shared" si="393"/>
        <v>0</v>
      </c>
      <c r="BD440" s="848">
        <f t="shared" si="393"/>
        <v>0</v>
      </c>
      <c r="BE440" s="848">
        <f t="shared" si="393"/>
        <v>0</v>
      </c>
      <c r="BF440" s="848">
        <f t="shared" si="393"/>
        <v>0</v>
      </c>
      <c r="BG440" s="848">
        <f t="shared" si="393"/>
        <v>0</v>
      </c>
      <c r="BH440" s="848">
        <f t="shared" si="393"/>
        <v>0</v>
      </c>
      <c r="BI440" s="848">
        <f t="shared" si="393"/>
        <v>0</v>
      </c>
      <c r="BJ440" s="848">
        <f t="shared" si="393"/>
        <v>0</v>
      </c>
      <c r="BK440" s="848">
        <f t="shared" si="393"/>
        <v>0</v>
      </c>
      <c r="BL440" s="848">
        <f t="shared" si="393"/>
        <v>0</v>
      </c>
      <c r="BM440" s="848">
        <f t="shared" si="393"/>
        <v>0</v>
      </c>
      <c r="BN440" s="848">
        <f t="shared" si="393"/>
        <v>1203</v>
      </c>
      <c r="BO440" s="848">
        <f t="shared" si="334"/>
        <v>878.16506300000003</v>
      </c>
      <c r="BP440" s="848">
        <f t="shared" si="393"/>
        <v>0</v>
      </c>
      <c r="BQ440" s="848">
        <f t="shared" si="393"/>
        <v>0</v>
      </c>
      <c r="BR440" s="848">
        <f t="shared" si="393"/>
        <v>0</v>
      </c>
      <c r="BS440" s="848">
        <f t="shared" si="393"/>
        <v>0</v>
      </c>
      <c r="BT440" s="848">
        <f t="shared" si="393"/>
        <v>0</v>
      </c>
      <c r="BU440" s="848">
        <f t="shared" si="393"/>
        <v>0</v>
      </c>
      <c r="BV440" s="848">
        <f t="shared" si="393"/>
        <v>0</v>
      </c>
      <c r="BW440" s="848">
        <f t="shared" si="393"/>
        <v>0</v>
      </c>
      <c r="BX440" s="848">
        <f t="shared" si="393"/>
        <v>0</v>
      </c>
      <c r="BY440" s="848">
        <f t="shared" si="393"/>
        <v>0</v>
      </c>
      <c r="BZ440" s="848">
        <f t="shared" si="393"/>
        <v>0</v>
      </c>
      <c r="CA440" s="848">
        <f t="shared" si="393"/>
        <v>0</v>
      </c>
      <c r="CB440" s="848">
        <f t="shared" si="393"/>
        <v>0</v>
      </c>
      <c r="CC440" s="848">
        <f t="shared" si="393"/>
        <v>0</v>
      </c>
      <c r="CD440" s="848">
        <f t="shared" si="393"/>
        <v>0</v>
      </c>
      <c r="CE440" s="848">
        <f t="shared" si="393"/>
        <v>878.16506300000003</v>
      </c>
      <c r="CF440" s="848">
        <f t="shared" ref="CF440:CF445" si="395">BO440/AY440%</f>
        <v>72.997927098919376</v>
      </c>
      <c r="CG440" s="848"/>
      <c r="CH440" s="848"/>
      <c r="CI440" s="848"/>
      <c r="CJ440" s="848"/>
      <c r="CK440" s="848"/>
      <c r="CL440" s="848"/>
      <c r="CM440" s="848"/>
      <c r="CN440" s="848"/>
      <c r="CO440" s="848"/>
      <c r="CP440" s="848"/>
      <c r="CQ440" s="848"/>
      <c r="CR440" s="848"/>
      <c r="CS440" s="848"/>
      <c r="CT440" s="848"/>
      <c r="CU440" s="848"/>
      <c r="CV440" s="848"/>
      <c r="CW440" s="848">
        <f t="shared" si="358"/>
        <v>72.997927098919362</v>
      </c>
    </row>
    <row r="441" spans="1:101" ht="47.45" customHeight="1">
      <c r="A441" s="845"/>
      <c r="B441" s="852" t="s">
        <v>677</v>
      </c>
      <c r="C441" s="852" t="s">
        <v>1084</v>
      </c>
      <c r="D441" s="846"/>
      <c r="E441" s="845"/>
      <c r="F441" s="896" t="s">
        <v>1065</v>
      </c>
      <c r="G441" s="897" t="s">
        <v>1085</v>
      </c>
      <c r="H441" s="850">
        <f t="shared" si="352"/>
        <v>7718</v>
      </c>
      <c r="I441" s="898"/>
      <c r="J441" s="848"/>
      <c r="K441" s="848"/>
      <c r="L441" s="848"/>
      <c r="M441" s="848"/>
      <c r="N441" s="848"/>
      <c r="O441" s="848"/>
      <c r="P441" s="848"/>
      <c r="Q441" s="848"/>
      <c r="R441" s="855">
        <v>5674</v>
      </c>
      <c r="S441" s="855">
        <v>2044</v>
      </c>
      <c r="T441" s="855">
        <f t="shared" si="341"/>
        <v>0</v>
      </c>
      <c r="U441" s="848"/>
      <c r="V441" s="848"/>
      <c r="W441" s="848"/>
      <c r="X441" s="848"/>
      <c r="Y441" s="848"/>
      <c r="Z441" s="848"/>
      <c r="AA441" s="848"/>
      <c r="AB441" s="848"/>
      <c r="AC441" s="848"/>
      <c r="AD441" s="848"/>
      <c r="AE441" s="848"/>
      <c r="AF441" s="848"/>
      <c r="AG441" s="848"/>
      <c r="AH441" s="855"/>
      <c r="AI441" s="855"/>
      <c r="AJ441" s="855"/>
      <c r="AK441" s="855"/>
      <c r="AL441" s="855"/>
      <c r="AM441" s="855"/>
      <c r="AN441" s="855"/>
      <c r="AO441" s="855"/>
      <c r="AP441" s="855"/>
      <c r="AQ441" s="855"/>
      <c r="AR441" s="855"/>
      <c r="AS441" s="855"/>
      <c r="AT441" s="855"/>
      <c r="AU441" s="855"/>
      <c r="AV441" s="855"/>
      <c r="AW441" s="855"/>
      <c r="AX441" s="855"/>
      <c r="AY441" s="855">
        <f t="shared" ref="AY441" si="396">SUM(AZ441:BN441)</f>
        <v>1203</v>
      </c>
      <c r="AZ441" s="855"/>
      <c r="BA441" s="855"/>
      <c r="BB441" s="855"/>
      <c r="BC441" s="855"/>
      <c r="BD441" s="855"/>
      <c r="BE441" s="855"/>
      <c r="BF441" s="855"/>
      <c r="BG441" s="855"/>
      <c r="BH441" s="855"/>
      <c r="BI441" s="855"/>
      <c r="BJ441" s="855"/>
      <c r="BK441" s="855"/>
      <c r="BL441" s="855"/>
      <c r="BM441" s="855"/>
      <c r="BN441" s="855">
        <v>1203</v>
      </c>
      <c r="BO441" s="848">
        <f t="shared" si="334"/>
        <v>878.16506300000003</v>
      </c>
      <c r="BP441" s="855"/>
      <c r="BQ441" s="855"/>
      <c r="BR441" s="855"/>
      <c r="BS441" s="855"/>
      <c r="BT441" s="855"/>
      <c r="BU441" s="855"/>
      <c r="BV441" s="855"/>
      <c r="BW441" s="855"/>
      <c r="BX441" s="855"/>
      <c r="BY441" s="855"/>
      <c r="BZ441" s="855"/>
      <c r="CA441" s="855"/>
      <c r="CB441" s="855"/>
      <c r="CC441" s="855"/>
      <c r="CD441" s="855"/>
      <c r="CE441" s="855">
        <v>878.16506300000003</v>
      </c>
      <c r="CF441" s="848">
        <f t="shared" si="395"/>
        <v>72.997927098919376</v>
      </c>
      <c r="CG441" s="848"/>
      <c r="CH441" s="848"/>
      <c r="CI441" s="848"/>
      <c r="CJ441" s="848"/>
      <c r="CK441" s="848"/>
      <c r="CL441" s="848"/>
      <c r="CM441" s="848"/>
      <c r="CN441" s="848"/>
      <c r="CO441" s="848"/>
      <c r="CP441" s="848"/>
      <c r="CQ441" s="848"/>
      <c r="CR441" s="848"/>
      <c r="CS441" s="848"/>
      <c r="CT441" s="848"/>
      <c r="CU441" s="848"/>
      <c r="CV441" s="848"/>
      <c r="CW441" s="848">
        <f t="shared" si="358"/>
        <v>72.997927098919362</v>
      </c>
    </row>
    <row r="442" spans="1:101" s="851" customFormat="1" ht="24.75" customHeight="1">
      <c r="A442" s="845" t="s">
        <v>8</v>
      </c>
      <c r="B442" s="845"/>
      <c r="C442" s="857" t="s">
        <v>1086</v>
      </c>
      <c r="D442" s="846">
        <f>D443</f>
        <v>0</v>
      </c>
      <c r="E442" s="845">
        <f t="shared" ref="E442:CE442" si="397">E443</f>
        <v>0</v>
      </c>
      <c r="F442" s="847"/>
      <c r="G442" s="845"/>
      <c r="H442" s="850">
        <f t="shared" si="352"/>
        <v>1860</v>
      </c>
      <c r="I442" s="848">
        <f t="shared" si="397"/>
        <v>0</v>
      </c>
      <c r="J442" s="848">
        <f t="shared" si="397"/>
        <v>0</v>
      </c>
      <c r="K442" s="848">
        <f t="shared" si="397"/>
        <v>0</v>
      </c>
      <c r="L442" s="848">
        <f t="shared" si="397"/>
        <v>0</v>
      </c>
      <c r="M442" s="848">
        <f t="shared" si="397"/>
        <v>0</v>
      </c>
      <c r="N442" s="848">
        <f t="shared" si="397"/>
        <v>0</v>
      </c>
      <c r="O442" s="848">
        <f t="shared" si="397"/>
        <v>0</v>
      </c>
      <c r="P442" s="848">
        <f t="shared" si="397"/>
        <v>0</v>
      </c>
      <c r="Q442" s="848">
        <f t="shared" si="397"/>
        <v>0</v>
      </c>
      <c r="R442" s="848">
        <v>0</v>
      </c>
      <c r="S442" s="848">
        <f t="shared" si="397"/>
        <v>1860</v>
      </c>
      <c r="T442" s="855">
        <f t="shared" si="341"/>
        <v>0</v>
      </c>
      <c r="U442" s="848">
        <f t="shared" ref="U442:AH442" si="398">U443</f>
        <v>0</v>
      </c>
      <c r="V442" s="848"/>
      <c r="W442" s="848">
        <f t="shared" si="398"/>
        <v>0</v>
      </c>
      <c r="X442" s="848"/>
      <c r="Y442" s="848"/>
      <c r="Z442" s="848"/>
      <c r="AA442" s="848"/>
      <c r="AB442" s="848"/>
      <c r="AC442" s="848"/>
      <c r="AD442" s="848"/>
      <c r="AE442" s="848"/>
      <c r="AF442" s="848"/>
      <c r="AG442" s="848"/>
      <c r="AH442" s="848">
        <f t="shared" si="398"/>
        <v>0</v>
      </c>
      <c r="AI442" s="848">
        <f t="shared" si="397"/>
        <v>1000</v>
      </c>
      <c r="AJ442" s="848">
        <f t="shared" si="397"/>
        <v>0</v>
      </c>
      <c r="AK442" s="848">
        <f t="shared" si="397"/>
        <v>0</v>
      </c>
      <c r="AL442" s="848">
        <f t="shared" si="397"/>
        <v>0</v>
      </c>
      <c r="AM442" s="848">
        <f t="shared" si="397"/>
        <v>0</v>
      </c>
      <c r="AN442" s="848">
        <f t="shared" si="397"/>
        <v>0</v>
      </c>
      <c r="AO442" s="848">
        <f t="shared" si="397"/>
        <v>0</v>
      </c>
      <c r="AP442" s="848">
        <f t="shared" si="397"/>
        <v>0</v>
      </c>
      <c r="AQ442" s="848">
        <f t="shared" si="397"/>
        <v>0</v>
      </c>
      <c r="AR442" s="848">
        <f t="shared" si="397"/>
        <v>0</v>
      </c>
      <c r="AS442" s="848"/>
      <c r="AT442" s="848">
        <f t="shared" si="397"/>
        <v>0</v>
      </c>
      <c r="AU442" s="848">
        <f t="shared" si="397"/>
        <v>0</v>
      </c>
      <c r="AV442" s="848">
        <f t="shared" si="397"/>
        <v>0</v>
      </c>
      <c r="AW442" s="848">
        <f t="shared" si="397"/>
        <v>0</v>
      </c>
      <c r="AX442" s="848">
        <f>AX443</f>
        <v>1000</v>
      </c>
      <c r="AY442" s="848">
        <f t="shared" si="397"/>
        <v>808</v>
      </c>
      <c r="AZ442" s="848">
        <f t="shared" si="397"/>
        <v>0</v>
      </c>
      <c r="BA442" s="848">
        <f t="shared" si="397"/>
        <v>0</v>
      </c>
      <c r="BB442" s="848">
        <f t="shared" si="397"/>
        <v>0</v>
      </c>
      <c r="BC442" s="848">
        <f t="shared" si="397"/>
        <v>0</v>
      </c>
      <c r="BD442" s="848">
        <f t="shared" si="397"/>
        <v>0</v>
      </c>
      <c r="BE442" s="848">
        <f t="shared" si="397"/>
        <v>0</v>
      </c>
      <c r="BF442" s="848">
        <f t="shared" si="397"/>
        <v>0</v>
      </c>
      <c r="BG442" s="848">
        <f t="shared" si="397"/>
        <v>0</v>
      </c>
      <c r="BH442" s="848">
        <f t="shared" si="397"/>
        <v>0</v>
      </c>
      <c r="BI442" s="848">
        <f t="shared" si="397"/>
        <v>0</v>
      </c>
      <c r="BJ442" s="848">
        <f t="shared" si="397"/>
        <v>0</v>
      </c>
      <c r="BK442" s="848">
        <f t="shared" si="397"/>
        <v>0</v>
      </c>
      <c r="BL442" s="848">
        <f t="shared" si="397"/>
        <v>0</v>
      </c>
      <c r="BM442" s="848">
        <f t="shared" si="397"/>
        <v>0</v>
      </c>
      <c r="BN442" s="848">
        <f t="shared" si="397"/>
        <v>808</v>
      </c>
      <c r="BO442" s="848">
        <f t="shared" si="334"/>
        <v>807.72199999999998</v>
      </c>
      <c r="BP442" s="848">
        <f t="shared" si="397"/>
        <v>0</v>
      </c>
      <c r="BQ442" s="848">
        <f t="shared" si="397"/>
        <v>0</v>
      </c>
      <c r="BR442" s="848">
        <f t="shared" si="397"/>
        <v>0</v>
      </c>
      <c r="BS442" s="848">
        <f t="shared" si="397"/>
        <v>0</v>
      </c>
      <c r="BT442" s="848">
        <f t="shared" si="397"/>
        <v>0</v>
      </c>
      <c r="BU442" s="848">
        <f t="shared" si="397"/>
        <v>0</v>
      </c>
      <c r="BV442" s="848">
        <f t="shared" si="397"/>
        <v>0</v>
      </c>
      <c r="BW442" s="848">
        <f t="shared" si="397"/>
        <v>0</v>
      </c>
      <c r="BX442" s="848">
        <f t="shared" si="397"/>
        <v>0</v>
      </c>
      <c r="BY442" s="848">
        <f t="shared" si="397"/>
        <v>0</v>
      </c>
      <c r="BZ442" s="848">
        <f t="shared" si="397"/>
        <v>0</v>
      </c>
      <c r="CA442" s="848">
        <f t="shared" si="397"/>
        <v>0</v>
      </c>
      <c r="CB442" s="848">
        <f t="shared" si="397"/>
        <v>0</v>
      </c>
      <c r="CC442" s="848">
        <f t="shared" si="397"/>
        <v>0</v>
      </c>
      <c r="CD442" s="848">
        <f t="shared" si="397"/>
        <v>0</v>
      </c>
      <c r="CE442" s="848">
        <f t="shared" si="397"/>
        <v>807.72199999999998</v>
      </c>
      <c r="CF442" s="848">
        <f t="shared" si="395"/>
        <v>99.96559405940593</v>
      </c>
      <c r="CG442" s="848"/>
      <c r="CH442" s="848"/>
      <c r="CI442" s="848"/>
      <c r="CJ442" s="848"/>
      <c r="CK442" s="848"/>
      <c r="CL442" s="848"/>
      <c r="CM442" s="848"/>
      <c r="CN442" s="848"/>
      <c r="CO442" s="848"/>
      <c r="CP442" s="848"/>
      <c r="CQ442" s="848"/>
      <c r="CR442" s="848"/>
      <c r="CS442" s="848"/>
      <c r="CT442" s="848"/>
      <c r="CU442" s="848"/>
      <c r="CV442" s="848"/>
      <c r="CW442" s="848">
        <f t="shared" si="358"/>
        <v>99.965594059405944</v>
      </c>
    </row>
    <row r="443" spans="1:101" ht="24.75" customHeight="1">
      <c r="A443" s="845"/>
      <c r="B443" s="852" t="s">
        <v>1080</v>
      </c>
      <c r="C443" s="852" t="s">
        <v>1087</v>
      </c>
      <c r="D443" s="846"/>
      <c r="E443" s="845"/>
      <c r="F443" s="853">
        <v>2016</v>
      </c>
      <c r="G443" s="854" t="s">
        <v>1088</v>
      </c>
      <c r="H443" s="850">
        <f t="shared" si="352"/>
        <v>1860</v>
      </c>
      <c r="I443" s="872"/>
      <c r="J443" s="848"/>
      <c r="K443" s="848"/>
      <c r="L443" s="848"/>
      <c r="M443" s="848"/>
      <c r="N443" s="848"/>
      <c r="O443" s="848"/>
      <c r="P443" s="848"/>
      <c r="Q443" s="848"/>
      <c r="R443" s="848"/>
      <c r="S443" s="848">
        <v>1860</v>
      </c>
      <c r="T443" s="855">
        <f t="shared" si="341"/>
        <v>0</v>
      </c>
      <c r="U443" s="848"/>
      <c r="V443" s="848"/>
      <c r="W443" s="848"/>
      <c r="X443" s="848"/>
      <c r="Y443" s="848"/>
      <c r="Z443" s="848"/>
      <c r="AA443" s="848"/>
      <c r="AB443" s="848"/>
      <c r="AC443" s="848"/>
      <c r="AD443" s="848"/>
      <c r="AE443" s="848"/>
      <c r="AF443" s="848"/>
      <c r="AG443" s="848"/>
      <c r="AH443" s="855"/>
      <c r="AI443" s="855">
        <f>AX443</f>
        <v>1000</v>
      </c>
      <c r="AJ443" s="855"/>
      <c r="AK443" s="855"/>
      <c r="AL443" s="855"/>
      <c r="AM443" s="855"/>
      <c r="AN443" s="855"/>
      <c r="AO443" s="855"/>
      <c r="AP443" s="855"/>
      <c r="AQ443" s="855"/>
      <c r="AR443" s="855"/>
      <c r="AS443" s="855"/>
      <c r="AT443" s="855"/>
      <c r="AU443" s="855"/>
      <c r="AV443" s="855"/>
      <c r="AW443" s="855"/>
      <c r="AX443" s="855">
        <v>1000</v>
      </c>
      <c r="AY443" s="855">
        <f t="shared" ref="AY443" si="399">SUM(AZ443:BN443)</f>
        <v>808</v>
      </c>
      <c r="AZ443" s="855"/>
      <c r="BA443" s="855"/>
      <c r="BB443" s="855"/>
      <c r="BC443" s="855"/>
      <c r="BD443" s="855"/>
      <c r="BE443" s="855"/>
      <c r="BF443" s="855"/>
      <c r="BG443" s="855"/>
      <c r="BH443" s="855"/>
      <c r="BI443" s="855"/>
      <c r="BJ443" s="855"/>
      <c r="BK443" s="855"/>
      <c r="BL443" s="855"/>
      <c r="BM443" s="855"/>
      <c r="BN443" s="855">
        <f>'[10]bieu cu'!H188</f>
        <v>808</v>
      </c>
      <c r="BO443" s="848">
        <f t="shared" si="334"/>
        <v>807.72199999999998</v>
      </c>
      <c r="BP443" s="855"/>
      <c r="BQ443" s="855"/>
      <c r="BR443" s="855"/>
      <c r="BS443" s="855"/>
      <c r="BT443" s="855"/>
      <c r="BU443" s="855"/>
      <c r="BV443" s="855"/>
      <c r="BW443" s="855"/>
      <c r="BX443" s="855"/>
      <c r="BY443" s="855"/>
      <c r="BZ443" s="855"/>
      <c r="CA443" s="855"/>
      <c r="CB443" s="855"/>
      <c r="CC443" s="855"/>
      <c r="CD443" s="855"/>
      <c r="CE443" s="855">
        <f>'[10]bieu cu'!M188</f>
        <v>807.72199999999998</v>
      </c>
      <c r="CF443" s="848">
        <f t="shared" si="395"/>
        <v>99.96559405940593</v>
      </c>
      <c r="CG443" s="848"/>
      <c r="CH443" s="848"/>
      <c r="CI443" s="848"/>
      <c r="CJ443" s="848"/>
      <c r="CK443" s="848"/>
      <c r="CL443" s="848"/>
      <c r="CM443" s="848"/>
      <c r="CN443" s="848"/>
      <c r="CO443" s="848"/>
      <c r="CP443" s="848"/>
      <c r="CQ443" s="848"/>
      <c r="CR443" s="848"/>
      <c r="CS443" s="848"/>
      <c r="CT443" s="848"/>
      <c r="CU443" s="848"/>
      <c r="CV443" s="848"/>
      <c r="CW443" s="848">
        <f t="shared" si="358"/>
        <v>99.965594059405944</v>
      </c>
    </row>
    <row r="444" spans="1:101" ht="24.75" customHeight="1">
      <c r="A444" s="845" t="s">
        <v>9</v>
      </c>
      <c r="B444" s="845"/>
      <c r="C444" s="857" t="s">
        <v>1069</v>
      </c>
      <c r="D444" s="846">
        <f>D445</f>
        <v>0</v>
      </c>
      <c r="E444" s="845">
        <f t="shared" ref="E444:CE444" si="400">E445</f>
        <v>0</v>
      </c>
      <c r="F444" s="847"/>
      <c r="G444" s="845"/>
      <c r="H444" s="850">
        <f t="shared" si="352"/>
        <v>8358</v>
      </c>
      <c r="I444" s="848">
        <f t="shared" ref="I444:S444" si="401">I445</f>
        <v>0</v>
      </c>
      <c r="J444" s="848">
        <f t="shared" si="401"/>
        <v>0</v>
      </c>
      <c r="K444" s="848">
        <f t="shared" si="401"/>
        <v>0</v>
      </c>
      <c r="L444" s="848">
        <f t="shared" si="401"/>
        <v>0</v>
      </c>
      <c r="M444" s="848">
        <f t="shared" si="401"/>
        <v>0</v>
      </c>
      <c r="N444" s="848">
        <f t="shared" si="401"/>
        <v>0</v>
      </c>
      <c r="O444" s="848">
        <f t="shared" si="401"/>
        <v>0</v>
      </c>
      <c r="P444" s="848">
        <f t="shared" si="401"/>
        <v>0</v>
      </c>
      <c r="Q444" s="848">
        <f t="shared" si="401"/>
        <v>0</v>
      </c>
      <c r="R444" s="848">
        <v>0</v>
      </c>
      <c r="S444" s="848">
        <f t="shared" si="401"/>
        <v>8358</v>
      </c>
      <c r="T444" s="855">
        <f t="shared" si="341"/>
        <v>0</v>
      </c>
      <c r="U444" s="848">
        <f t="shared" ref="U444:AH444" si="402">U445</f>
        <v>0</v>
      </c>
      <c r="V444" s="848"/>
      <c r="W444" s="848">
        <f t="shared" si="402"/>
        <v>0</v>
      </c>
      <c r="X444" s="848"/>
      <c r="Y444" s="848"/>
      <c r="Z444" s="848"/>
      <c r="AA444" s="848"/>
      <c r="AB444" s="848"/>
      <c r="AC444" s="848"/>
      <c r="AD444" s="848"/>
      <c r="AE444" s="848"/>
      <c r="AF444" s="848"/>
      <c r="AG444" s="848"/>
      <c r="AH444" s="848">
        <f t="shared" si="402"/>
        <v>0</v>
      </c>
      <c r="AI444" s="848">
        <f t="shared" si="400"/>
        <v>500</v>
      </c>
      <c r="AJ444" s="848">
        <f t="shared" si="400"/>
        <v>0</v>
      </c>
      <c r="AK444" s="848">
        <f t="shared" si="400"/>
        <v>0</v>
      </c>
      <c r="AL444" s="848">
        <f t="shared" si="400"/>
        <v>0</v>
      </c>
      <c r="AM444" s="848">
        <f t="shared" si="400"/>
        <v>0</v>
      </c>
      <c r="AN444" s="848">
        <f t="shared" si="400"/>
        <v>0</v>
      </c>
      <c r="AO444" s="848">
        <f t="shared" si="400"/>
        <v>0</v>
      </c>
      <c r="AP444" s="848">
        <f t="shared" si="400"/>
        <v>0</v>
      </c>
      <c r="AQ444" s="848">
        <f t="shared" si="400"/>
        <v>0</v>
      </c>
      <c r="AR444" s="848">
        <f t="shared" si="400"/>
        <v>0</v>
      </c>
      <c r="AS444" s="848"/>
      <c r="AT444" s="848">
        <f t="shared" si="400"/>
        <v>0</v>
      </c>
      <c r="AU444" s="848">
        <f t="shared" si="400"/>
        <v>0</v>
      </c>
      <c r="AV444" s="848">
        <f t="shared" si="400"/>
        <v>0</v>
      </c>
      <c r="AW444" s="848">
        <f t="shared" si="400"/>
        <v>0</v>
      </c>
      <c r="AX444" s="848">
        <f>AX445</f>
        <v>500</v>
      </c>
      <c r="AY444" s="848">
        <f t="shared" si="400"/>
        <v>1096</v>
      </c>
      <c r="AZ444" s="848">
        <f t="shared" si="400"/>
        <v>0</v>
      </c>
      <c r="BA444" s="848">
        <f t="shared" si="400"/>
        <v>0</v>
      </c>
      <c r="BB444" s="848">
        <f t="shared" si="400"/>
        <v>0</v>
      </c>
      <c r="BC444" s="848">
        <f t="shared" si="400"/>
        <v>0</v>
      </c>
      <c r="BD444" s="848">
        <f t="shared" si="400"/>
        <v>0</v>
      </c>
      <c r="BE444" s="848">
        <f t="shared" si="400"/>
        <v>0</v>
      </c>
      <c r="BF444" s="848">
        <f t="shared" si="400"/>
        <v>0</v>
      </c>
      <c r="BG444" s="848">
        <f t="shared" si="400"/>
        <v>0</v>
      </c>
      <c r="BH444" s="848">
        <f t="shared" si="400"/>
        <v>0</v>
      </c>
      <c r="BI444" s="848">
        <f t="shared" si="400"/>
        <v>0</v>
      </c>
      <c r="BJ444" s="848">
        <f t="shared" si="400"/>
        <v>0</v>
      </c>
      <c r="BK444" s="848">
        <f t="shared" si="400"/>
        <v>0</v>
      </c>
      <c r="BL444" s="848">
        <f t="shared" si="400"/>
        <v>0</v>
      </c>
      <c r="BM444" s="848">
        <f t="shared" si="400"/>
        <v>0</v>
      </c>
      <c r="BN444" s="848">
        <f t="shared" si="400"/>
        <v>1096</v>
      </c>
      <c r="BO444" s="848">
        <f t="shared" si="334"/>
        <v>107.52800000000001</v>
      </c>
      <c r="BP444" s="848">
        <f t="shared" si="400"/>
        <v>0</v>
      </c>
      <c r="BQ444" s="848">
        <f t="shared" si="400"/>
        <v>0</v>
      </c>
      <c r="BR444" s="848">
        <f t="shared" si="400"/>
        <v>0</v>
      </c>
      <c r="BS444" s="848">
        <f t="shared" si="400"/>
        <v>0</v>
      </c>
      <c r="BT444" s="848">
        <f t="shared" si="400"/>
        <v>0</v>
      </c>
      <c r="BU444" s="848">
        <f t="shared" si="400"/>
        <v>0</v>
      </c>
      <c r="BV444" s="848">
        <f t="shared" si="400"/>
        <v>0</v>
      </c>
      <c r="BW444" s="848">
        <f t="shared" si="400"/>
        <v>0</v>
      </c>
      <c r="BX444" s="848">
        <f t="shared" si="400"/>
        <v>0</v>
      </c>
      <c r="BY444" s="848">
        <f t="shared" si="400"/>
        <v>0</v>
      </c>
      <c r="BZ444" s="848">
        <f t="shared" si="400"/>
        <v>0</v>
      </c>
      <c r="CA444" s="848">
        <f t="shared" si="400"/>
        <v>0</v>
      </c>
      <c r="CB444" s="848">
        <f t="shared" si="400"/>
        <v>0</v>
      </c>
      <c r="CC444" s="848">
        <f t="shared" si="400"/>
        <v>0</v>
      </c>
      <c r="CD444" s="848">
        <f t="shared" si="400"/>
        <v>0</v>
      </c>
      <c r="CE444" s="848">
        <f t="shared" si="400"/>
        <v>107.52800000000001</v>
      </c>
      <c r="CF444" s="848">
        <f t="shared" si="395"/>
        <v>9.8109489051094894</v>
      </c>
      <c r="CG444" s="848"/>
      <c r="CH444" s="848"/>
      <c r="CI444" s="848"/>
      <c r="CJ444" s="848"/>
      <c r="CK444" s="848"/>
      <c r="CL444" s="848"/>
      <c r="CM444" s="848"/>
      <c r="CN444" s="848"/>
      <c r="CO444" s="848"/>
      <c r="CP444" s="848"/>
      <c r="CQ444" s="848"/>
      <c r="CR444" s="848"/>
      <c r="CS444" s="848"/>
      <c r="CT444" s="848"/>
      <c r="CU444" s="848"/>
      <c r="CV444" s="848"/>
      <c r="CW444" s="848">
        <f t="shared" si="358"/>
        <v>9.8109489051094894</v>
      </c>
    </row>
    <row r="445" spans="1:101" ht="49.15" customHeight="1">
      <c r="A445" s="845"/>
      <c r="B445" s="852" t="s">
        <v>1069</v>
      </c>
      <c r="C445" s="852" t="s">
        <v>1089</v>
      </c>
      <c r="D445" s="846"/>
      <c r="E445" s="845"/>
      <c r="F445" s="853">
        <v>2016</v>
      </c>
      <c r="G445" s="846" t="s">
        <v>1082</v>
      </c>
      <c r="H445" s="850">
        <f t="shared" si="352"/>
        <v>8358</v>
      </c>
      <c r="I445" s="860"/>
      <c r="J445" s="848"/>
      <c r="K445" s="848"/>
      <c r="L445" s="848"/>
      <c r="M445" s="848"/>
      <c r="N445" s="848"/>
      <c r="O445" s="848"/>
      <c r="P445" s="848"/>
      <c r="Q445" s="848"/>
      <c r="R445" s="848"/>
      <c r="S445" s="855">
        <v>8358</v>
      </c>
      <c r="T445" s="855">
        <f t="shared" si="341"/>
        <v>0</v>
      </c>
      <c r="U445" s="848"/>
      <c r="V445" s="848"/>
      <c r="W445" s="848"/>
      <c r="X445" s="848"/>
      <c r="Y445" s="848"/>
      <c r="Z445" s="848"/>
      <c r="AA445" s="848"/>
      <c r="AB445" s="848"/>
      <c r="AC445" s="848"/>
      <c r="AD445" s="848"/>
      <c r="AE445" s="848"/>
      <c r="AF445" s="848"/>
      <c r="AG445" s="848"/>
      <c r="AH445" s="855"/>
      <c r="AI445" s="855">
        <f>AX445</f>
        <v>500</v>
      </c>
      <c r="AJ445" s="855"/>
      <c r="AK445" s="855"/>
      <c r="AL445" s="855"/>
      <c r="AM445" s="855"/>
      <c r="AN445" s="855"/>
      <c r="AO445" s="855"/>
      <c r="AP445" s="855"/>
      <c r="AQ445" s="855"/>
      <c r="AR445" s="855"/>
      <c r="AS445" s="855"/>
      <c r="AT445" s="855"/>
      <c r="AU445" s="855"/>
      <c r="AV445" s="855"/>
      <c r="AW445" s="855"/>
      <c r="AX445" s="855">
        <v>500</v>
      </c>
      <c r="AY445" s="855">
        <f t="shared" ref="AY445" si="403">SUM(AZ445:BN445)</f>
        <v>1096</v>
      </c>
      <c r="AZ445" s="855"/>
      <c r="BA445" s="855"/>
      <c r="BB445" s="855"/>
      <c r="BC445" s="855"/>
      <c r="BD445" s="855"/>
      <c r="BE445" s="855"/>
      <c r="BF445" s="855"/>
      <c r="BG445" s="855"/>
      <c r="BH445" s="855"/>
      <c r="BI445" s="855"/>
      <c r="BJ445" s="855"/>
      <c r="BK445" s="855"/>
      <c r="BL445" s="855"/>
      <c r="BM445" s="855"/>
      <c r="BN445" s="855">
        <f>'[10]bieu cu'!H190</f>
        <v>1096</v>
      </c>
      <c r="BO445" s="848">
        <f t="shared" si="334"/>
        <v>107.52800000000001</v>
      </c>
      <c r="BP445" s="855"/>
      <c r="BQ445" s="855"/>
      <c r="BR445" s="855"/>
      <c r="BS445" s="855"/>
      <c r="BT445" s="855"/>
      <c r="BU445" s="855"/>
      <c r="BV445" s="855"/>
      <c r="BW445" s="855"/>
      <c r="BX445" s="855"/>
      <c r="BY445" s="855"/>
      <c r="BZ445" s="855"/>
      <c r="CA445" s="855"/>
      <c r="CB445" s="855"/>
      <c r="CC445" s="855"/>
      <c r="CD445" s="855"/>
      <c r="CE445" s="855">
        <v>107.52800000000001</v>
      </c>
      <c r="CF445" s="848">
        <f t="shared" si="395"/>
        <v>9.8109489051094894</v>
      </c>
      <c r="CG445" s="848"/>
      <c r="CH445" s="848"/>
      <c r="CI445" s="848"/>
      <c r="CJ445" s="848"/>
      <c r="CK445" s="848"/>
      <c r="CL445" s="848"/>
      <c r="CM445" s="848"/>
      <c r="CN445" s="848"/>
      <c r="CO445" s="848"/>
      <c r="CP445" s="848"/>
      <c r="CQ445" s="848"/>
      <c r="CR445" s="848"/>
      <c r="CS445" s="848"/>
      <c r="CT445" s="848"/>
      <c r="CU445" s="848"/>
      <c r="CV445" s="848"/>
      <c r="CW445" s="848">
        <f t="shared" si="358"/>
        <v>9.8109489051094894</v>
      </c>
    </row>
    <row r="446" spans="1:101" ht="24.75" customHeight="1">
      <c r="A446" s="845" t="s">
        <v>1090</v>
      </c>
      <c r="B446" s="845"/>
      <c r="C446" s="857" t="s">
        <v>1091</v>
      </c>
      <c r="D446" s="846">
        <f t="shared" ref="D446:BN446" si="404">D447+D453+D456+D462+D472+D484+D497+D502+D512+D519+D527+D538</f>
        <v>0</v>
      </c>
      <c r="E446" s="845">
        <f t="shared" si="404"/>
        <v>0</v>
      </c>
      <c r="F446" s="847"/>
      <c r="G446" s="845"/>
      <c r="H446" s="850">
        <f t="shared" si="352"/>
        <v>600670.22091999999</v>
      </c>
      <c r="I446" s="848">
        <f t="shared" si="404"/>
        <v>4830</v>
      </c>
      <c r="J446" s="848">
        <f t="shared" si="404"/>
        <v>0</v>
      </c>
      <c r="K446" s="848">
        <f t="shared" si="404"/>
        <v>17969</v>
      </c>
      <c r="L446" s="848">
        <f t="shared" si="404"/>
        <v>0</v>
      </c>
      <c r="M446" s="848">
        <f t="shared" si="404"/>
        <v>0</v>
      </c>
      <c r="N446" s="848">
        <f t="shared" si="404"/>
        <v>0</v>
      </c>
      <c r="O446" s="848">
        <f t="shared" si="404"/>
        <v>0</v>
      </c>
      <c r="P446" s="848">
        <f t="shared" si="404"/>
        <v>0</v>
      </c>
      <c r="Q446" s="848">
        <f t="shared" si="404"/>
        <v>0</v>
      </c>
      <c r="R446" s="848">
        <v>277342</v>
      </c>
      <c r="S446" s="848">
        <f t="shared" si="404"/>
        <v>300529.22092000005</v>
      </c>
      <c r="T446" s="848">
        <f t="shared" si="404"/>
        <v>194047.76811800001</v>
      </c>
      <c r="U446" s="848">
        <f t="shared" si="404"/>
        <v>12608.962</v>
      </c>
      <c r="V446" s="848">
        <f t="shared" si="404"/>
        <v>0</v>
      </c>
      <c r="W446" s="848">
        <f t="shared" si="404"/>
        <v>0</v>
      </c>
      <c r="X446" s="848">
        <f t="shared" si="404"/>
        <v>22395.756592999998</v>
      </c>
      <c r="Y446" s="848">
        <f t="shared" si="404"/>
        <v>0</v>
      </c>
      <c r="Z446" s="848">
        <f t="shared" si="404"/>
        <v>0</v>
      </c>
      <c r="AA446" s="848">
        <f t="shared" si="404"/>
        <v>0</v>
      </c>
      <c r="AB446" s="848">
        <f t="shared" si="404"/>
        <v>0</v>
      </c>
      <c r="AC446" s="848">
        <f t="shared" si="404"/>
        <v>0</v>
      </c>
      <c r="AD446" s="848">
        <f t="shared" si="404"/>
        <v>0</v>
      </c>
      <c r="AE446" s="848"/>
      <c r="AF446" s="848">
        <f t="shared" si="404"/>
        <v>700</v>
      </c>
      <c r="AG446" s="848">
        <f t="shared" si="404"/>
        <v>0</v>
      </c>
      <c r="AH446" s="848">
        <f t="shared" si="404"/>
        <v>158343.04952500001</v>
      </c>
      <c r="AI446" s="848">
        <f t="shared" si="404"/>
        <v>148715</v>
      </c>
      <c r="AJ446" s="848">
        <f t="shared" si="404"/>
        <v>20020</v>
      </c>
      <c r="AK446" s="848">
        <f t="shared" si="404"/>
        <v>0</v>
      </c>
      <c r="AL446" s="848">
        <f t="shared" si="404"/>
        <v>0</v>
      </c>
      <c r="AM446" s="848">
        <f t="shared" si="404"/>
        <v>18142</v>
      </c>
      <c r="AN446" s="848">
        <f t="shared" si="404"/>
        <v>0</v>
      </c>
      <c r="AO446" s="848">
        <f t="shared" si="404"/>
        <v>0</v>
      </c>
      <c r="AP446" s="848">
        <f t="shared" si="404"/>
        <v>0</v>
      </c>
      <c r="AQ446" s="848">
        <f t="shared" si="404"/>
        <v>0</v>
      </c>
      <c r="AR446" s="848">
        <f t="shared" si="404"/>
        <v>0</v>
      </c>
      <c r="AS446" s="848"/>
      <c r="AT446" s="848">
        <f t="shared" si="404"/>
        <v>0</v>
      </c>
      <c r="AU446" s="848">
        <f t="shared" si="404"/>
        <v>0</v>
      </c>
      <c r="AV446" s="848">
        <f t="shared" si="404"/>
        <v>0</v>
      </c>
      <c r="AW446" s="848">
        <f t="shared" si="404"/>
        <v>0</v>
      </c>
      <c r="AX446" s="848">
        <f t="shared" si="404"/>
        <v>110553</v>
      </c>
      <c r="AY446" s="848">
        <f t="shared" si="404"/>
        <v>73882</v>
      </c>
      <c r="AZ446" s="848">
        <f t="shared" si="404"/>
        <v>0</v>
      </c>
      <c r="BA446" s="848">
        <f t="shared" si="404"/>
        <v>0</v>
      </c>
      <c r="BB446" s="848">
        <f t="shared" si="404"/>
        <v>0</v>
      </c>
      <c r="BC446" s="848">
        <f t="shared" si="404"/>
        <v>5000</v>
      </c>
      <c r="BD446" s="848">
        <f t="shared" si="404"/>
        <v>12400</v>
      </c>
      <c r="BE446" s="848">
        <f t="shared" si="404"/>
        <v>0</v>
      </c>
      <c r="BF446" s="848">
        <f t="shared" si="404"/>
        <v>0</v>
      </c>
      <c r="BG446" s="848">
        <f t="shared" si="404"/>
        <v>10000</v>
      </c>
      <c r="BH446" s="848">
        <f t="shared" si="404"/>
        <v>0</v>
      </c>
      <c r="BI446" s="848">
        <f t="shared" si="404"/>
        <v>0</v>
      </c>
      <c r="BJ446" s="848">
        <f t="shared" si="404"/>
        <v>0</v>
      </c>
      <c r="BK446" s="848">
        <f t="shared" si="404"/>
        <v>500</v>
      </c>
      <c r="BL446" s="848">
        <f t="shared" si="404"/>
        <v>0</v>
      </c>
      <c r="BM446" s="848">
        <f t="shared" si="404"/>
        <v>0</v>
      </c>
      <c r="BN446" s="848">
        <f t="shared" si="404"/>
        <v>45982</v>
      </c>
      <c r="BO446" s="848">
        <f t="shared" si="334"/>
        <v>79524.460271999997</v>
      </c>
      <c r="BP446" s="848">
        <f t="shared" ref="BP446:CF446" si="405">BP447+BP453+BP456+BP462+BP472+BP484+BP497+BP502+BP512+BP519+BP527+BP538</f>
        <v>10546.885</v>
      </c>
      <c r="BQ446" s="848">
        <f t="shared" si="405"/>
        <v>309.86200000000002</v>
      </c>
      <c r="BR446" s="848">
        <f t="shared" si="405"/>
        <v>0</v>
      </c>
      <c r="BS446" s="848">
        <f t="shared" si="405"/>
        <v>5000</v>
      </c>
      <c r="BT446" s="848">
        <f t="shared" si="405"/>
        <v>13989.488799999999</v>
      </c>
      <c r="BU446" s="848">
        <f t="shared" si="405"/>
        <v>0</v>
      </c>
      <c r="BV446" s="848">
        <f t="shared" si="405"/>
        <v>0</v>
      </c>
      <c r="BW446" s="848">
        <f t="shared" si="405"/>
        <v>0</v>
      </c>
      <c r="BX446" s="848">
        <f t="shared" si="405"/>
        <v>0</v>
      </c>
      <c r="BY446" s="848">
        <f t="shared" si="405"/>
        <v>441.19099999999997</v>
      </c>
      <c r="BZ446" s="848">
        <f t="shared" si="405"/>
        <v>0</v>
      </c>
      <c r="CA446" s="848">
        <f t="shared" si="405"/>
        <v>726.03770500000007</v>
      </c>
      <c r="CB446" s="848">
        <f t="shared" si="405"/>
        <v>0</v>
      </c>
      <c r="CC446" s="848">
        <f t="shared" si="405"/>
        <v>0</v>
      </c>
      <c r="CD446" s="848">
        <f t="shared" si="405"/>
        <v>0</v>
      </c>
      <c r="CE446" s="848">
        <f>CE447+CE453+CE456+CE462+CE472+CE484+CE497+CE502+CE512+CE519+CE527+CE538</f>
        <v>48510.995767000008</v>
      </c>
      <c r="CF446" s="848">
        <f t="shared" si="405"/>
        <v>1099.9342997353926</v>
      </c>
      <c r="CG446" s="848"/>
      <c r="CH446" s="848"/>
      <c r="CI446" s="848"/>
      <c r="CJ446" s="848">
        <f t="shared" ref="CJ446:CK456" si="406">BS446/BC446*100</f>
        <v>100</v>
      </c>
      <c r="CK446" s="848">
        <f t="shared" si="406"/>
        <v>112.81845806451611</v>
      </c>
      <c r="CL446" s="848"/>
      <c r="CM446" s="848"/>
      <c r="CN446" s="848">
        <f t="shared" ref="CN446" si="407">BW446/BG446*100</f>
        <v>0</v>
      </c>
      <c r="CO446" s="848"/>
      <c r="CP446" s="848"/>
      <c r="CQ446" s="848"/>
      <c r="CR446" s="848">
        <f t="shared" ref="CR446:CR452" si="408">CA446/BK446*100</f>
        <v>145.20754100000002</v>
      </c>
      <c r="CS446" s="848"/>
      <c r="CT446" s="848"/>
      <c r="CU446" s="848"/>
      <c r="CV446" s="848"/>
      <c r="CW446" s="848">
        <f t="shared" si="358"/>
        <v>105.49996904658346</v>
      </c>
    </row>
    <row r="447" spans="1:101" ht="24.75" customHeight="1">
      <c r="A447" s="845" t="s">
        <v>11</v>
      </c>
      <c r="B447" s="845"/>
      <c r="C447" s="857" t="s">
        <v>1092</v>
      </c>
      <c r="D447" s="846">
        <f>D448</f>
        <v>0</v>
      </c>
      <c r="E447" s="845">
        <f t="shared" ref="E447:CE447" si="409">E448</f>
        <v>0</v>
      </c>
      <c r="F447" s="847"/>
      <c r="G447" s="845"/>
      <c r="H447" s="850">
        <f t="shared" si="352"/>
        <v>0</v>
      </c>
      <c r="I447" s="848">
        <f t="shared" si="409"/>
        <v>0</v>
      </c>
      <c r="J447" s="848">
        <f t="shared" si="409"/>
        <v>0</v>
      </c>
      <c r="K447" s="848">
        <f t="shared" si="409"/>
        <v>0</v>
      </c>
      <c r="L447" s="848">
        <f t="shared" si="409"/>
        <v>0</v>
      </c>
      <c r="M447" s="848">
        <f t="shared" si="409"/>
        <v>0</v>
      </c>
      <c r="N447" s="848">
        <f t="shared" si="409"/>
        <v>0</v>
      </c>
      <c r="O447" s="848">
        <f t="shared" si="409"/>
        <v>0</v>
      </c>
      <c r="P447" s="848">
        <f t="shared" si="409"/>
        <v>0</v>
      </c>
      <c r="Q447" s="848">
        <f t="shared" si="409"/>
        <v>0</v>
      </c>
      <c r="R447" s="848">
        <v>0</v>
      </c>
      <c r="S447" s="848">
        <f t="shared" si="409"/>
        <v>0</v>
      </c>
      <c r="T447" s="848">
        <f t="shared" si="409"/>
        <v>581</v>
      </c>
      <c r="U447" s="848">
        <f t="shared" si="409"/>
        <v>0</v>
      </c>
      <c r="V447" s="848">
        <f t="shared" si="409"/>
        <v>0</v>
      </c>
      <c r="W447" s="848">
        <f t="shared" si="409"/>
        <v>0</v>
      </c>
      <c r="X447" s="848">
        <f t="shared" si="409"/>
        <v>0</v>
      </c>
      <c r="Y447" s="848">
        <f t="shared" si="409"/>
        <v>0</v>
      </c>
      <c r="Z447" s="848">
        <f t="shared" si="409"/>
        <v>0</v>
      </c>
      <c r="AA447" s="848">
        <f t="shared" si="409"/>
        <v>0</v>
      </c>
      <c r="AB447" s="848">
        <f t="shared" si="409"/>
        <v>0</v>
      </c>
      <c r="AC447" s="848">
        <f t="shared" si="409"/>
        <v>0</v>
      </c>
      <c r="AD447" s="848">
        <f t="shared" si="409"/>
        <v>0</v>
      </c>
      <c r="AE447" s="848"/>
      <c r="AF447" s="848">
        <f t="shared" si="409"/>
        <v>0</v>
      </c>
      <c r="AG447" s="848">
        <f t="shared" si="409"/>
        <v>0</v>
      </c>
      <c r="AH447" s="848">
        <f t="shared" si="409"/>
        <v>581</v>
      </c>
      <c r="AI447" s="848">
        <f t="shared" si="409"/>
        <v>311</v>
      </c>
      <c r="AJ447" s="848">
        <f t="shared" si="409"/>
        <v>0</v>
      </c>
      <c r="AK447" s="848">
        <f t="shared" si="409"/>
        <v>0</v>
      </c>
      <c r="AL447" s="848">
        <f t="shared" si="409"/>
        <v>0</v>
      </c>
      <c r="AM447" s="848">
        <f t="shared" si="409"/>
        <v>0</v>
      </c>
      <c r="AN447" s="848">
        <f t="shared" si="409"/>
        <v>0</v>
      </c>
      <c r="AO447" s="848">
        <f t="shared" si="409"/>
        <v>0</v>
      </c>
      <c r="AP447" s="848">
        <f t="shared" si="409"/>
        <v>0</v>
      </c>
      <c r="AQ447" s="848">
        <f t="shared" si="409"/>
        <v>0</v>
      </c>
      <c r="AR447" s="848">
        <f t="shared" si="409"/>
        <v>0</v>
      </c>
      <c r="AS447" s="848"/>
      <c r="AT447" s="848">
        <f t="shared" si="409"/>
        <v>0</v>
      </c>
      <c r="AU447" s="848">
        <f t="shared" si="409"/>
        <v>0</v>
      </c>
      <c r="AV447" s="848">
        <f t="shared" si="409"/>
        <v>0</v>
      </c>
      <c r="AW447" s="848">
        <f t="shared" si="409"/>
        <v>0</v>
      </c>
      <c r="AX447" s="848">
        <f t="shared" si="409"/>
        <v>311</v>
      </c>
      <c r="AY447" s="848">
        <f t="shared" si="409"/>
        <v>500</v>
      </c>
      <c r="AZ447" s="848">
        <f t="shared" si="409"/>
        <v>0</v>
      </c>
      <c r="BA447" s="848"/>
      <c r="BB447" s="848"/>
      <c r="BC447" s="848">
        <f t="shared" si="409"/>
        <v>0</v>
      </c>
      <c r="BD447" s="848">
        <f t="shared" si="409"/>
        <v>0</v>
      </c>
      <c r="BE447" s="848"/>
      <c r="BF447" s="848">
        <f t="shared" si="409"/>
        <v>0</v>
      </c>
      <c r="BG447" s="848">
        <f t="shared" si="409"/>
        <v>0</v>
      </c>
      <c r="BH447" s="848">
        <f t="shared" si="409"/>
        <v>0</v>
      </c>
      <c r="BI447" s="848">
        <f t="shared" si="409"/>
        <v>0</v>
      </c>
      <c r="BJ447" s="848">
        <f t="shared" si="409"/>
        <v>0</v>
      </c>
      <c r="BK447" s="848">
        <f t="shared" si="409"/>
        <v>500</v>
      </c>
      <c r="BL447" s="848">
        <f t="shared" si="409"/>
        <v>0</v>
      </c>
      <c r="BM447" s="848">
        <f t="shared" si="409"/>
        <v>0</v>
      </c>
      <c r="BN447" s="848">
        <f t="shared" si="409"/>
        <v>0</v>
      </c>
      <c r="BO447" s="848">
        <f t="shared" si="334"/>
        <v>899.56400000000008</v>
      </c>
      <c r="BP447" s="848">
        <f t="shared" si="409"/>
        <v>0</v>
      </c>
      <c r="BQ447" s="848"/>
      <c r="BR447" s="848"/>
      <c r="BS447" s="848">
        <f t="shared" si="409"/>
        <v>0</v>
      </c>
      <c r="BT447" s="848">
        <f t="shared" si="409"/>
        <v>0</v>
      </c>
      <c r="BU447" s="848"/>
      <c r="BV447" s="848">
        <f t="shared" si="409"/>
        <v>0</v>
      </c>
      <c r="BW447" s="848">
        <f t="shared" si="409"/>
        <v>0</v>
      </c>
      <c r="BX447" s="848">
        <f t="shared" si="409"/>
        <v>0</v>
      </c>
      <c r="BY447" s="848">
        <f t="shared" si="409"/>
        <v>0</v>
      </c>
      <c r="BZ447" s="848">
        <f t="shared" si="409"/>
        <v>0</v>
      </c>
      <c r="CA447" s="848">
        <f t="shared" si="409"/>
        <v>588.56400000000008</v>
      </c>
      <c r="CB447" s="848">
        <f t="shared" si="409"/>
        <v>0</v>
      </c>
      <c r="CC447" s="848">
        <f t="shared" si="409"/>
        <v>0</v>
      </c>
      <c r="CD447" s="848">
        <f t="shared" si="409"/>
        <v>0</v>
      </c>
      <c r="CE447" s="848">
        <f t="shared" si="409"/>
        <v>311</v>
      </c>
      <c r="CF447" s="848">
        <f>BO447/AY447%</f>
        <v>179.9128</v>
      </c>
      <c r="CG447" s="848"/>
      <c r="CH447" s="848"/>
      <c r="CI447" s="848"/>
      <c r="CJ447" s="848"/>
      <c r="CK447" s="848"/>
      <c r="CL447" s="848"/>
      <c r="CM447" s="848"/>
      <c r="CN447" s="848"/>
      <c r="CO447" s="848"/>
      <c r="CP447" s="848"/>
      <c r="CQ447" s="848"/>
      <c r="CR447" s="848">
        <f t="shared" si="408"/>
        <v>117.71280000000002</v>
      </c>
      <c r="CS447" s="848"/>
      <c r="CT447" s="848"/>
      <c r="CU447" s="848"/>
      <c r="CV447" s="848"/>
      <c r="CW447" s="848"/>
    </row>
    <row r="448" spans="1:101" ht="24.75" customHeight="1">
      <c r="A448" s="845"/>
      <c r="B448" s="845"/>
      <c r="C448" s="857" t="s">
        <v>1093</v>
      </c>
      <c r="D448" s="846">
        <f>D449+D450+D451+D452</f>
        <v>0</v>
      </c>
      <c r="E448" s="845">
        <f t="shared" ref="E448:BP448" si="410">E449+E450+E451+E452</f>
        <v>0</v>
      </c>
      <c r="F448" s="847"/>
      <c r="G448" s="845"/>
      <c r="H448" s="850">
        <f t="shared" si="352"/>
        <v>0</v>
      </c>
      <c r="I448" s="848">
        <f t="shared" si="410"/>
        <v>0</v>
      </c>
      <c r="J448" s="848">
        <f t="shared" si="410"/>
        <v>0</v>
      </c>
      <c r="K448" s="848">
        <f t="shared" si="410"/>
        <v>0</v>
      </c>
      <c r="L448" s="848">
        <f t="shared" si="410"/>
        <v>0</v>
      </c>
      <c r="M448" s="848">
        <f t="shared" si="410"/>
        <v>0</v>
      </c>
      <c r="N448" s="848">
        <f t="shared" si="410"/>
        <v>0</v>
      </c>
      <c r="O448" s="848">
        <f t="shared" si="410"/>
        <v>0</v>
      </c>
      <c r="P448" s="848">
        <f t="shared" si="410"/>
        <v>0</v>
      </c>
      <c r="Q448" s="848">
        <f t="shared" si="410"/>
        <v>0</v>
      </c>
      <c r="R448" s="848">
        <v>0</v>
      </c>
      <c r="S448" s="848">
        <f t="shared" si="410"/>
        <v>0</v>
      </c>
      <c r="T448" s="848">
        <f t="shared" si="410"/>
        <v>581</v>
      </c>
      <c r="U448" s="848">
        <f t="shared" si="410"/>
        <v>0</v>
      </c>
      <c r="V448" s="848">
        <f t="shared" si="410"/>
        <v>0</v>
      </c>
      <c r="W448" s="848">
        <f t="shared" si="410"/>
        <v>0</v>
      </c>
      <c r="X448" s="848">
        <f t="shared" si="410"/>
        <v>0</v>
      </c>
      <c r="Y448" s="848">
        <f t="shared" si="410"/>
        <v>0</v>
      </c>
      <c r="Z448" s="848">
        <f t="shared" si="410"/>
        <v>0</v>
      </c>
      <c r="AA448" s="848">
        <f t="shared" si="410"/>
        <v>0</v>
      </c>
      <c r="AB448" s="848">
        <f t="shared" si="410"/>
        <v>0</v>
      </c>
      <c r="AC448" s="848">
        <f t="shared" si="410"/>
        <v>0</v>
      </c>
      <c r="AD448" s="848">
        <f t="shared" si="410"/>
        <v>0</v>
      </c>
      <c r="AE448" s="848"/>
      <c r="AF448" s="848">
        <f t="shared" si="410"/>
        <v>0</v>
      </c>
      <c r="AG448" s="848">
        <f t="shared" si="410"/>
        <v>0</v>
      </c>
      <c r="AH448" s="848">
        <f t="shared" si="410"/>
        <v>581</v>
      </c>
      <c r="AI448" s="848">
        <f t="shared" si="410"/>
        <v>311</v>
      </c>
      <c r="AJ448" s="848">
        <f t="shared" si="410"/>
        <v>0</v>
      </c>
      <c r="AK448" s="848">
        <f t="shared" si="410"/>
        <v>0</v>
      </c>
      <c r="AL448" s="848">
        <f t="shared" si="410"/>
        <v>0</v>
      </c>
      <c r="AM448" s="848">
        <f t="shared" si="410"/>
        <v>0</v>
      </c>
      <c r="AN448" s="848">
        <f t="shared" si="410"/>
        <v>0</v>
      </c>
      <c r="AO448" s="848">
        <f t="shared" si="410"/>
        <v>0</v>
      </c>
      <c r="AP448" s="848">
        <f t="shared" si="410"/>
        <v>0</v>
      </c>
      <c r="AQ448" s="848">
        <f t="shared" si="410"/>
        <v>0</v>
      </c>
      <c r="AR448" s="848">
        <f t="shared" si="410"/>
        <v>0</v>
      </c>
      <c r="AS448" s="848"/>
      <c r="AT448" s="848">
        <f t="shared" si="410"/>
        <v>0</v>
      </c>
      <c r="AU448" s="848">
        <f t="shared" si="410"/>
        <v>0</v>
      </c>
      <c r="AV448" s="848">
        <f t="shared" si="410"/>
        <v>0</v>
      </c>
      <c r="AW448" s="848">
        <f t="shared" si="410"/>
        <v>0</v>
      </c>
      <c r="AX448" s="848">
        <f t="shared" si="410"/>
        <v>311</v>
      </c>
      <c r="AY448" s="848">
        <f t="shared" si="410"/>
        <v>500</v>
      </c>
      <c r="AZ448" s="848">
        <f t="shared" si="410"/>
        <v>0</v>
      </c>
      <c r="BA448" s="848">
        <f t="shared" si="410"/>
        <v>0</v>
      </c>
      <c r="BB448" s="848">
        <f t="shared" si="410"/>
        <v>0</v>
      </c>
      <c r="BC448" s="848">
        <f t="shared" si="410"/>
        <v>0</v>
      </c>
      <c r="BD448" s="848">
        <f t="shared" si="410"/>
        <v>0</v>
      </c>
      <c r="BE448" s="848">
        <f t="shared" si="410"/>
        <v>0</v>
      </c>
      <c r="BF448" s="848">
        <f t="shared" si="410"/>
        <v>0</v>
      </c>
      <c r="BG448" s="848">
        <f t="shared" si="410"/>
        <v>0</v>
      </c>
      <c r="BH448" s="848">
        <f t="shared" si="410"/>
        <v>0</v>
      </c>
      <c r="BI448" s="848">
        <f t="shared" si="410"/>
        <v>0</v>
      </c>
      <c r="BJ448" s="848">
        <f t="shared" si="410"/>
        <v>0</v>
      </c>
      <c r="BK448" s="848">
        <f t="shared" si="410"/>
        <v>500</v>
      </c>
      <c r="BL448" s="848">
        <f t="shared" si="410"/>
        <v>0</v>
      </c>
      <c r="BM448" s="848">
        <f t="shared" si="410"/>
        <v>0</v>
      </c>
      <c r="BN448" s="848">
        <f t="shared" si="410"/>
        <v>0</v>
      </c>
      <c r="BO448" s="848">
        <f t="shared" si="334"/>
        <v>899.56400000000008</v>
      </c>
      <c r="BP448" s="848">
        <f t="shared" si="410"/>
        <v>0</v>
      </c>
      <c r="BQ448" s="848">
        <f t="shared" ref="BQ448:CS448" si="411">BQ449+BQ450+BQ451+BQ452</f>
        <v>0</v>
      </c>
      <c r="BR448" s="848">
        <f t="shared" si="411"/>
        <v>0</v>
      </c>
      <c r="BS448" s="848">
        <f t="shared" si="411"/>
        <v>0</v>
      </c>
      <c r="BT448" s="848">
        <f t="shared" si="411"/>
        <v>0</v>
      </c>
      <c r="BU448" s="848">
        <f t="shared" si="411"/>
        <v>0</v>
      </c>
      <c r="BV448" s="848">
        <f t="shared" si="411"/>
        <v>0</v>
      </c>
      <c r="BW448" s="848">
        <f t="shared" si="411"/>
        <v>0</v>
      </c>
      <c r="BX448" s="848">
        <f t="shared" si="411"/>
        <v>0</v>
      </c>
      <c r="BY448" s="848">
        <f t="shared" si="411"/>
        <v>0</v>
      </c>
      <c r="BZ448" s="848">
        <f t="shared" si="411"/>
        <v>0</v>
      </c>
      <c r="CA448" s="848">
        <f t="shared" si="411"/>
        <v>588.56400000000008</v>
      </c>
      <c r="CB448" s="848">
        <f t="shared" si="411"/>
        <v>0</v>
      </c>
      <c r="CC448" s="848">
        <f t="shared" si="411"/>
        <v>0</v>
      </c>
      <c r="CD448" s="848">
        <f t="shared" si="411"/>
        <v>0</v>
      </c>
      <c r="CE448" s="848">
        <f t="shared" si="411"/>
        <v>311</v>
      </c>
      <c r="CF448" s="848">
        <f t="shared" si="411"/>
        <v>803.56057530529176</v>
      </c>
      <c r="CG448" s="848"/>
      <c r="CH448" s="848"/>
      <c r="CI448" s="848"/>
      <c r="CJ448" s="848"/>
      <c r="CK448" s="848"/>
      <c r="CL448" s="848"/>
      <c r="CM448" s="848"/>
      <c r="CN448" s="848"/>
      <c r="CO448" s="848"/>
      <c r="CP448" s="848"/>
      <c r="CQ448" s="848"/>
      <c r="CR448" s="848">
        <f t="shared" si="408"/>
        <v>117.71280000000002</v>
      </c>
      <c r="CS448" s="848">
        <f t="shared" si="411"/>
        <v>0</v>
      </c>
      <c r="CT448" s="848"/>
      <c r="CU448" s="848"/>
      <c r="CV448" s="848"/>
      <c r="CW448" s="848"/>
    </row>
    <row r="449" spans="1:101" ht="46.9" customHeight="1">
      <c r="A449" s="845"/>
      <c r="B449" s="852" t="s">
        <v>1092</v>
      </c>
      <c r="C449" s="852" t="s">
        <v>1094</v>
      </c>
      <c r="D449" s="846"/>
      <c r="E449" s="845"/>
      <c r="F449" s="847"/>
      <c r="G449" s="845"/>
      <c r="H449" s="850">
        <f t="shared" si="352"/>
        <v>0</v>
      </c>
      <c r="I449" s="848"/>
      <c r="J449" s="848"/>
      <c r="K449" s="848"/>
      <c r="L449" s="848"/>
      <c r="M449" s="848"/>
      <c r="N449" s="848"/>
      <c r="O449" s="848"/>
      <c r="P449" s="848"/>
      <c r="Q449" s="848"/>
      <c r="R449" s="848"/>
      <c r="S449" s="848"/>
      <c r="T449" s="855">
        <f t="shared" si="341"/>
        <v>119.3</v>
      </c>
      <c r="U449" s="848"/>
      <c r="V449" s="848"/>
      <c r="W449" s="848"/>
      <c r="X449" s="848"/>
      <c r="Y449" s="848"/>
      <c r="Z449" s="848"/>
      <c r="AA449" s="848"/>
      <c r="AB449" s="848"/>
      <c r="AC449" s="848"/>
      <c r="AD449" s="848"/>
      <c r="AE449" s="848"/>
      <c r="AF449" s="848"/>
      <c r="AG449" s="848"/>
      <c r="AH449" s="855">
        <f>56.3+63</f>
        <v>119.3</v>
      </c>
      <c r="AI449" s="855">
        <f>AX449</f>
        <v>63</v>
      </c>
      <c r="AJ449" s="855"/>
      <c r="AK449" s="855"/>
      <c r="AL449" s="855"/>
      <c r="AM449" s="855"/>
      <c r="AN449" s="855"/>
      <c r="AO449" s="855"/>
      <c r="AP449" s="855"/>
      <c r="AQ449" s="855"/>
      <c r="AR449" s="855"/>
      <c r="AS449" s="855"/>
      <c r="AT449" s="855"/>
      <c r="AU449" s="855"/>
      <c r="AV449" s="855"/>
      <c r="AW449" s="855"/>
      <c r="AX449" s="855">
        <v>63</v>
      </c>
      <c r="AY449" s="855">
        <f t="shared" ref="AY449:AY452" si="412">SUM(AZ449:BN449)</f>
        <v>66</v>
      </c>
      <c r="AZ449" s="855"/>
      <c r="BA449" s="855"/>
      <c r="BB449" s="855"/>
      <c r="BC449" s="855"/>
      <c r="BD449" s="855"/>
      <c r="BE449" s="855"/>
      <c r="BF449" s="855"/>
      <c r="BG449" s="855"/>
      <c r="BH449" s="855"/>
      <c r="BI449" s="855"/>
      <c r="BJ449" s="855"/>
      <c r="BK449" s="855">
        <f>'[10]bieu cu'!H138</f>
        <v>66</v>
      </c>
      <c r="BL449" s="855"/>
      <c r="BM449" s="855"/>
      <c r="BN449" s="855"/>
      <c r="BO449" s="848">
        <f t="shared" si="334"/>
        <v>140.935</v>
      </c>
      <c r="BP449" s="855"/>
      <c r="BQ449" s="855"/>
      <c r="BR449" s="855"/>
      <c r="BS449" s="855"/>
      <c r="BT449" s="855"/>
      <c r="BU449" s="855"/>
      <c r="BV449" s="855"/>
      <c r="BW449" s="855"/>
      <c r="BX449" s="855"/>
      <c r="BY449" s="855"/>
      <c r="BZ449" s="855"/>
      <c r="CA449" s="855">
        <v>77.935000000000002</v>
      </c>
      <c r="CB449" s="855"/>
      <c r="CC449" s="855"/>
      <c r="CD449" s="855"/>
      <c r="CE449" s="855">
        <v>63</v>
      </c>
      <c r="CF449" s="848">
        <f>BO449/AY449%</f>
        <v>213.53787878787878</v>
      </c>
      <c r="CG449" s="848"/>
      <c r="CH449" s="848"/>
      <c r="CI449" s="848"/>
      <c r="CJ449" s="848"/>
      <c r="CK449" s="848"/>
      <c r="CL449" s="848"/>
      <c r="CM449" s="848"/>
      <c r="CN449" s="848"/>
      <c r="CO449" s="848"/>
      <c r="CP449" s="848"/>
      <c r="CQ449" s="848"/>
      <c r="CR449" s="848">
        <f t="shared" si="408"/>
        <v>118.08333333333334</v>
      </c>
      <c r="CS449" s="848"/>
      <c r="CT449" s="848"/>
      <c r="CU449" s="848"/>
      <c r="CV449" s="848"/>
      <c r="CW449" s="848"/>
    </row>
    <row r="450" spans="1:101" ht="50.45" customHeight="1">
      <c r="A450" s="845"/>
      <c r="B450" s="852" t="s">
        <v>1092</v>
      </c>
      <c r="C450" s="852" t="s">
        <v>1095</v>
      </c>
      <c r="D450" s="846"/>
      <c r="E450" s="845"/>
      <c r="F450" s="847"/>
      <c r="G450" s="845"/>
      <c r="H450" s="850">
        <f t="shared" si="352"/>
        <v>0</v>
      </c>
      <c r="I450" s="848"/>
      <c r="J450" s="848"/>
      <c r="K450" s="848"/>
      <c r="L450" s="848"/>
      <c r="M450" s="848"/>
      <c r="N450" s="848"/>
      <c r="O450" s="848"/>
      <c r="P450" s="848"/>
      <c r="Q450" s="848"/>
      <c r="R450" s="848"/>
      <c r="S450" s="848"/>
      <c r="T450" s="855">
        <f t="shared" si="341"/>
        <v>120.2</v>
      </c>
      <c r="U450" s="848"/>
      <c r="V450" s="848"/>
      <c r="W450" s="848"/>
      <c r="X450" s="848"/>
      <c r="Y450" s="848"/>
      <c r="Z450" s="848"/>
      <c r="AA450" s="848"/>
      <c r="AB450" s="848"/>
      <c r="AC450" s="848"/>
      <c r="AD450" s="848"/>
      <c r="AE450" s="848"/>
      <c r="AF450" s="848"/>
      <c r="AG450" s="848"/>
      <c r="AH450" s="855">
        <f>48.7+71.5</f>
        <v>120.2</v>
      </c>
      <c r="AI450" s="855">
        <f t="shared" ref="AI450:AI452" si="413">AX450</f>
        <v>71.5</v>
      </c>
      <c r="AJ450" s="855"/>
      <c r="AK450" s="855"/>
      <c r="AL450" s="855"/>
      <c r="AM450" s="855"/>
      <c r="AN450" s="855"/>
      <c r="AO450" s="855"/>
      <c r="AP450" s="855"/>
      <c r="AQ450" s="855"/>
      <c r="AR450" s="855"/>
      <c r="AS450" s="855"/>
      <c r="AT450" s="855"/>
      <c r="AU450" s="855"/>
      <c r="AV450" s="855"/>
      <c r="AW450" s="855"/>
      <c r="AX450" s="855">
        <v>71.5</v>
      </c>
      <c r="AY450" s="855">
        <f t="shared" si="412"/>
        <v>67</v>
      </c>
      <c r="AZ450" s="855"/>
      <c r="BA450" s="855"/>
      <c r="BB450" s="855"/>
      <c r="BC450" s="855"/>
      <c r="BD450" s="855"/>
      <c r="BE450" s="855"/>
      <c r="BF450" s="855"/>
      <c r="BG450" s="855"/>
      <c r="BH450" s="855"/>
      <c r="BI450" s="855"/>
      <c r="BJ450" s="855"/>
      <c r="BK450" s="855">
        <f>'[10]bieu cu'!H139</f>
        <v>67</v>
      </c>
      <c r="BL450" s="855"/>
      <c r="BM450" s="855"/>
      <c r="BN450" s="855"/>
      <c r="BO450" s="848">
        <f t="shared" si="334"/>
        <v>143.733</v>
      </c>
      <c r="BP450" s="855"/>
      <c r="BQ450" s="855"/>
      <c r="BR450" s="855"/>
      <c r="BS450" s="855"/>
      <c r="BT450" s="855"/>
      <c r="BU450" s="855"/>
      <c r="BV450" s="855"/>
      <c r="BW450" s="855"/>
      <c r="BX450" s="855"/>
      <c r="BY450" s="855"/>
      <c r="BZ450" s="855"/>
      <c r="CA450" s="855">
        <v>72.233000000000004</v>
      </c>
      <c r="CB450" s="855"/>
      <c r="CC450" s="855"/>
      <c r="CD450" s="855"/>
      <c r="CE450" s="855">
        <v>71.5</v>
      </c>
      <c r="CF450" s="848">
        <f>BO450/AY450%</f>
        <v>214.52686567164179</v>
      </c>
      <c r="CG450" s="848"/>
      <c r="CH450" s="848"/>
      <c r="CI450" s="848"/>
      <c r="CJ450" s="848"/>
      <c r="CK450" s="848"/>
      <c r="CL450" s="848"/>
      <c r="CM450" s="848"/>
      <c r="CN450" s="848"/>
      <c r="CO450" s="848"/>
      <c r="CP450" s="848"/>
      <c r="CQ450" s="848"/>
      <c r="CR450" s="848">
        <f t="shared" si="408"/>
        <v>107.81044776119404</v>
      </c>
      <c r="CS450" s="848"/>
      <c r="CT450" s="848"/>
      <c r="CU450" s="848"/>
      <c r="CV450" s="848"/>
      <c r="CW450" s="848"/>
    </row>
    <row r="451" spans="1:101" ht="52.9" customHeight="1">
      <c r="A451" s="845"/>
      <c r="B451" s="852" t="s">
        <v>1092</v>
      </c>
      <c r="C451" s="852" t="s">
        <v>1096</v>
      </c>
      <c r="D451" s="846"/>
      <c r="E451" s="845"/>
      <c r="F451" s="847"/>
      <c r="G451" s="845"/>
      <c r="H451" s="850">
        <f t="shared" si="352"/>
        <v>0</v>
      </c>
      <c r="I451" s="848"/>
      <c r="J451" s="848"/>
      <c r="K451" s="848"/>
      <c r="L451" s="848"/>
      <c r="M451" s="848"/>
      <c r="N451" s="848"/>
      <c r="O451" s="848"/>
      <c r="P451" s="848"/>
      <c r="Q451" s="848"/>
      <c r="R451" s="848"/>
      <c r="S451" s="848"/>
      <c r="T451" s="855">
        <f t="shared" si="341"/>
        <v>123.714</v>
      </c>
      <c r="U451" s="848"/>
      <c r="V451" s="848"/>
      <c r="W451" s="848"/>
      <c r="X451" s="848"/>
      <c r="Y451" s="848"/>
      <c r="Z451" s="848"/>
      <c r="AA451" s="848"/>
      <c r="AB451" s="848"/>
      <c r="AC451" s="848"/>
      <c r="AD451" s="848"/>
      <c r="AE451" s="848"/>
      <c r="AF451" s="848"/>
      <c r="AG451" s="848"/>
      <c r="AH451" s="855">
        <f>59.214+64.5</f>
        <v>123.714</v>
      </c>
      <c r="AI451" s="855">
        <f t="shared" si="413"/>
        <v>64.5</v>
      </c>
      <c r="AJ451" s="855"/>
      <c r="AK451" s="855"/>
      <c r="AL451" s="855"/>
      <c r="AM451" s="855"/>
      <c r="AN451" s="855"/>
      <c r="AO451" s="855"/>
      <c r="AP451" s="855"/>
      <c r="AQ451" s="855"/>
      <c r="AR451" s="855"/>
      <c r="AS451" s="855"/>
      <c r="AT451" s="855"/>
      <c r="AU451" s="855"/>
      <c r="AV451" s="855"/>
      <c r="AW451" s="855"/>
      <c r="AX451" s="855">
        <v>64.5</v>
      </c>
      <c r="AY451" s="855">
        <f t="shared" si="412"/>
        <v>67</v>
      </c>
      <c r="AZ451" s="855"/>
      <c r="BA451" s="855"/>
      <c r="BB451" s="855"/>
      <c r="BC451" s="855"/>
      <c r="BD451" s="855"/>
      <c r="BE451" s="855"/>
      <c r="BF451" s="855"/>
      <c r="BG451" s="855"/>
      <c r="BH451" s="855"/>
      <c r="BI451" s="855"/>
      <c r="BJ451" s="855"/>
      <c r="BK451" s="855">
        <f>'[10]bieu cu'!H140</f>
        <v>67</v>
      </c>
      <c r="BL451" s="855"/>
      <c r="BM451" s="855"/>
      <c r="BN451" s="855"/>
      <c r="BO451" s="848">
        <f t="shared" si="334"/>
        <v>147.11000000000001</v>
      </c>
      <c r="BP451" s="855"/>
      <c r="BQ451" s="855"/>
      <c r="BR451" s="855"/>
      <c r="BS451" s="855"/>
      <c r="BT451" s="855"/>
      <c r="BU451" s="855"/>
      <c r="BV451" s="855"/>
      <c r="BW451" s="855"/>
      <c r="BX451" s="855"/>
      <c r="BY451" s="855"/>
      <c r="BZ451" s="855"/>
      <c r="CA451" s="855">
        <v>82.61</v>
      </c>
      <c r="CB451" s="855"/>
      <c r="CC451" s="855"/>
      <c r="CD451" s="855"/>
      <c r="CE451" s="855">
        <v>64.5</v>
      </c>
      <c r="CF451" s="848">
        <f>BO451/AY451%</f>
        <v>219.56716417910448</v>
      </c>
      <c r="CG451" s="848"/>
      <c r="CH451" s="848"/>
      <c r="CI451" s="848"/>
      <c r="CJ451" s="848"/>
      <c r="CK451" s="848"/>
      <c r="CL451" s="848"/>
      <c r="CM451" s="848"/>
      <c r="CN451" s="848"/>
      <c r="CO451" s="848"/>
      <c r="CP451" s="848"/>
      <c r="CQ451" s="848"/>
      <c r="CR451" s="848">
        <f t="shared" si="408"/>
        <v>123.29850746268656</v>
      </c>
      <c r="CS451" s="848"/>
      <c r="CT451" s="848"/>
      <c r="CU451" s="848"/>
      <c r="CV451" s="848"/>
      <c r="CW451" s="848"/>
    </row>
    <row r="452" spans="1:101" ht="45.6" customHeight="1">
      <c r="A452" s="845"/>
      <c r="B452" s="852" t="s">
        <v>1092</v>
      </c>
      <c r="C452" s="852" t="s">
        <v>1097</v>
      </c>
      <c r="D452" s="846"/>
      <c r="E452" s="845"/>
      <c r="F452" s="847"/>
      <c r="G452" s="845"/>
      <c r="H452" s="850">
        <f t="shared" si="352"/>
        <v>0</v>
      </c>
      <c r="I452" s="848"/>
      <c r="J452" s="848"/>
      <c r="K452" s="848"/>
      <c r="L452" s="848"/>
      <c r="M452" s="848"/>
      <c r="N452" s="848"/>
      <c r="O452" s="848"/>
      <c r="P452" s="848"/>
      <c r="Q452" s="848"/>
      <c r="R452" s="848"/>
      <c r="S452" s="848"/>
      <c r="T452" s="855">
        <f t="shared" si="341"/>
        <v>217.786</v>
      </c>
      <c r="U452" s="848"/>
      <c r="V452" s="848"/>
      <c r="W452" s="848"/>
      <c r="X452" s="848"/>
      <c r="Y452" s="848"/>
      <c r="Z452" s="848"/>
      <c r="AA452" s="848"/>
      <c r="AB452" s="848"/>
      <c r="AC452" s="848"/>
      <c r="AD452" s="848"/>
      <c r="AE452" s="848"/>
      <c r="AF452" s="848"/>
      <c r="AG452" s="848"/>
      <c r="AH452" s="855">
        <f>105.786+112</f>
        <v>217.786</v>
      </c>
      <c r="AI452" s="855">
        <f t="shared" si="413"/>
        <v>112</v>
      </c>
      <c r="AJ452" s="855"/>
      <c r="AK452" s="855"/>
      <c r="AL452" s="855"/>
      <c r="AM452" s="855"/>
      <c r="AN452" s="855"/>
      <c r="AO452" s="855"/>
      <c r="AP452" s="855"/>
      <c r="AQ452" s="855"/>
      <c r="AR452" s="855"/>
      <c r="AS452" s="855"/>
      <c r="AT452" s="855"/>
      <c r="AU452" s="855"/>
      <c r="AV452" s="855"/>
      <c r="AW452" s="855"/>
      <c r="AX452" s="855">
        <v>112</v>
      </c>
      <c r="AY452" s="855">
        <f t="shared" si="412"/>
        <v>300</v>
      </c>
      <c r="AZ452" s="855"/>
      <c r="BA452" s="855"/>
      <c r="BB452" s="855"/>
      <c r="BC452" s="855"/>
      <c r="BD452" s="855"/>
      <c r="BE452" s="855"/>
      <c r="BF452" s="855"/>
      <c r="BG452" s="855"/>
      <c r="BH452" s="855"/>
      <c r="BI452" s="855"/>
      <c r="BJ452" s="855"/>
      <c r="BK452" s="855">
        <f>'[10]bieu cu'!H141</f>
        <v>300</v>
      </c>
      <c r="BL452" s="855"/>
      <c r="BM452" s="855"/>
      <c r="BN452" s="855"/>
      <c r="BO452" s="848">
        <f t="shared" si="334"/>
        <v>467.786</v>
      </c>
      <c r="BP452" s="855"/>
      <c r="BQ452" s="855"/>
      <c r="BR452" s="855"/>
      <c r="BS452" s="855"/>
      <c r="BT452" s="855"/>
      <c r="BU452" s="855"/>
      <c r="BV452" s="855"/>
      <c r="BW452" s="855"/>
      <c r="BX452" s="855"/>
      <c r="BY452" s="855"/>
      <c r="BZ452" s="855"/>
      <c r="CA452" s="855">
        <v>355.786</v>
      </c>
      <c r="CB452" s="855"/>
      <c r="CC452" s="855"/>
      <c r="CD452" s="855"/>
      <c r="CE452" s="855">
        <v>112</v>
      </c>
      <c r="CF452" s="848">
        <f>BO452/AY452%</f>
        <v>155.92866666666666</v>
      </c>
      <c r="CG452" s="848"/>
      <c r="CH452" s="848"/>
      <c r="CI452" s="848"/>
      <c r="CJ452" s="848"/>
      <c r="CK452" s="848"/>
      <c r="CL452" s="848"/>
      <c r="CM452" s="848"/>
      <c r="CN452" s="848"/>
      <c r="CO452" s="848"/>
      <c r="CP452" s="848"/>
      <c r="CQ452" s="848"/>
      <c r="CR452" s="848">
        <f t="shared" si="408"/>
        <v>118.59533333333334</v>
      </c>
      <c r="CS452" s="848"/>
      <c r="CT452" s="848"/>
      <c r="CU452" s="848"/>
      <c r="CV452" s="848"/>
      <c r="CW452" s="848"/>
    </row>
    <row r="453" spans="1:101" s="851" customFormat="1" ht="30" customHeight="1">
      <c r="A453" s="845" t="s">
        <v>7</v>
      </c>
      <c r="B453" s="845"/>
      <c r="C453" s="857" t="s">
        <v>1098</v>
      </c>
      <c r="D453" s="846">
        <f>D454</f>
        <v>0</v>
      </c>
      <c r="E453" s="845">
        <f t="shared" ref="E453:CE454" si="414">E454</f>
        <v>0</v>
      </c>
      <c r="F453" s="847"/>
      <c r="G453" s="845"/>
      <c r="H453" s="850">
        <f t="shared" si="352"/>
        <v>5828</v>
      </c>
      <c r="I453" s="848">
        <f t="shared" si="414"/>
        <v>0</v>
      </c>
      <c r="J453" s="848">
        <f t="shared" si="414"/>
        <v>0</v>
      </c>
      <c r="K453" s="848">
        <f t="shared" si="414"/>
        <v>0</v>
      </c>
      <c r="L453" s="848">
        <f t="shared" si="414"/>
        <v>0</v>
      </c>
      <c r="M453" s="848">
        <f t="shared" si="414"/>
        <v>0</v>
      </c>
      <c r="N453" s="848">
        <f t="shared" si="414"/>
        <v>0</v>
      </c>
      <c r="O453" s="848">
        <f t="shared" si="414"/>
        <v>0</v>
      </c>
      <c r="P453" s="848">
        <f t="shared" si="414"/>
        <v>0</v>
      </c>
      <c r="Q453" s="848">
        <f t="shared" si="414"/>
        <v>0</v>
      </c>
      <c r="R453" s="848">
        <v>0</v>
      </c>
      <c r="S453" s="848">
        <f t="shared" si="414"/>
        <v>5828</v>
      </c>
      <c r="T453" s="848">
        <f t="shared" si="414"/>
        <v>7558</v>
      </c>
      <c r="U453" s="848">
        <f t="shared" si="414"/>
        <v>0</v>
      </c>
      <c r="V453" s="848">
        <f t="shared" si="414"/>
        <v>0</v>
      </c>
      <c r="W453" s="848">
        <f t="shared" si="414"/>
        <v>0</v>
      </c>
      <c r="X453" s="848">
        <f t="shared" si="414"/>
        <v>0</v>
      </c>
      <c r="Y453" s="848">
        <f t="shared" si="414"/>
        <v>0</v>
      </c>
      <c r="Z453" s="848">
        <f t="shared" si="414"/>
        <v>0</v>
      </c>
      <c r="AA453" s="848">
        <f t="shared" si="414"/>
        <v>0</v>
      </c>
      <c r="AB453" s="848">
        <f t="shared" si="414"/>
        <v>0</v>
      </c>
      <c r="AC453" s="848">
        <f t="shared" si="414"/>
        <v>0</v>
      </c>
      <c r="AD453" s="848">
        <f t="shared" si="414"/>
        <v>0</v>
      </c>
      <c r="AE453" s="848"/>
      <c r="AF453" s="848">
        <f t="shared" si="414"/>
        <v>0</v>
      </c>
      <c r="AG453" s="848">
        <f t="shared" si="414"/>
        <v>0</v>
      </c>
      <c r="AH453" s="848">
        <f t="shared" si="414"/>
        <v>7558</v>
      </c>
      <c r="AI453" s="848">
        <f t="shared" si="414"/>
        <v>748</v>
      </c>
      <c r="AJ453" s="848">
        <f t="shared" si="414"/>
        <v>0</v>
      </c>
      <c r="AK453" s="848">
        <f t="shared" si="414"/>
        <v>0</v>
      </c>
      <c r="AL453" s="848">
        <f t="shared" si="414"/>
        <v>0</v>
      </c>
      <c r="AM453" s="848">
        <f t="shared" si="414"/>
        <v>0</v>
      </c>
      <c r="AN453" s="848">
        <f t="shared" si="414"/>
        <v>0</v>
      </c>
      <c r="AO453" s="848">
        <f t="shared" si="414"/>
        <v>0</v>
      </c>
      <c r="AP453" s="848">
        <f t="shared" si="414"/>
        <v>0</v>
      </c>
      <c r="AQ453" s="848">
        <f t="shared" si="414"/>
        <v>0</v>
      </c>
      <c r="AR453" s="848">
        <f t="shared" si="414"/>
        <v>0</v>
      </c>
      <c r="AS453" s="848"/>
      <c r="AT453" s="848">
        <f t="shared" si="414"/>
        <v>0</v>
      </c>
      <c r="AU453" s="848">
        <f t="shared" si="414"/>
        <v>0</v>
      </c>
      <c r="AV453" s="848">
        <f t="shared" si="414"/>
        <v>0</v>
      </c>
      <c r="AW453" s="848">
        <f t="shared" si="414"/>
        <v>0</v>
      </c>
      <c r="AX453" s="848">
        <f t="shared" si="414"/>
        <v>748</v>
      </c>
      <c r="AY453" s="848">
        <f t="shared" si="414"/>
        <v>11</v>
      </c>
      <c r="AZ453" s="848">
        <f t="shared" si="414"/>
        <v>0</v>
      </c>
      <c r="BA453" s="848">
        <f t="shared" si="414"/>
        <v>0</v>
      </c>
      <c r="BB453" s="848">
        <f t="shared" si="414"/>
        <v>0</v>
      </c>
      <c r="BC453" s="848">
        <f t="shared" si="414"/>
        <v>0</v>
      </c>
      <c r="BD453" s="848">
        <f t="shared" si="414"/>
        <v>0</v>
      </c>
      <c r="BE453" s="848">
        <f t="shared" si="414"/>
        <v>0</v>
      </c>
      <c r="BF453" s="848">
        <f t="shared" si="414"/>
        <v>0</v>
      </c>
      <c r="BG453" s="848">
        <f t="shared" si="414"/>
        <v>0</v>
      </c>
      <c r="BH453" s="848">
        <f t="shared" si="414"/>
        <v>0</v>
      </c>
      <c r="BI453" s="848">
        <f t="shared" si="414"/>
        <v>0</v>
      </c>
      <c r="BJ453" s="848">
        <f t="shared" si="414"/>
        <v>0</v>
      </c>
      <c r="BK453" s="848">
        <f t="shared" si="414"/>
        <v>0</v>
      </c>
      <c r="BL453" s="848">
        <f t="shared" si="414"/>
        <v>0</v>
      </c>
      <c r="BM453" s="848">
        <f t="shared" si="414"/>
        <v>0</v>
      </c>
      <c r="BN453" s="848">
        <f t="shared" si="414"/>
        <v>11</v>
      </c>
      <c r="BO453" s="848">
        <f t="shared" si="334"/>
        <v>11</v>
      </c>
      <c r="BP453" s="848">
        <f t="shared" si="414"/>
        <v>0</v>
      </c>
      <c r="BQ453" s="848">
        <f t="shared" si="414"/>
        <v>0</v>
      </c>
      <c r="BR453" s="848">
        <f t="shared" si="414"/>
        <v>0</v>
      </c>
      <c r="BS453" s="848">
        <f t="shared" si="414"/>
        <v>0</v>
      </c>
      <c r="BT453" s="848">
        <f t="shared" si="414"/>
        <v>0</v>
      </c>
      <c r="BU453" s="848">
        <f t="shared" si="414"/>
        <v>0</v>
      </c>
      <c r="BV453" s="848">
        <f t="shared" si="414"/>
        <v>0</v>
      </c>
      <c r="BW453" s="848">
        <f t="shared" si="414"/>
        <v>0</v>
      </c>
      <c r="BX453" s="848">
        <f t="shared" si="414"/>
        <v>0</v>
      </c>
      <c r="BY453" s="848">
        <f t="shared" si="414"/>
        <v>0</v>
      </c>
      <c r="BZ453" s="848">
        <f t="shared" si="414"/>
        <v>0</v>
      </c>
      <c r="CA453" s="848">
        <f t="shared" si="414"/>
        <v>0</v>
      </c>
      <c r="CB453" s="848">
        <f t="shared" si="414"/>
        <v>0</v>
      </c>
      <c r="CC453" s="848">
        <f t="shared" si="414"/>
        <v>0</v>
      </c>
      <c r="CD453" s="848">
        <f t="shared" si="414"/>
        <v>0</v>
      </c>
      <c r="CE453" s="848">
        <f t="shared" si="414"/>
        <v>11</v>
      </c>
      <c r="CF453" s="848">
        <f t="shared" ref="CF453" si="415">CF454</f>
        <v>100</v>
      </c>
      <c r="CG453" s="848"/>
      <c r="CH453" s="848"/>
      <c r="CI453" s="848"/>
      <c r="CJ453" s="848"/>
      <c r="CK453" s="848"/>
      <c r="CL453" s="848"/>
      <c r="CM453" s="848"/>
      <c r="CN453" s="848"/>
      <c r="CO453" s="848"/>
      <c r="CP453" s="848"/>
      <c r="CQ453" s="848"/>
      <c r="CR453" s="848"/>
      <c r="CS453" s="848"/>
      <c r="CT453" s="848"/>
      <c r="CU453" s="848"/>
      <c r="CV453" s="848"/>
      <c r="CW453" s="848">
        <f t="shared" si="358"/>
        <v>100</v>
      </c>
    </row>
    <row r="454" spans="1:101" s="851" customFormat="1" ht="27.6" customHeight="1">
      <c r="A454" s="845"/>
      <c r="B454" s="845"/>
      <c r="C454" s="857" t="s">
        <v>155</v>
      </c>
      <c r="D454" s="846">
        <f>D455</f>
        <v>0</v>
      </c>
      <c r="E454" s="845">
        <f t="shared" si="414"/>
        <v>0</v>
      </c>
      <c r="F454" s="847"/>
      <c r="G454" s="845"/>
      <c r="H454" s="850">
        <f t="shared" si="352"/>
        <v>5828</v>
      </c>
      <c r="I454" s="848">
        <f t="shared" si="414"/>
        <v>0</v>
      </c>
      <c r="J454" s="848">
        <f t="shared" si="414"/>
        <v>0</v>
      </c>
      <c r="K454" s="848">
        <f t="shared" si="414"/>
        <v>0</v>
      </c>
      <c r="L454" s="848">
        <f t="shared" si="414"/>
        <v>0</v>
      </c>
      <c r="M454" s="848">
        <f t="shared" si="414"/>
        <v>0</v>
      </c>
      <c r="N454" s="848">
        <f t="shared" si="414"/>
        <v>0</v>
      </c>
      <c r="O454" s="848">
        <f t="shared" si="414"/>
        <v>0</v>
      </c>
      <c r="P454" s="848">
        <f t="shared" si="414"/>
        <v>0</v>
      </c>
      <c r="Q454" s="848">
        <f t="shared" si="414"/>
        <v>0</v>
      </c>
      <c r="R454" s="848">
        <v>0</v>
      </c>
      <c r="S454" s="848">
        <f t="shared" si="414"/>
        <v>5828</v>
      </c>
      <c r="T454" s="848">
        <f t="shared" si="414"/>
        <v>7558</v>
      </c>
      <c r="U454" s="848">
        <f t="shared" si="414"/>
        <v>0</v>
      </c>
      <c r="V454" s="848">
        <f t="shared" si="414"/>
        <v>0</v>
      </c>
      <c r="W454" s="848">
        <f t="shared" si="414"/>
        <v>0</v>
      </c>
      <c r="X454" s="848">
        <f t="shared" si="414"/>
        <v>0</v>
      </c>
      <c r="Y454" s="848">
        <f t="shared" si="414"/>
        <v>0</v>
      </c>
      <c r="Z454" s="848">
        <f t="shared" si="414"/>
        <v>0</v>
      </c>
      <c r="AA454" s="848">
        <f t="shared" si="414"/>
        <v>0</v>
      </c>
      <c r="AB454" s="848">
        <f t="shared" si="414"/>
        <v>0</v>
      </c>
      <c r="AC454" s="848">
        <f t="shared" si="414"/>
        <v>0</v>
      </c>
      <c r="AD454" s="848">
        <f t="shared" si="414"/>
        <v>0</v>
      </c>
      <c r="AE454" s="848"/>
      <c r="AF454" s="848">
        <f t="shared" si="414"/>
        <v>0</v>
      </c>
      <c r="AG454" s="848">
        <f t="shared" si="414"/>
        <v>0</v>
      </c>
      <c r="AH454" s="848">
        <f t="shared" si="414"/>
        <v>7558</v>
      </c>
      <c r="AI454" s="848">
        <f t="shared" si="414"/>
        <v>748</v>
      </c>
      <c r="AJ454" s="848">
        <f t="shared" si="414"/>
        <v>0</v>
      </c>
      <c r="AK454" s="848">
        <f t="shared" si="414"/>
        <v>0</v>
      </c>
      <c r="AL454" s="848">
        <f t="shared" si="414"/>
        <v>0</v>
      </c>
      <c r="AM454" s="848">
        <f t="shared" si="414"/>
        <v>0</v>
      </c>
      <c r="AN454" s="848">
        <f t="shared" si="414"/>
        <v>0</v>
      </c>
      <c r="AO454" s="848">
        <f t="shared" si="414"/>
        <v>0</v>
      </c>
      <c r="AP454" s="848">
        <f t="shared" si="414"/>
        <v>0</v>
      </c>
      <c r="AQ454" s="848">
        <f t="shared" si="414"/>
        <v>0</v>
      </c>
      <c r="AR454" s="848">
        <f t="shared" si="414"/>
        <v>0</v>
      </c>
      <c r="AS454" s="848"/>
      <c r="AT454" s="848">
        <f t="shared" si="414"/>
        <v>0</v>
      </c>
      <c r="AU454" s="848">
        <f t="shared" si="414"/>
        <v>0</v>
      </c>
      <c r="AV454" s="848">
        <f t="shared" si="414"/>
        <v>0</v>
      </c>
      <c r="AW454" s="848">
        <f t="shared" si="414"/>
        <v>0</v>
      </c>
      <c r="AX454" s="848">
        <f t="shared" si="414"/>
        <v>748</v>
      </c>
      <c r="AY454" s="848">
        <f t="shared" si="414"/>
        <v>11</v>
      </c>
      <c r="AZ454" s="848">
        <f t="shared" si="414"/>
        <v>0</v>
      </c>
      <c r="BA454" s="848">
        <f t="shared" si="414"/>
        <v>0</v>
      </c>
      <c r="BB454" s="848">
        <f t="shared" si="414"/>
        <v>0</v>
      </c>
      <c r="BC454" s="848">
        <f t="shared" si="414"/>
        <v>0</v>
      </c>
      <c r="BD454" s="848">
        <f t="shared" si="414"/>
        <v>0</v>
      </c>
      <c r="BE454" s="848">
        <f t="shared" si="414"/>
        <v>0</v>
      </c>
      <c r="BF454" s="848">
        <f t="shared" si="414"/>
        <v>0</v>
      </c>
      <c r="BG454" s="848">
        <f t="shared" si="414"/>
        <v>0</v>
      </c>
      <c r="BH454" s="848">
        <f t="shared" si="414"/>
        <v>0</v>
      </c>
      <c r="BI454" s="848">
        <f t="shared" si="414"/>
        <v>0</v>
      </c>
      <c r="BJ454" s="848">
        <f t="shared" si="414"/>
        <v>0</v>
      </c>
      <c r="BK454" s="848">
        <f t="shared" si="414"/>
        <v>0</v>
      </c>
      <c r="BL454" s="848">
        <f t="shared" si="414"/>
        <v>0</v>
      </c>
      <c r="BM454" s="848">
        <f t="shared" si="414"/>
        <v>0</v>
      </c>
      <c r="BN454" s="848">
        <f t="shared" si="414"/>
        <v>11</v>
      </c>
      <c r="BO454" s="848">
        <f t="shared" si="334"/>
        <v>11</v>
      </c>
      <c r="BP454" s="848">
        <f t="shared" si="414"/>
        <v>0</v>
      </c>
      <c r="BQ454" s="848">
        <f t="shared" si="414"/>
        <v>0</v>
      </c>
      <c r="BR454" s="848">
        <f t="shared" si="414"/>
        <v>0</v>
      </c>
      <c r="BS454" s="848">
        <f t="shared" si="414"/>
        <v>0</v>
      </c>
      <c r="BT454" s="848">
        <f t="shared" si="414"/>
        <v>0</v>
      </c>
      <c r="BU454" s="848">
        <f t="shared" si="414"/>
        <v>0</v>
      </c>
      <c r="BV454" s="848">
        <f t="shared" si="414"/>
        <v>0</v>
      </c>
      <c r="BW454" s="848">
        <f t="shared" si="414"/>
        <v>0</v>
      </c>
      <c r="BX454" s="848">
        <f t="shared" si="414"/>
        <v>0</v>
      </c>
      <c r="BY454" s="848">
        <f t="shared" si="414"/>
        <v>0</v>
      </c>
      <c r="BZ454" s="848">
        <f t="shared" si="414"/>
        <v>0</v>
      </c>
      <c r="CA454" s="848">
        <f t="shared" si="414"/>
        <v>0</v>
      </c>
      <c r="CB454" s="848">
        <f t="shared" si="414"/>
        <v>0</v>
      </c>
      <c r="CC454" s="848">
        <f t="shared" si="414"/>
        <v>0</v>
      </c>
      <c r="CD454" s="848">
        <f t="shared" si="414"/>
        <v>0</v>
      </c>
      <c r="CE454" s="848">
        <f t="shared" si="414"/>
        <v>11</v>
      </c>
      <c r="CF454" s="848">
        <f>BO454/AY454%</f>
        <v>100</v>
      </c>
      <c r="CG454" s="848"/>
      <c r="CH454" s="848"/>
      <c r="CI454" s="848"/>
      <c r="CJ454" s="848"/>
      <c r="CK454" s="848"/>
      <c r="CL454" s="848"/>
      <c r="CM454" s="848"/>
      <c r="CN454" s="848"/>
      <c r="CO454" s="848"/>
      <c r="CP454" s="848"/>
      <c r="CQ454" s="848"/>
      <c r="CR454" s="848"/>
      <c r="CS454" s="848"/>
      <c r="CT454" s="848"/>
      <c r="CU454" s="848"/>
      <c r="CV454" s="848"/>
      <c r="CW454" s="848">
        <f t="shared" si="358"/>
        <v>100</v>
      </c>
    </row>
    <row r="455" spans="1:101" ht="45.6" customHeight="1">
      <c r="A455" s="845"/>
      <c r="B455" s="852" t="s">
        <v>1098</v>
      </c>
      <c r="C455" s="852" t="s">
        <v>1098</v>
      </c>
      <c r="D455" s="846"/>
      <c r="E455" s="845"/>
      <c r="F455" s="853">
        <v>2002</v>
      </c>
      <c r="G455" s="846" t="s">
        <v>1099</v>
      </c>
      <c r="H455" s="850">
        <f t="shared" si="352"/>
        <v>5828</v>
      </c>
      <c r="I455" s="855"/>
      <c r="J455" s="848"/>
      <c r="K455" s="848"/>
      <c r="L455" s="848"/>
      <c r="M455" s="848"/>
      <c r="N455" s="848"/>
      <c r="O455" s="848"/>
      <c r="P455" s="848"/>
      <c r="Q455" s="848"/>
      <c r="R455" s="848"/>
      <c r="S455" s="855">
        <v>5828</v>
      </c>
      <c r="T455" s="855">
        <f t="shared" si="341"/>
        <v>7558</v>
      </c>
      <c r="U455" s="848"/>
      <c r="V455" s="848"/>
      <c r="W455" s="848"/>
      <c r="X455" s="848"/>
      <c r="Y455" s="848"/>
      <c r="Z455" s="848"/>
      <c r="AA455" s="848"/>
      <c r="AB455" s="848"/>
      <c r="AC455" s="848"/>
      <c r="AD455" s="848"/>
      <c r="AE455" s="848"/>
      <c r="AF455" s="848"/>
      <c r="AG455" s="848"/>
      <c r="AH455" s="855">
        <v>7558</v>
      </c>
      <c r="AI455" s="855">
        <f>AX455</f>
        <v>748</v>
      </c>
      <c r="AJ455" s="855"/>
      <c r="AK455" s="855"/>
      <c r="AL455" s="855"/>
      <c r="AM455" s="855"/>
      <c r="AN455" s="855"/>
      <c r="AO455" s="855"/>
      <c r="AP455" s="855"/>
      <c r="AQ455" s="855"/>
      <c r="AR455" s="855"/>
      <c r="AS455" s="855"/>
      <c r="AT455" s="855"/>
      <c r="AU455" s="855"/>
      <c r="AV455" s="855"/>
      <c r="AW455" s="855"/>
      <c r="AX455" s="855">
        <v>748</v>
      </c>
      <c r="AY455" s="855">
        <f t="shared" ref="AY455" si="416">SUM(AZ455:BN455)</f>
        <v>11</v>
      </c>
      <c r="AZ455" s="855"/>
      <c r="BA455" s="855"/>
      <c r="BB455" s="855"/>
      <c r="BC455" s="855"/>
      <c r="BD455" s="855"/>
      <c r="BE455" s="855"/>
      <c r="BF455" s="855"/>
      <c r="BG455" s="855"/>
      <c r="BH455" s="855"/>
      <c r="BI455" s="855"/>
      <c r="BJ455" s="855"/>
      <c r="BK455" s="855"/>
      <c r="BL455" s="855"/>
      <c r="BM455" s="855"/>
      <c r="BN455" s="855">
        <f>'[10]bieu cu'!H193</f>
        <v>11</v>
      </c>
      <c r="BO455" s="848">
        <f t="shared" si="334"/>
        <v>11</v>
      </c>
      <c r="BP455" s="855"/>
      <c r="BQ455" s="855"/>
      <c r="BR455" s="855"/>
      <c r="BS455" s="855"/>
      <c r="BT455" s="855"/>
      <c r="BU455" s="855"/>
      <c r="BV455" s="855"/>
      <c r="BW455" s="855"/>
      <c r="BX455" s="855"/>
      <c r="BY455" s="855"/>
      <c r="BZ455" s="855"/>
      <c r="CA455" s="855"/>
      <c r="CB455" s="855"/>
      <c r="CC455" s="855"/>
      <c r="CD455" s="855"/>
      <c r="CE455" s="855">
        <f>'[10]bieu cu'!M193</f>
        <v>11</v>
      </c>
      <c r="CF455" s="848">
        <f>BO455/AY455%</f>
        <v>100</v>
      </c>
      <c r="CG455" s="848"/>
      <c r="CH455" s="848"/>
      <c r="CI455" s="848"/>
      <c r="CJ455" s="848"/>
      <c r="CK455" s="848"/>
      <c r="CL455" s="848"/>
      <c r="CM455" s="848"/>
      <c r="CN455" s="848"/>
      <c r="CO455" s="848"/>
      <c r="CP455" s="848"/>
      <c r="CQ455" s="848"/>
      <c r="CR455" s="848"/>
      <c r="CS455" s="848"/>
      <c r="CT455" s="848"/>
      <c r="CU455" s="848"/>
      <c r="CV455" s="848"/>
      <c r="CW455" s="848">
        <f t="shared" si="358"/>
        <v>100</v>
      </c>
    </row>
    <row r="456" spans="1:101" s="851" customFormat="1" ht="31.9" customHeight="1">
      <c r="A456" s="845" t="s">
        <v>8</v>
      </c>
      <c r="B456" s="845"/>
      <c r="C456" s="857" t="s">
        <v>409</v>
      </c>
      <c r="D456" s="846">
        <f>D457+D459</f>
        <v>0</v>
      </c>
      <c r="E456" s="845">
        <f t="shared" ref="E456:CE456" si="417">E457+E459</f>
        <v>0</v>
      </c>
      <c r="F456" s="847"/>
      <c r="G456" s="845"/>
      <c r="H456" s="850">
        <f t="shared" si="352"/>
        <v>12286</v>
      </c>
      <c r="I456" s="848">
        <f t="shared" si="417"/>
        <v>0</v>
      </c>
      <c r="J456" s="848">
        <f t="shared" si="417"/>
        <v>0</v>
      </c>
      <c r="K456" s="848">
        <f t="shared" si="417"/>
        <v>6286</v>
      </c>
      <c r="L456" s="848">
        <f t="shared" si="417"/>
        <v>0</v>
      </c>
      <c r="M456" s="848">
        <f t="shared" si="417"/>
        <v>0</v>
      </c>
      <c r="N456" s="848">
        <f t="shared" si="417"/>
        <v>0</v>
      </c>
      <c r="O456" s="848">
        <f t="shared" si="417"/>
        <v>0</v>
      </c>
      <c r="P456" s="848">
        <f t="shared" si="417"/>
        <v>0</v>
      </c>
      <c r="Q456" s="848">
        <f t="shared" si="417"/>
        <v>0</v>
      </c>
      <c r="R456" s="848">
        <v>0</v>
      </c>
      <c r="S456" s="848">
        <f t="shared" si="417"/>
        <v>6000</v>
      </c>
      <c r="T456" s="848">
        <f t="shared" si="417"/>
        <v>154</v>
      </c>
      <c r="U456" s="848">
        <f t="shared" si="417"/>
        <v>0</v>
      </c>
      <c r="V456" s="848">
        <f t="shared" si="417"/>
        <v>0</v>
      </c>
      <c r="W456" s="848">
        <f t="shared" si="417"/>
        <v>0</v>
      </c>
      <c r="X456" s="848">
        <f t="shared" si="417"/>
        <v>154</v>
      </c>
      <c r="Y456" s="848">
        <f t="shared" si="417"/>
        <v>0</v>
      </c>
      <c r="Z456" s="848">
        <f t="shared" si="417"/>
        <v>0</v>
      </c>
      <c r="AA456" s="848">
        <f t="shared" si="417"/>
        <v>0</v>
      </c>
      <c r="AB456" s="848">
        <f t="shared" si="417"/>
        <v>0</v>
      </c>
      <c r="AC456" s="848">
        <f t="shared" si="417"/>
        <v>0</v>
      </c>
      <c r="AD456" s="848"/>
      <c r="AE456" s="848"/>
      <c r="AF456" s="848">
        <f t="shared" si="417"/>
        <v>0</v>
      </c>
      <c r="AG456" s="848">
        <f t="shared" si="417"/>
        <v>0</v>
      </c>
      <c r="AH456" s="848">
        <f t="shared" si="417"/>
        <v>0</v>
      </c>
      <c r="AI456" s="848">
        <f t="shared" si="417"/>
        <v>500</v>
      </c>
      <c r="AJ456" s="848">
        <f t="shared" si="417"/>
        <v>0</v>
      </c>
      <c r="AK456" s="848">
        <f t="shared" si="417"/>
        <v>0</v>
      </c>
      <c r="AL456" s="848">
        <f t="shared" si="417"/>
        <v>0</v>
      </c>
      <c r="AM456" s="848">
        <f t="shared" si="417"/>
        <v>500</v>
      </c>
      <c r="AN456" s="848">
        <f t="shared" si="417"/>
        <v>0</v>
      </c>
      <c r="AO456" s="848">
        <f t="shared" si="417"/>
        <v>0</v>
      </c>
      <c r="AP456" s="848">
        <f t="shared" si="417"/>
        <v>0</v>
      </c>
      <c r="AQ456" s="848">
        <f t="shared" si="417"/>
        <v>0</v>
      </c>
      <c r="AR456" s="848">
        <f t="shared" si="417"/>
        <v>0</v>
      </c>
      <c r="AS456" s="848"/>
      <c r="AT456" s="848">
        <f t="shared" si="417"/>
        <v>0</v>
      </c>
      <c r="AU456" s="848">
        <f t="shared" si="417"/>
        <v>0</v>
      </c>
      <c r="AV456" s="848">
        <f t="shared" si="417"/>
        <v>0</v>
      </c>
      <c r="AW456" s="848">
        <f t="shared" si="417"/>
        <v>0</v>
      </c>
      <c r="AX456" s="848">
        <f t="shared" si="417"/>
        <v>0</v>
      </c>
      <c r="AY456" s="848">
        <f t="shared" si="417"/>
        <v>4952</v>
      </c>
      <c r="AZ456" s="848">
        <f t="shared" si="417"/>
        <v>0</v>
      </c>
      <c r="BA456" s="848">
        <f t="shared" si="417"/>
        <v>0</v>
      </c>
      <c r="BB456" s="848">
        <f t="shared" si="417"/>
        <v>0</v>
      </c>
      <c r="BC456" s="848">
        <f t="shared" si="417"/>
        <v>0</v>
      </c>
      <c r="BD456" s="848">
        <f t="shared" si="417"/>
        <v>1800</v>
      </c>
      <c r="BE456" s="848">
        <f t="shared" si="417"/>
        <v>0</v>
      </c>
      <c r="BF456" s="848">
        <f t="shared" si="417"/>
        <v>0</v>
      </c>
      <c r="BG456" s="848">
        <f t="shared" si="417"/>
        <v>0</v>
      </c>
      <c r="BH456" s="848">
        <f t="shared" si="417"/>
        <v>0</v>
      </c>
      <c r="BI456" s="848">
        <f t="shared" si="417"/>
        <v>0</v>
      </c>
      <c r="BJ456" s="848">
        <f t="shared" si="417"/>
        <v>0</v>
      </c>
      <c r="BK456" s="848">
        <f t="shared" si="417"/>
        <v>0</v>
      </c>
      <c r="BL456" s="848">
        <f t="shared" si="417"/>
        <v>0</v>
      </c>
      <c r="BM456" s="848">
        <f t="shared" si="417"/>
        <v>0</v>
      </c>
      <c r="BN456" s="848">
        <f t="shared" si="417"/>
        <v>3152</v>
      </c>
      <c r="BO456" s="848">
        <f t="shared" si="334"/>
        <v>4310.3999999999996</v>
      </c>
      <c r="BP456" s="848">
        <f t="shared" si="417"/>
        <v>0</v>
      </c>
      <c r="BQ456" s="848">
        <f t="shared" si="417"/>
        <v>0</v>
      </c>
      <c r="BR456" s="848">
        <f t="shared" si="417"/>
        <v>0</v>
      </c>
      <c r="BS456" s="848">
        <f t="shared" si="417"/>
        <v>0</v>
      </c>
      <c r="BT456" s="848">
        <f t="shared" si="417"/>
        <v>1158.4000000000001</v>
      </c>
      <c r="BU456" s="848">
        <f t="shared" si="417"/>
        <v>0</v>
      </c>
      <c r="BV456" s="848">
        <f t="shared" si="417"/>
        <v>0</v>
      </c>
      <c r="BW456" s="848">
        <f t="shared" si="417"/>
        <v>0</v>
      </c>
      <c r="BX456" s="848">
        <f t="shared" si="417"/>
        <v>0</v>
      </c>
      <c r="BY456" s="848">
        <f t="shared" si="417"/>
        <v>0</v>
      </c>
      <c r="BZ456" s="848">
        <f t="shared" si="417"/>
        <v>0</v>
      </c>
      <c r="CA456" s="848">
        <f t="shared" si="417"/>
        <v>0</v>
      </c>
      <c r="CB456" s="848">
        <f t="shared" si="417"/>
        <v>0</v>
      </c>
      <c r="CC456" s="848">
        <f t="shared" si="417"/>
        <v>0</v>
      </c>
      <c r="CD456" s="848">
        <f t="shared" si="417"/>
        <v>0</v>
      </c>
      <c r="CE456" s="848">
        <f t="shared" si="417"/>
        <v>3152</v>
      </c>
      <c r="CF456" s="848">
        <f>BO456/AY456%</f>
        <v>87.043618739903053</v>
      </c>
      <c r="CG456" s="848"/>
      <c r="CH456" s="848"/>
      <c r="CI456" s="848"/>
      <c r="CJ456" s="848"/>
      <c r="CK456" s="848">
        <f t="shared" si="406"/>
        <v>64.355555555555569</v>
      </c>
      <c r="CL456" s="848"/>
      <c r="CM456" s="848"/>
      <c r="CN456" s="848"/>
      <c r="CO456" s="848"/>
      <c r="CP456" s="848"/>
      <c r="CQ456" s="848"/>
      <c r="CR456" s="848"/>
      <c r="CS456" s="848"/>
      <c r="CT456" s="848"/>
      <c r="CU456" s="848"/>
      <c r="CV456" s="848"/>
      <c r="CW456" s="848">
        <f t="shared" si="358"/>
        <v>100</v>
      </c>
    </row>
    <row r="457" spans="1:101" s="851" customFormat="1" ht="34.15" customHeight="1">
      <c r="A457" s="845" t="s">
        <v>30</v>
      </c>
      <c r="B457" s="845"/>
      <c r="C457" s="857" t="s">
        <v>1076</v>
      </c>
      <c r="D457" s="846">
        <f>D458</f>
        <v>0</v>
      </c>
      <c r="E457" s="845">
        <f t="shared" ref="E457:CE457" si="418">E458</f>
        <v>0</v>
      </c>
      <c r="F457" s="847"/>
      <c r="G457" s="845"/>
      <c r="H457" s="850">
        <f t="shared" si="352"/>
        <v>6000</v>
      </c>
      <c r="I457" s="848">
        <f t="shared" si="418"/>
        <v>0</v>
      </c>
      <c r="J457" s="848">
        <f t="shared" si="418"/>
        <v>0</v>
      </c>
      <c r="K457" s="848">
        <f t="shared" si="418"/>
        <v>0</v>
      </c>
      <c r="L457" s="848">
        <f t="shared" si="418"/>
        <v>0</v>
      </c>
      <c r="M457" s="848">
        <f t="shared" si="418"/>
        <v>0</v>
      </c>
      <c r="N457" s="848">
        <f t="shared" si="418"/>
        <v>0</v>
      </c>
      <c r="O457" s="848">
        <f t="shared" si="418"/>
        <v>0</v>
      </c>
      <c r="P457" s="848">
        <f t="shared" si="418"/>
        <v>0</v>
      </c>
      <c r="Q457" s="848">
        <f t="shared" si="418"/>
        <v>0</v>
      </c>
      <c r="R457" s="848">
        <v>0</v>
      </c>
      <c r="S457" s="848">
        <f t="shared" si="418"/>
        <v>6000</v>
      </c>
      <c r="T457" s="848">
        <f t="shared" si="418"/>
        <v>0</v>
      </c>
      <c r="U457" s="848">
        <f t="shared" si="418"/>
        <v>0</v>
      </c>
      <c r="V457" s="848">
        <f t="shared" si="418"/>
        <v>0</v>
      </c>
      <c r="W457" s="848">
        <f t="shared" si="418"/>
        <v>0</v>
      </c>
      <c r="X457" s="848">
        <f t="shared" si="418"/>
        <v>0</v>
      </c>
      <c r="Y457" s="848">
        <f t="shared" si="418"/>
        <v>0</v>
      </c>
      <c r="Z457" s="848">
        <f t="shared" si="418"/>
        <v>0</v>
      </c>
      <c r="AA457" s="848">
        <f t="shared" si="418"/>
        <v>0</v>
      </c>
      <c r="AB457" s="848">
        <f t="shared" si="418"/>
        <v>0</v>
      </c>
      <c r="AC457" s="848">
        <f t="shared" si="418"/>
        <v>0</v>
      </c>
      <c r="AD457" s="848"/>
      <c r="AE457" s="848"/>
      <c r="AF457" s="848">
        <f t="shared" si="418"/>
        <v>0</v>
      </c>
      <c r="AG457" s="848">
        <f t="shared" si="418"/>
        <v>0</v>
      </c>
      <c r="AH457" s="848">
        <f t="shared" si="418"/>
        <v>0</v>
      </c>
      <c r="AI457" s="848">
        <f t="shared" si="418"/>
        <v>0</v>
      </c>
      <c r="AJ457" s="848">
        <f t="shared" si="418"/>
        <v>0</v>
      </c>
      <c r="AK457" s="848">
        <f t="shared" si="418"/>
        <v>0</v>
      </c>
      <c r="AL457" s="848">
        <f t="shared" si="418"/>
        <v>0</v>
      </c>
      <c r="AM457" s="848">
        <f t="shared" si="418"/>
        <v>0</v>
      </c>
      <c r="AN457" s="848">
        <f t="shared" si="418"/>
        <v>0</v>
      </c>
      <c r="AO457" s="848">
        <f t="shared" si="418"/>
        <v>0</v>
      </c>
      <c r="AP457" s="848">
        <f t="shared" si="418"/>
        <v>0</v>
      </c>
      <c r="AQ457" s="848">
        <f t="shared" si="418"/>
        <v>0</v>
      </c>
      <c r="AR457" s="848">
        <f t="shared" si="418"/>
        <v>0</v>
      </c>
      <c r="AS457" s="848"/>
      <c r="AT457" s="848">
        <f t="shared" si="418"/>
        <v>0</v>
      </c>
      <c r="AU457" s="848">
        <f t="shared" si="418"/>
        <v>0</v>
      </c>
      <c r="AV457" s="848">
        <f t="shared" si="418"/>
        <v>0</v>
      </c>
      <c r="AW457" s="848">
        <f t="shared" si="418"/>
        <v>0</v>
      </c>
      <c r="AX457" s="848">
        <f t="shared" si="418"/>
        <v>0</v>
      </c>
      <c r="AY457" s="848">
        <f t="shared" si="418"/>
        <v>3152</v>
      </c>
      <c r="AZ457" s="848">
        <f t="shared" si="418"/>
        <v>0</v>
      </c>
      <c r="BA457" s="848">
        <f t="shared" si="418"/>
        <v>0</v>
      </c>
      <c r="BB457" s="848">
        <f t="shared" si="418"/>
        <v>0</v>
      </c>
      <c r="BC457" s="848">
        <f t="shared" si="418"/>
        <v>0</v>
      </c>
      <c r="BD457" s="848">
        <f t="shared" si="418"/>
        <v>0</v>
      </c>
      <c r="BE457" s="848">
        <f t="shared" si="418"/>
        <v>0</v>
      </c>
      <c r="BF457" s="848">
        <f t="shared" si="418"/>
        <v>0</v>
      </c>
      <c r="BG457" s="848">
        <f t="shared" si="418"/>
        <v>0</v>
      </c>
      <c r="BH457" s="848">
        <f t="shared" si="418"/>
        <v>0</v>
      </c>
      <c r="BI457" s="848">
        <f t="shared" si="418"/>
        <v>0</v>
      </c>
      <c r="BJ457" s="848">
        <f t="shared" si="418"/>
        <v>0</v>
      </c>
      <c r="BK457" s="848">
        <f t="shared" si="418"/>
        <v>0</v>
      </c>
      <c r="BL457" s="848">
        <f t="shared" si="418"/>
        <v>0</v>
      </c>
      <c r="BM457" s="848">
        <f t="shared" si="418"/>
        <v>0</v>
      </c>
      <c r="BN457" s="848">
        <f t="shared" si="418"/>
        <v>3152</v>
      </c>
      <c r="BO457" s="848">
        <f t="shared" si="334"/>
        <v>3152</v>
      </c>
      <c r="BP457" s="848">
        <f t="shared" si="418"/>
        <v>0</v>
      </c>
      <c r="BQ457" s="848">
        <f t="shared" si="418"/>
        <v>0</v>
      </c>
      <c r="BR457" s="848">
        <f t="shared" si="418"/>
        <v>0</v>
      </c>
      <c r="BS457" s="848">
        <f t="shared" si="418"/>
        <v>0</v>
      </c>
      <c r="BT457" s="848">
        <f t="shared" si="418"/>
        <v>0</v>
      </c>
      <c r="BU457" s="848">
        <f t="shared" si="418"/>
        <v>0</v>
      </c>
      <c r="BV457" s="848">
        <f t="shared" si="418"/>
        <v>0</v>
      </c>
      <c r="BW457" s="848">
        <f t="shared" si="418"/>
        <v>0</v>
      </c>
      <c r="BX457" s="848">
        <f t="shared" si="418"/>
        <v>0</v>
      </c>
      <c r="BY457" s="848">
        <f t="shared" si="418"/>
        <v>0</v>
      </c>
      <c r="BZ457" s="848">
        <f t="shared" si="418"/>
        <v>0</v>
      </c>
      <c r="CA457" s="848">
        <f t="shared" si="418"/>
        <v>0</v>
      </c>
      <c r="CB457" s="848">
        <f t="shared" si="418"/>
        <v>0</v>
      </c>
      <c r="CC457" s="848">
        <f t="shared" si="418"/>
        <v>0</v>
      </c>
      <c r="CD457" s="848">
        <f t="shared" si="418"/>
        <v>0</v>
      </c>
      <c r="CE457" s="848">
        <f t="shared" si="418"/>
        <v>3152</v>
      </c>
      <c r="CF457" s="848">
        <f>BO457/AY457%</f>
        <v>100</v>
      </c>
      <c r="CG457" s="848"/>
      <c r="CH457" s="848"/>
      <c r="CI457" s="848"/>
      <c r="CJ457" s="848"/>
      <c r="CK457" s="848"/>
      <c r="CL457" s="848"/>
      <c r="CM457" s="848"/>
      <c r="CN457" s="848"/>
      <c r="CO457" s="848"/>
      <c r="CP457" s="848"/>
      <c r="CQ457" s="848"/>
      <c r="CR457" s="848"/>
      <c r="CS457" s="848"/>
      <c r="CT457" s="848"/>
      <c r="CU457" s="848"/>
      <c r="CV457" s="848"/>
      <c r="CW457" s="848">
        <f t="shared" si="358"/>
        <v>100</v>
      </c>
    </row>
    <row r="458" spans="1:101" ht="45.6" customHeight="1">
      <c r="A458" s="845"/>
      <c r="B458" s="852" t="s">
        <v>409</v>
      </c>
      <c r="C458" s="852" t="s">
        <v>1100</v>
      </c>
      <c r="D458" s="846"/>
      <c r="E458" s="845"/>
      <c r="F458" s="853">
        <v>2017</v>
      </c>
      <c r="G458" s="846" t="s">
        <v>1101</v>
      </c>
      <c r="H458" s="850">
        <f t="shared" si="352"/>
        <v>6000</v>
      </c>
      <c r="I458" s="860"/>
      <c r="J458" s="848"/>
      <c r="K458" s="848"/>
      <c r="L458" s="848"/>
      <c r="M458" s="848"/>
      <c r="N458" s="848"/>
      <c r="O458" s="848"/>
      <c r="P458" s="848"/>
      <c r="Q458" s="848"/>
      <c r="R458" s="848"/>
      <c r="S458" s="855">
        <v>6000</v>
      </c>
      <c r="T458" s="855">
        <f t="shared" si="341"/>
        <v>0</v>
      </c>
      <c r="U458" s="848"/>
      <c r="V458" s="848"/>
      <c r="W458" s="848"/>
      <c r="X458" s="848"/>
      <c r="Y458" s="848"/>
      <c r="Z458" s="848"/>
      <c r="AA458" s="848"/>
      <c r="AB458" s="848"/>
      <c r="AC458" s="848"/>
      <c r="AD458" s="848"/>
      <c r="AE458" s="848"/>
      <c r="AF458" s="848"/>
      <c r="AG458" s="848"/>
      <c r="AH458" s="855"/>
      <c r="AI458" s="855"/>
      <c r="AJ458" s="855"/>
      <c r="AK458" s="855"/>
      <c r="AL458" s="855"/>
      <c r="AM458" s="855"/>
      <c r="AN458" s="855"/>
      <c r="AO458" s="855"/>
      <c r="AP458" s="855"/>
      <c r="AQ458" s="855"/>
      <c r="AR458" s="855"/>
      <c r="AS458" s="855"/>
      <c r="AT458" s="855"/>
      <c r="AU458" s="855"/>
      <c r="AV458" s="855"/>
      <c r="AW458" s="855"/>
      <c r="AX458" s="855"/>
      <c r="AY458" s="855">
        <f t="shared" ref="AY458" si="419">SUM(AZ458:BN458)</f>
        <v>3152</v>
      </c>
      <c r="AZ458" s="855"/>
      <c r="BA458" s="855"/>
      <c r="BB458" s="855"/>
      <c r="BC458" s="855"/>
      <c r="BD458" s="855"/>
      <c r="BE458" s="855"/>
      <c r="BF458" s="855"/>
      <c r="BG458" s="855"/>
      <c r="BH458" s="855"/>
      <c r="BI458" s="855"/>
      <c r="BJ458" s="855"/>
      <c r="BK458" s="855"/>
      <c r="BL458" s="855"/>
      <c r="BM458" s="855"/>
      <c r="BN458" s="855">
        <f>'[10]bieu cu'!H220</f>
        <v>3152</v>
      </c>
      <c r="BO458" s="848">
        <f t="shared" si="334"/>
        <v>3152</v>
      </c>
      <c r="BP458" s="855"/>
      <c r="BQ458" s="855"/>
      <c r="BR458" s="855"/>
      <c r="BS458" s="855"/>
      <c r="BT458" s="855"/>
      <c r="BU458" s="855"/>
      <c r="BV458" s="855"/>
      <c r="BW458" s="855"/>
      <c r="BX458" s="855"/>
      <c r="BY458" s="855"/>
      <c r="BZ458" s="855"/>
      <c r="CA458" s="855"/>
      <c r="CB458" s="855"/>
      <c r="CC458" s="855"/>
      <c r="CD458" s="855"/>
      <c r="CE458" s="855">
        <f>'[10]bieu cu'!M220</f>
        <v>3152</v>
      </c>
      <c r="CF458" s="848">
        <f>BO458/AY458%</f>
        <v>100</v>
      </c>
      <c r="CG458" s="848"/>
      <c r="CH458" s="848"/>
      <c r="CI458" s="848"/>
      <c r="CJ458" s="848"/>
      <c r="CK458" s="848"/>
      <c r="CL458" s="848"/>
      <c r="CM458" s="848"/>
      <c r="CN458" s="848"/>
      <c r="CO458" s="848"/>
      <c r="CP458" s="848"/>
      <c r="CQ458" s="848"/>
      <c r="CR458" s="848"/>
      <c r="CS458" s="848"/>
      <c r="CT458" s="848"/>
      <c r="CU458" s="848"/>
      <c r="CV458" s="848"/>
      <c r="CW458" s="848">
        <f t="shared" si="358"/>
        <v>100</v>
      </c>
    </row>
    <row r="459" spans="1:101" ht="45.6" customHeight="1">
      <c r="A459" s="845" t="s">
        <v>31</v>
      </c>
      <c r="B459" s="845"/>
      <c r="C459" s="857" t="s">
        <v>508</v>
      </c>
      <c r="D459" s="846">
        <f>D460+D461</f>
        <v>0</v>
      </c>
      <c r="E459" s="845">
        <f t="shared" ref="E459:CE459" si="420">E460+E461</f>
        <v>0</v>
      </c>
      <c r="F459" s="847"/>
      <c r="G459" s="845"/>
      <c r="H459" s="850">
        <f t="shared" si="352"/>
        <v>6286</v>
      </c>
      <c r="I459" s="848">
        <f t="shared" si="420"/>
        <v>0</v>
      </c>
      <c r="J459" s="848">
        <f t="shared" si="420"/>
        <v>0</v>
      </c>
      <c r="K459" s="848">
        <f t="shared" si="420"/>
        <v>6286</v>
      </c>
      <c r="L459" s="848">
        <f t="shared" si="420"/>
        <v>0</v>
      </c>
      <c r="M459" s="848">
        <f t="shared" si="420"/>
        <v>0</v>
      </c>
      <c r="N459" s="848">
        <f t="shared" si="420"/>
        <v>0</v>
      </c>
      <c r="O459" s="848">
        <f t="shared" si="420"/>
        <v>0</v>
      </c>
      <c r="P459" s="848">
        <f t="shared" si="420"/>
        <v>0</v>
      </c>
      <c r="Q459" s="848">
        <f t="shared" si="420"/>
        <v>0</v>
      </c>
      <c r="R459" s="848">
        <v>0</v>
      </c>
      <c r="S459" s="848">
        <f t="shared" si="420"/>
        <v>0</v>
      </c>
      <c r="T459" s="848">
        <f t="shared" si="420"/>
        <v>154</v>
      </c>
      <c r="U459" s="848">
        <f t="shared" si="420"/>
        <v>0</v>
      </c>
      <c r="V459" s="848">
        <f t="shared" si="420"/>
        <v>0</v>
      </c>
      <c r="W459" s="848">
        <f t="shared" si="420"/>
        <v>0</v>
      </c>
      <c r="X459" s="848">
        <f t="shared" si="420"/>
        <v>154</v>
      </c>
      <c r="Y459" s="848">
        <f t="shared" si="420"/>
        <v>0</v>
      </c>
      <c r="Z459" s="848">
        <f t="shared" si="420"/>
        <v>0</v>
      </c>
      <c r="AA459" s="848">
        <f t="shared" si="420"/>
        <v>0</v>
      </c>
      <c r="AB459" s="848">
        <f t="shared" si="420"/>
        <v>0</v>
      </c>
      <c r="AC459" s="848">
        <f t="shared" si="420"/>
        <v>0</v>
      </c>
      <c r="AD459" s="848"/>
      <c r="AE459" s="848"/>
      <c r="AF459" s="848">
        <f t="shared" si="420"/>
        <v>0</v>
      </c>
      <c r="AG459" s="848">
        <f t="shared" si="420"/>
        <v>0</v>
      </c>
      <c r="AH459" s="848">
        <f t="shared" si="420"/>
        <v>0</v>
      </c>
      <c r="AI459" s="848">
        <f t="shared" si="420"/>
        <v>500</v>
      </c>
      <c r="AJ459" s="848">
        <f t="shared" si="420"/>
        <v>0</v>
      </c>
      <c r="AK459" s="848">
        <f t="shared" si="420"/>
        <v>0</v>
      </c>
      <c r="AL459" s="848">
        <f t="shared" si="420"/>
        <v>0</v>
      </c>
      <c r="AM459" s="848">
        <f t="shared" si="420"/>
        <v>500</v>
      </c>
      <c r="AN459" s="848">
        <f t="shared" si="420"/>
        <v>0</v>
      </c>
      <c r="AO459" s="848">
        <f t="shared" si="420"/>
        <v>0</v>
      </c>
      <c r="AP459" s="848">
        <f t="shared" si="420"/>
        <v>0</v>
      </c>
      <c r="AQ459" s="848">
        <f t="shared" si="420"/>
        <v>0</v>
      </c>
      <c r="AR459" s="848">
        <f t="shared" si="420"/>
        <v>0</v>
      </c>
      <c r="AS459" s="848"/>
      <c r="AT459" s="848">
        <f t="shared" si="420"/>
        <v>0</v>
      </c>
      <c r="AU459" s="848">
        <f t="shared" si="420"/>
        <v>0</v>
      </c>
      <c r="AV459" s="848">
        <f t="shared" si="420"/>
        <v>0</v>
      </c>
      <c r="AW459" s="848">
        <f t="shared" si="420"/>
        <v>0</v>
      </c>
      <c r="AX459" s="848">
        <f t="shared" si="420"/>
        <v>0</v>
      </c>
      <c r="AY459" s="848">
        <f t="shared" si="420"/>
        <v>1800</v>
      </c>
      <c r="AZ459" s="848">
        <f t="shared" si="420"/>
        <v>0</v>
      </c>
      <c r="BA459" s="848">
        <f t="shared" si="420"/>
        <v>0</v>
      </c>
      <c r="BB459" s="848">
        <f t="shared" si="420"/>
        <v>0</v>
      </c>
      <c r="BC459" s="848">
        <f t="shared" si="420"/>
        <v>0</v>
      </c>
      <c r="BD459" s="848">
        <f t="shared" si="420"/>
        <v>1800</v>
      </c>
      <c r="BE459" s="848">
        <f t="shared" si="420"/>
        <v>0</v>
      </c>
      <c r="BF459" s="848">
        <f t="shared" si="420"/>
        <v>0</v>
      </c>
      <c r="BG459" s="848">
        <f t="shared" si="420"/>
        <v>0</v>
      </c>
      <c r="BH459" s="848">
        <f t="shared" si="420"/>
        <v>0</v>
      </c>
      <c r="BI459" s="848">
        <f t="shared" si="420"/>
        <v>0</v>
      </c>
      <c r="BJ459" s="848">
        <f t="shared" si="420"/>
        <v>0</v>
      </c>
      <c r="BK459" s="848">
        <f t="shared" si="420"/>
        <v>0</v>
      </c>
      <c r="BL459" s="848">
        <f t="shared" si="420"/>
        <v>0</v>
      </c>
      <c r="BM459" s="848">
        <f t="shared" si="420"/>
        <v>0</v>
      </c>
      <c r="BN459" s="848">
        <f t="shared" si="420"/>
        <v>0</v>
      </c>
      <c r="BO459" s="848">
        <f t="shared" ref="BO459:BO522" si="421">SUM(BP459:CE459)</f>
        <v>1158.4000000000001</v>
      </c>
      <c r="BP459" s="848">
        <f t="shared" si="420"/>
        <v>0</v>
      </c>
      <c r="BQ459" s="848">
        <f t="shared" si="420"/>
        <v>0</v>
      </c>
      <c r="BR459" s="848">
        <f t="shared" si="420"/>
        <v>0</v>
      </c>
      <c r="BS459" s="848">
        <f t="shared" si="420"/>
        <v>0</v>
      </c>
      <c r="BT459" s="848">
        <f t="shared" si="420"/>
        <v>1158.4000000000001</v>
      </c>
      <c r="BU459" s="848">
        <f t="shared" si="420"/>
        <v>0</v>
      </c>
      <c r="BV459" s="848">
        <f t="shared" si="420"/>
        <v>0</v>
      </c>
      <c r="BW459" s="848">
        <f t="shared" si="420"/>
        <v>0</v>
      </c>
      <c r="BX459" s="848">
        <f t="shared" si="420"/>
        <v>0</v>
      </c>
      <c r="BY459" s="848">
        <f t="shared" si="420"/>
        <v>0</v>
      </c>
      <c r="BZ459" s="848">
        <f t="shared" si="420"/>
        <v>0</v>
      </c>
      <c r="CA459" s="848">
        <f t="shared" si="420"/>
        <v>0</v>
      </c>
      <c r="CB459" s="848">
        <f t="shared" si="420"/>
        <v>0</v>
      </c>
      <c r="CC459" s="848">
        <f t="shared" si="420"/>
        <v>0</v>
      </c>
      <c r="CD459" s="848">
        <f t="shared" si="420"/>
        <v>0</v>
      </c>
      <c r="CE459" s="848">
        <f t="shared" si="420"/>
        <v>0</v>
      </c>
      <c r="CF459" s="848">
        <f t="shared" ref="CF459:CS459" si="422">CF460+CF461</f>
        <v>150.64615384615385</v>
      </c>
      <c r="CG459" s="848"/>
      <c r="CH459" s="848"/>
      <c r="CI459" s="848"/>
      <c r="CJ459" s="848"/>
      <c r="CK459" s="848">
        <f t="shared" ref="CK459:CN522" si="423">BT459/BD459*100</f>
        <v>64.355555555555569</v>
      </c>
      <c r="CL459" s="848"/>
      <c r="CM459" s="848"/>
      <c r="CN459" s="848"/>
      <c r="CO459" s="848"/>
      <c r="CP459" s="848"/>
      <c r="CQ459" s="848"/>
      <c r="CR459" s="848"/>
      <c r="CS459" s="848">
        <f t="shared" si="422"/>
        <v>0</v>
      </c>
      <c r="CT459" s="848"/>
      <c r="CU459" s="848"/>
      <c r="CV459" s="848"/>
      <c r="CW459" s="848"/>
    </row>
    <row r="460" spans="1:101" ht="45.6" customHeight="1">
      <c r="A460" s="845"/>
      <c r="B460" s="852" t="s">
        <v>409</v>
      </c>
      <c r="C460" s="852" t="s">
        <v>1102</v>
      </c>
      <c r="D460" s="846"/>
      <c r="E460" s="845"/>
      <c r="F460" s="853">
        <v>2017</v>
      </c>
      <c r="G460" s="846" t="s">
        <v>1103</v>
      </c>
      <c r="H460" s="850">
        <f t="shared" si="352"/>
        <v>5197</v>
      </c>
      <c r="I460" s="860"/>
      <c r="J460" s="848"/>
      <c r="K460" s="860">
        <v>5197</v>
      </c>
      <c r="L460" s="848"/>
      <c r="M460" s="848"/>
      <c r="N460" s="848"/>
      <c r="O460" s="848"/>
      <c r="P460" s="848"/>
      <c r="Q460" s="848"/>
      <c r="R460" s="848"/>
      <c r="S460" s="848"/>
      <c r="T460" s="855">
        <f t="shared" si="341"/>
        <v>154</v>
      </c>
      <c r="U460" s="848"/>
      <c r="V460" s="848"/>
      <c r="W460" s="848"/>
      <c r="X460" s="855">
        <v>154</v>
      </c>
      <c r="Y460" s="848"/>
      <c r="Z460" s="848"/>
      <c r="AA460" s="848"/>
      <c r="AB460" s="848"/>
      <c r="AC460" s="848"/>
      <c r="AD460" s="848"/>
      <c r="AE460" s="848"/>
      <c r="AF460" s="848"/>
      <c r="AG460" s="848"/>
      <c r="AH460" s="855"/>
      <c r="AI460" s="855">
        <f>AM460</f>
        <v>500</v>
      </c>
      <c r="AJ460" s="855"/>
      <c r="AK460" s="855"/>
      <c r="AL460" s="855"/>
      <c r="AM460" s="855">
        <v>500</v>
      </c>
      <c r="AN460" s="855"/>
      <c r="AO460" s="855"/>
      <c r="AP460" s="855"/>
      <c r="AQ460" s="855"/>
      <c r="AR460" s="855"/>
      <c r="AS460" s="855"/>
      <c r="AT460" s="855"/>
      <c r="AU460" s="855"/>
      <c r="AV460" s="855"/>
      <c r="AW460" s="855"/>
      <c r="AX460" s="855"/>
      <c r="AY460" s="855">
        <f t="shared" ref="AY460:AY461" si="424">SUM(AZ460:BN460)</f>
        <v>1300</v>
      </c>
      <c r="AZ460" s="855"/>
      <c r="BA460" s="855"/>
      <c r="BB460" s="855"/>
      <c r="BC460" s="855"/>
      <c r="BD460" s="855">
        <f>'[10]bieu cu'!H242</f>
        <v>1300</v>
      </c>
      <c r="BE460" s="855"/>
      <c r="BF460" s="855"/>
      <c r="BG460" s="855"/>
      <c r="BH460" s="855"/>
      <c r="BI460" s="855"/>
      <c r="BJ460" s="855"/>
      <c r="BK460" s="855"/>
      <c r="BL460" s="855"/>
      <c r="BM460" s="855"/>
      <c r="BN460" s="855"/>
      <c r="BO460" s="848">
        <f t="shared" si="421"/>
        <v>658.4</v>
      </c>
      <c r="BP460" s="855"/>
      <c r="BQ460" s="855"/>
      <c r="BR460" s="855"/>
      <c r="BS460" s="855"/>
      <c r="BT460" s="855">
        <v>658.4</v>
      </c>
      <c r="BU460" s="855"/>
      <c r="BV460" s="855"/>
      <c r="BW460" s="855"/>
      <c r="BX460" s="855"/>
      <c r="BY460" s="855"/>
      <c r="BZ460" s="855"/>
      <c r="CA460" s="855"/>
      <c r="CB460" s="855"/>
      <c r="CC460" s="855"/>
      <c r="CD460" s="855"/>
      <c r="CE460" s="855"/>
      <c r="CF460" s="848">
        <f>BO460/AY460%</f>
        <v>50.646153846153844</v>
      </c>
      <c r="CG460" s="848"/>
      <c r="CH460" s="848"/>
      <c r="CI460" s="848"/>
      <c r="CJ460" s="848"/>
      <c r="CK460" s="848">
        <f t="shared" si="423"/>
        <v>50.646153846153844</v>
      </c>
      <c r="CL460" s="848"/>
      <c r="CM460" s="848"/>
      <c r="CN460" s="848"/>
      <c r="CO460" s="848"/>
      <c r="CP460" s="848"/>
      <c r="CQ460" s="848"/>
      <c r="CR460" s="848"/>
      <c r="CS460" s="848"/>
      <c r="CT460" s="848"/>
      <c r="CU460" s="848"/>
      <c r="CV460" s="848"/>
      <c r="CW460" s="848"/>
    </row>
    <row r="461" spans="1:101" ht="45.6" customHeight="1">
      <c r="A461" s="845"/>
      <c r="B461" s="852" t="s">
        <v>409</v>
      </c>
      <c r="C461" s="852" t="s">
        <v>1104</v>
      </c>
      <c r="D461" s="846"/>
      <c r="E461" s="845"/>
      <c r="F461" s="853" t="s">
        <v>1105</v>
      </c>
      <c r="G461" s="846" t="s">
        <v>1106</v>
      </c>
      <c r="H461" s="850">
        <f t="shared" si="352"/>
        <v>1089</v>
      </c>
      <c r="I461" s="860"/>
      <c r="J461" s="848"/>
      <c r="K461" s="860">
        <v>1089</v>
      </c>
      <c r="L461" s="848"/>
      <c r="M461" s="848"/>
      <c r="N461" s="848"/>
      <c r="O461" s="848"/>
      <c r="P461" s="848"/>
      <c r="Q461" s="848"/>
      <c r="R461" s="848"/>
      <c r="S461" s="848"/>
      <c r="T461" s="855">
        <f t="shared" si="341"/>
        <v>0</v>
      </c>
      <c r="U461" s="848"/>
      <c r="V461" s="848"/>
      <c r="W461" s="848"/>
      <c r="X461" s="848"/>
      <c r="Y461" s="848"/>
      <c r="Z461" s="848"/>
      <c r="AA461" s="848"/>
      <c r="AB461" s="848"/>
      <c r="AC461" s="848"/>
      <c r="AD461" s="848"/>
      <c r="AE461" s="848"/>
      <c r="AF461" s="848"/>
      <c r="AG461" s="848"/>
      <c r="AH461" s="855"/>
      <c r="AI461" s="855">
        <f>AX461</f>
        <v>0</v>
      </c>
      <c r="AJ461" s="855"/>
      <c r="AK461" s="855"/>
      <c r="AL461" s="855"/>
      <c r="AM461" s="855"/>
      <c r="AN461" s="855"/>
      <c r="AO461" s="855"/>
      <c r="AP461" s="855"/>
      <c r="AQ461" s="855"/>
      <c r="AR461" s="855"/>
      <c r="AS461" s="855"/>
      <c r="AT461" s="855"/>
      <c r="AU461" s="855"/>
      <c r="AV461" s="855"/>
      <c r="AW461" s="855"/>
      <c r="AX461" s="855"/>
      <c r="AY461" s="855">
        <f t="shared" si="424"/>
        <v>500</v>
      </c>
      <c r="AZ461" s="855"/>
      <c r="BA461" s="855"/>
      <c r="BB461" s="855"/>
      <c r="BC461" s="855"/>
      <c r="BD461" s="855">
        <f>'[10]bieu cu'!H246</f>
        <v>500</v>
      </c>
      <c r="BE461" s="855"/>
      <c r="BF461" s="855"/>
      <c r="BG461" s="855"/>
      <c r="BH461" s="855"/>
      <c r="BI461" s="855"/>
      <c r="BJ461" s="855"/>
      <c r="BK461" s="855"/>
      <c r="BL461" s="855"/>
      <c r="BM461" s="855"/>
      <c r="BN461" s="855"/>
      <c r="BO461" s="848">
        <f t="shared" si="421"/>
        <v>500</v>
      </c>
      <c r="BP461" s="855"/>
      <c r="BQ461" s="855"/>
      <c r="BR461" s="855"/>
      <c r="BS461" s="855"/>
      <c r="BT461" s="855">
        <f>'[10]bieu cu'!M246</f>
        <v>500</v>
      </c>
      <c r="BU461" s="855"/>
      <c r="BV461" s="855"/>
      <c r="BW461" s="855"/>
      <c r="BX461" s="855"/>
      <c r="BY461" s="855"/>
      <c r="BZ461" s="855"/>
      <c r="CA461" s="855"/>
      <c r="CB461" s="855"/>
      <c r="CC461" s="855"/>
      <c r="CD461" s="855"/>
      <c r="CE461" s="855"/>
      <c r="CF461" s="848">
        <f>BO461/AY461%</f>
        <v>100</v>
      </c>
      <c r="CG461" s="848"/>
      <c r="CH461" s="848"/>
      <c r="CI461" s="848"/>
      <c r="CJ461" s="848"/>
      <c r="CK461" s="848">
        <f t="shared" si="423"/>
        <v>100</v>
      </c>
      <c r="CL461" s="848"/>
      <c r="CM461" s="848"/>
      <c r="CN461" s="848"/>
      <c r="CO461" s="848"/>
      <c r="CP461" s="848"/>
      <c r="CQ461" s="848"/>
      <c r="CR461" s="848"/>
      <c r="CS461" s="848"/>
      <c r="CT461" s="848"/>
      <c r="CU461" s="848"/>
      <c r="CV461" s="848"/>
      <c r="CW461" s="848"/>
    </row>
    <row r="462" spans="1:101" s="851" customFormat="1" ht="26.45" customHeight="1">
      <c r="A462" s="845" t="s">
        <v>8</v>
      </c>
      <c r="B462" s="845"/>
      <c r="C462" s="857" t="s">
        <v>1083</v>
      </c>
      <c r="D462" s="846">
        <f>D463+D467</f>
        <v>0</v>
      </c>
      <c r="E462" s="845">
        <f t="shared" ref="E462:CE462" si="425">E463+E467</f>
        <v>0</v>
      </c>
      <c r="F462" s="847">
        <f t="shared" si="425"/>
        <v>0</v>
      </c>
      <c r="G462" s="845">
        <f t="shared" si="425"/>
        <v>0</v>
      </c>
      <c r="H462" s="850">
        <f t="shared" si="352"/>
        <v>125666</v>
      </c>
      <c r="I462" s="848">
        <f t="shared" si="425"/>
        <v>0</v>
      </c>
      <c r="J462" s="848">
        <f t="shared" si="425"/>
        <v>0</v>
      </c>
      <c r="K462" s="848">
        <f t="shared" si="425"/>
        <v>0</v>
      </c>
      <c r="L462" s="848">
        <f t="shared" si="425"/>
        <v>0</v>
      </c>
      <c r="M462" s="848">
        <f t="shared" si="425"/>
        <v>0</v>
      </c>
      <c r="N462" s="848">
        <f t="shared" si="425"/>
        <v>0</v>
      </c>
      <c r="O462" s="848">
        <f t="shared" si="425"/>
        <v>0</v>
      </c>
      <c r="P462" s="848">
        <f t="shared" si="425"/>
        <v>0</v>
      </c>
      <c r="Q462" s="848">
        <f t="shared" si="425"/>
        <v>0</v>
      </c>
      <c r="R462" s="848">
        <v>22554</v>
      </c>
      <c r="S462" s="848">
        <f t="shared" si="425"/>
        <v>103112</v>
      </c>
      <c r="T462" s="848">
        <f t="shared" si="425"/>
        <v>45283.256450000001</v>
      </c>
      <c r="U462" s="848">
        <f t="shared" si="425"/>
        <v>0</v>
      </c>
      <c r="V462" s="848">
        <f t="shared" si="425"/>
        <v>0</v>
      </c>
      <c r="W462" s="848">
        <f t="shared" si="425"/>
        <v>0</v>
      </c>
      <c r="X462" s="848">
        <f t="shared" si="425"/>
        <v>3185.2825929999999</v>
      </c>
      <c r="Y462" s="848">
        <f t="shared" si="425"/>
        <v>0</v>
      </c>
      <c r="Z462" s="848">
        <f t="shared" si="425"/>
        <v>0</v>
      </c>
      <c r="AA462" s="848">
        <f t="shared" si="425"/>
        <v>0</v>
      </c>
      <c r="AB462" s="848">
        <f t="shared" si="425"/>
        <v>0</v>
      </c>
      <c r="AC462" s="848">
        <f t="shared" si="425"/>
        <v>0</v>
      </c>
      <c r="AD462" s="848"/>
      <c r="AE462" s="848"/>
      <c r="AF462" s="848">
        <f t="shared" si="425"/>
        <v>0</v>
      </c>
      <c r="AG462" s="848">
        <f t="shared" si="425"/>
        <v>0</v>
      </c>
      <c r="AH462" s="848">
        <f t="shared" si="425"/>
        <v>42097.973856999997</v>
      </c>
      <c r="AI462" s="848">
        <f t="shared" si="425"/>
        <v>41631</v>
      </c>
      <c r="AJ462" s="848">
        <f t="shared" si="425"/>
        <v>0</v>
      </c>
      <c r="AK462" s="848">
        <f t="shared" si="425"/>
        <v>0</v>
      </c>
      <c r="AL462" s="848">
        <f t="shared" si="425"/>
        <v>0</v>
      </c>
      <c r="AM462" s="848">
        <f t="shared" si="425"/>
        <v>3439</v>
      </c>
      <c r="AN462" s="848">
        <f t="shared" si="425"/>
        <v>0</v>
      </c>
      <c r="AO462" s="848">
        <f t="shared" si="425"/>
        <v>0</v>
      </c>
      <c r="AP462" s="848">
        <f t="shared" si="425"/>
        <v>0</v>
      </c>
      <c r="AQ462" s="848">
        <f t="shared" si="425"/>
        <v>0</v>
      </c>
      <c r="AR462" s="848">
        <f t="shared" si="425"/>
        <v>0</v>
      </c>
      <c r="AS462" s="848"/>
      <c r="AT462" s="848">
        <f t="shared" si="425"/>
        <v>0</v>
      </c>
      <c r="AU462" s="848">
        <f t="shared" si="425"/>
        <v>0</v>
      </c>
      <c r="AV462" s="848">
        <f t="shared" si="425"/>
        <v>0</v>
      </c>
      <c r="AW462" s="848">
        <f t="shared" si="425"/>
        <v>0</v>
      </c>
      <c r="AX462" s="848">
        <f t="shared" si="425"/>
        <v>38192</v>
      </c>
      <c r="AY462" s="848">
        <f t="shared" si="425"/>
        <v>16236</v>
      </c>
      <c r="AZ462" s="848">
        <f t="shared" si="425"/>
        <v>0</v>
      </c>
      <c r="BA462" s="848">
        <f t="shared" si="425"/>
        <v>0</v>
      </c>
      <c r="BB462" s="848">
        <f t="shared" si="425"/>
        <v>0</v>
      </c>
      <c r="BC462" s="848">
        <f t="shared" si="425"/>
        <v>0</v>
      </c>
      <c r="BD462" s="848">
        <f t="shared" si="425"/>
        <v>3061</v>
      </c>
      <c r="BE462" s="848">
        <f t="shared" si="425"/>
        <v>0</v>
      </c>
      <c r="BF462" s="848">
        <f t="shared" si="425"/>
        <v>0</v>
      </c>
      <c r="BG462" s="848">
        <f t="shared" si="425"/>
        <v>0</v>
      </c>
      <c r="BH462" s="848">
        <f t="shared" si="425"/>
        <v>0</v>
      </c>
      <c r="BI462" s="848">
        <f t="shared" si="425"/>
        <v>0</v>
      </c>
      <c r="BJ462" s="848">
        <f t="shared" si="425"/>
        <v>0</v>
      </c>
      <c r="BK462" s="848">
        <f t="shared" si="425"/>
        <v>0</v>
      </c>
      <c r="BL462" s="848">
        <f t="shared" si="425"/>
        <v>0</v>
      </c>
      <c r="BM462" s="848">
        <f t="shared" si="425"/>
        <v>0</v>
      </c>
      <c r="BN462" s="848">
        <f>BN463+BN467</f>
        <v>13175</v>
      </c>
      <c r="BO462" s="848">
        <f t="shared" si="421"/>
        <v>14798.832076999999</v>
      </c>
      <c r="BP462" s="848">
        <f t="shared" si="425"/>
        <v>0</v>
      </c>
      <c r="BQ462" s="848">
        <f t="shared" si="425"/>
        <v>0</v>
      </c>
      <c r="BR462" s="848">
        <f t="shared" si="425"/>
        <v>0</v>
      </c>
      <c r="BS462" s="848">
        <f t="shared" si="425"/>
        <v>0</v>
      </c>
      <c r="BT462" s="848">
        <f t="shared" si="425"/>
        <v>4826.2969999999996</v>
      </c>
      <c r="BU462" s="848">
        <f t="shared" si="425"/>
        <v>0</v>
      </c>
      <c r="BV462" s="848">
        <f t="shared" si="425"/>
        <v>0</v>
      </c>
      <c r="BW462" s="848">
        <f t="shared" si="425"/>
        <v>0</v>
      </c>
      <c r="BX462" s="848">
        <f t="shared" si="425"/>
        <v>0</v>
      </c>
      <c r="BY462" s="848">
        <f t="shared" si="425"/>
        <v>0</v>
      </c>
      <c r="BZ462" s="848">
        <f t="shared" si="425"/>
        <v>0</v>
      </c>
      <c r="CA462" s="848">
        <f t="shared" si="425"/>
        <v>0</v>
      </c>
      <c r="CB462" s="848">
        <f t="shared" si="425"/>
        <v>0</v>
      </c>
      <c r="CC462" s="848">
        <f t="shared" si="425"/>
        <v>0</v>
      </c>
      <c r="CD462" s="848">
        <f t="shared" si="425"/>
        <v>0</v>
      </c>
      <c r="CE462" s="848">
        <f t="shared" si="425"/>
        <v>9972.5350770000005</v>
      </c>
      <c r="CF462" s="848">
        <f>BO462/AY462%</f>
        <v>91.148263593249553</v>
      </c>
      <c r="CG462" s="848"/>
      <c r="CH462" s="848"/>
      <c r="CI462" s="848"/>
      <c r="CJ462" s="848"/>
      <c r="CK462" s="848">
        <f t="shared" si="423"/>
        <v>157.67059784384188</v>
      </c>
      <c r="CL462" s="848"/>
      <c r="CM462" s="848"/>
      <c r="CN462" s="848"/>
      <c r="CO462" s="848"/>
      <c r="CP462" s="848"/>
      <c r="CQ462" s="848"/>
      <c r="CR462" s="848"/>
      <c r="CS462" s="848"/>
      <c r="CT462" s="848"/>
      <c r="CU462" s="848"/>
      <c r="CV462" s="848"/>
      <c r="CW462" s="848">
        <f t="shared" ref="CW462:CW522" si="426">CE462/BN462*100</f>
        <v>75.692865859582554</v>
      </c>
    </row>
    <row r="463" spans="1:101" ht="31.15" customHeight="1">
      <c r="A463" s="845" t="s">
        <v>30</v>
      </c>
      <c r="B463" s="845"/>
      <c r="C463" s="857" t="s">
        <v>1076</v>
      </c>
      <c r="D463" s="846">
        <f>D464+D465</f>
        <v>0</v>
      </c>
      <c r="E463" s="845">
        <f t="shared" ref="E463:CD463" si="427">E464+E465</f>
        <v>0</v>
      </c>
      <c r="F463" s="847"/>
      <c r="G463" s="845"/>
      <c r="H463" s="850">
        <f t="shared" si="352"/>
        <v>55689</v>
      </c>
      <c r="I463" s="848">
        <f t="shared" si="427"/>
        <v>0</v>
      </c>
      <c r="J463" s="848">
        <f t="shared" si="427"/>
        <v>0</v>
      </c>
      <c r="K463" s="848">
        <f t="shared" si="427"/>
        <v>0</v>
      </c>
      <c r="L463" s="848">
        <f t="shared" si="427"/>
        <v>0</v>
      </c>
      <c r="M463" s="848">
        <f t="shared" si="427"/>
        <v>0</v>
      </c>
      <c r="N463" s="848">
        <f t="shared" si="427"/>
        <v>0</v>
      </c>
      <c r="O463" s="848">
        <f t="shared" si="427"/>
        <v>0</v>
      </c>
      <c r="P463" s="848">
        <f t="shared" si="427"/>
        <v>0</v>
      </c>
      <c r="Q463" s="848">
        <f t="shared" si="427"/>
        <v>0</v>
      </c>
      <c r="R463" s="848">
        <v>6454</v>
      </c>
      <c r="S463" s="848">
        <f t="shared" si="427"/>
        <v>49235</v>
      </c>
      <c r="T463" s="848">
        <f t="shared" si="427"/>
        <v>45036.973449999998</v>
      </c>
      <c r="U463" s="848">
        <f t="shared" si="427"/>
        <v>0</v>
      </c>
      <c r="V463" s="848">
        <f t="shared" si="427"/>
        <v>0</v>
      </c>
      <c r="W463" s="848">
        <f t="shared" si="427"/>
        <v>0</v>
      </c>
      <c r="X463" s="848">
        <f t="shared" si="427"/>
        <v>2938.999593</v>
      </c>
      <c r="Y463" s="848">
        <f t="shared" si="427"/>
        <v>0</v>
      </c>
      <c r="Z463" s="848">
        <f t="shared" si="427"/>
        <v>0</v>
      </c>
      <c r="AA463" s="848">
        <f t="shared" si="427"/>
        <v>0</v>
      </c>
      <c r="AB463" s="848">
        <f t="shared" si="427"/>
        <v>0</v>
      </c>
      <c r="AC463" s="848">
        <f t="shared" si="427"/>
        <v>0</v>
      </c>
      <c r="AD463" s="848"/>
      <c r="AE463" s="848"/>
      <c r="AF463" s="848">
        <f t="shared" si="427"/>
        <v>0</v>
      </c>
      <c r="AG463" s="848">
        <f t="shared" si="427"/>
        <v>0</v>
      </c>
      <c r="AH463" s="848">
        <f t="shared" si="427"/>
        <v>42097.973856999997</v>
      </c>
      <c r="AI463" s="848">
        <f t="shared" si="427"/>
        <v>41131</v>
      </c>
      <c r="AJ463" s="848">
        <f t="shared" si="427"/>
        <v>0</v>
      </c>
      <c r="AK463" s="848">
        <f t="shared" si="427"/>
        <v>0</v>
      </c>
      <c r="AL463" s="848">
        <f t="shared" si="427"/>
        <v>0</v>
      </c>
      <c r="AM463" s="848">
        <f t="shared" si="427"/>
        <v>2939</v>
      </c>
      <c r="AN463" s="848">
        <f t="shared" si="427"/>
        <v>0</v>
      </c>
      <c r="AO463" s="848">
        <f t="shared" si="427"/>
        <v>0</v>
      </c>
      <c r="AP463" s="848">
        <f t="shared" si="427"/>
        <v>0</v>
      </c>
      <c r="AQ463" s="848">
        <f t="shared" si="427"/>
        <v>0</v>
      </c>
      <c r="AR463" s="848">
        <f t="shared" si="427"/>
        <v>0</v>
      </c>
      <c r="AS463" s="848"/>
      <c r="AT463" s="848">
        <f t="shared" si="427"/>
        <v>0</v>
      </c>
      <c r="AU463" s="848">
        <f t="shared" si="427"/>
        <v>0</v>
      </c>
      <c r="AV463" s="848">
        <f t="shared" si="427"/>
        <v>0</v>
      </c>
      <c r="AW463" s="848">
        <f t="shared" si="427"/>
        <v>0</v>
      </c>
      <c r="AX463" s="848">
        <f t="shared" si="427"/>
        <v>38192</v>
      </c>
      <c r="AY463" s="848">
        <f t="shared" si="427"/>
        <v>4198</v>
      </c>
      <c r="AZ463" s="848">
        <f t="shared" si="427"/>
        <v>0</v>
      </c>
      <c r="BA463" s="848">
        <f t="shared" si="427"/>
        <v>0</v>
      </c>
      <c r="BB463" s="848">
        <f t="shared" si="427"/>
        <v>0</v>
      </c>
      <c r="BC463" s="848">
        <f t="shared" si="427"/>
        <v>0</v>
      </c>
      <c r="BD463" s="848">
        <f t="shared" si="427"/>
        <v>2061</v>
      </c>
      <c r="BE463" s="848">
        <f t="shared" si="427"/>
        <v>0</v>
      </c>
      <c r="BF463" s="848">
        <f t="shared" si="427"/>
        <v>0</v>
      </c>
      <c r="BG463" s="848">
        <f t="shared" si="427"/>
        <v>0</v>
      </c>
      <c r="BH463" s="848">
        <f t="shared" si="427"/>
        <v>0</v>
      </c>
      <c r="BI463" s="848">
        <f t="shared" si="427"/>
        <v>0</v>
      </c>
      <c r="BJ463" s="848">
        <f t="shared" si="427"/>
        <v>0</v>
      </c>
      <c r="BK463" s="848">
        <f t="shared" si="427"/>
        <v>0</v>
      </c>
      <c r="BL463" s="848">
        <f t="shared" si="427"/>
        <v>0</v>
      </c>
      <c r="BM463" s="848">
        <f t="shared" si="427"/>
        <v>0</v>
      </c>
      <c r="BN463" s="848">
        <f t="shared" si="427"/>
        <v>2137</v>
      </c>
      <c r="BO463" s="848">
        <f t="shared" si="421"/>
        <v>8765.3729999999996</v>
      </c>
      <c r="BP463" s="848">
        <f t="shared" si="427"/>
        <v>0</v>
      </c>
      <c r="BQ463" s="848">
        <f t="shared" si="427"/>
        <v>0</v>
      </c>
      <c r="BR463" s="848">
        <f t="shared" si="427"/>
        <v>0</v>
      </c>
      <c r="BS463" s="848">
        <f t="shared" si="427"/>
        <v>0</v>
      </c>
      <c r="BT463" s="848">
        <f t="shared" si="427"/>
        <v>4791.2969999999996</v>
      </c>
      <c r="BU463" s="848">
        <f t="shared" si="427"/>
        <v>0</v>
      </c>
      <c r="BV463" s="848">
        <f t="shared" si="427"/>
        <v>0</v>
      </c>
      <c r="BW463" s="848">
        <f t="shared" si="427"/>
        <v>0</v>
      </c>
      <c r="BX463" s="848">
        <f t="shared" si="427"/>
        <v>0</v>
      </c>
      <c r="BY463" s="848">
        <f t="shared" si="427"/>
        <v>0</v>
      </c>
      <c r="BZ463" s="848">
        <f t="shared" si="427"/>
        <v>0</v>
      </c>
      <c r="CA463" s="848">
        <f t="shared" si="427"/>
        <v>0</v>
      </c>
      <c r="CB463" s="848">
        <f t="shared" si="427"/>
        <v>0</v>
      </c>
      <c r="CC463" s="848">
        <f t="shared" si="427"/>
        <v>0</v>
      </c>
      <c r="CD463" s="848">
        <f t="shared" si="427"/>
        <v>0</v>
      </c>
      <c r="CE463" s="848">
        <f>CE464+CE465+CE466</f>
        <v>3974.076</v>
      </c>
      <c r="CF463" s="848">
        <f t="shared" ref="CF463:CS463" si="428">CF464+CF465</f>
        <v>332.47438136826781</v>
      </c>
      <c r="CG463" s="848"/>
      <c r="CH463" s="848"/>
      <c r="CI463" s="848"/>
      <c r="CJ463" s="848"/>
      <c r="CK463" s="848">
        <f t="shared" si="423"/>
        <v>232.47438136826779</v>
      </c>
      <c r="CL463" s="848"/>
      <c r="CM463" s="848"/>
      <c r="CN463" s="848"/>
      <c r="CO463" s="848"/>
      <c r="CP463" s="848"/>
      <c r="CQ463" s="848"/>
      <c r="CR463" s="848"/>
      <c r="CS463" s="848">
        <f t="shared" si="428"/>
        <v>0</v>
      </c>
      <c r="CT463" s="848"/>
      <c r="CU463" s="848"/>
      <c r="CV463" s="848"/>
      <c r="CW463" s="848">
        <f t="shared" si="426"/>
        <v>185.96518483855874</v>
      </c>
    </row>
    <row r="464" spans="1:101" ht="27" customHeight="1">
      <c r="A464" s="845"/>
      <c r="B464" s="852" t="s">
        <v>677</v>
      </c>
      <c r="C464" s="852" t="s">
        <v>1107</v>
      </c>
      <c r="D464" s="846"/>
      <c r="E464" s="845"/>
      <c r="F464" s="896" t="s">
        <v>1010</v>
      </c>
      <c r="G464" s="846" t="s">
        <v>1108</v>
      </c>
      <c r="H464" s="850">
        <f t="shared" si="352"/>
        <v>49149</v>
      </c>
      <c r="I464" s="850"/>
      <c r="J464" s="848"/>
      <c r="K464" s="848"/>
      <c r="L464" s="848"/>
      <c r="M464" s="848"/>
      <c r="N464" s="848"/>
      <c r="O464" s="848"/>
      <c r="P464" s="848"/>
      <c r="Q464" s="848"/>
      <c r="R464" s="855">
        <v>4914</v>
      </c>
      <c r="S464" s="850">
        <v>44235</v>
      </c>
      <c r="T464" s="855">
        <f t="shared" si="341"/>
        <v>42097.973856999997</v>
      </c>
      <c r="U464" s="848"/>
      <c r="V464" s="848"/>
      <c r="W464" s="848"/>
      <c r="X464" s="848"/>
      <c r="Y464" s="848"/>
      <c r="Z464" s="848"/>
      <c r="AA464" s="848"/>
      <c r="AB464" s="848"/>
      <c r="AC464" s="848"/>
      <c r="AD464" s="848"/>
      <c r="AE464" s="848"/>
      <c r="AF464" s="848"/>
      <c r="AG464" s="848"/>
      <c r="AH464" s="855">
        <v>42097.973856999997</v>
      </c>
      <c r="AI464" s="855">
        <f>AX464</f>
        <v>38192</v>
      </c>
      <c r="AJ464" s="855"/>
      <c r="AK464" s="855"/>
      <c r="AL464" s="855"/>
      <c r="AM464" s="855"/>
      <c r="AN464" s="855"/>
      <c r="AO464" s="855"/>
      <c r="AP464" s="855"/>
      <c r="AQ464" s="855"/>
      <c r="AR464" s="855"/>
      <c r="AS464" s="855"/>
      <c r="AT464" s="855"/>
      <c r="AU464" s="855"/>
      <c r="AV464" s="855"/>
      <c r="AW464" s="855"/>
      <c r="AX464" s="855">
        <v>38192</v>
      </c>
      <c r="AY464" s="855">
        <f t="shared" ref="AY464:AY465" si="429">SUM(AZ464:BN464)</f>
        <v>2137</v>
      </c>
      <c r="AZ464" s="855"/>
      <c r="BA464" s="855"/>
      <c r="BB464" s="855"/>
      <c r="BC464" s="855"/>
      <c r="BD464" s="855"/>
      <c r="BE464" s="855"/>
      <c r="BF464" s="855"/>
      <c r="BG464" s="855"/>
      <c r="BH464" s="855"/>
      <c r="BI464" s="855"/>
      <c r="BJ464" s="855"/>
      <c r="BK464" s="855"/>
      <c r="BL464" s="855"/>
      <c r="BM464" s="855"/>
      <c r="BN464" s="855">
        <f>'[10]bieu cu'!H195</f>
        <v>2137</v>
      </c>
      <c r="BO464" s="848">
        <f t="shared" si="421"/>
        <v>2137</v>
      </c>
      <c r="BP464" s="855"/>
      <c r="BQ464" s="855"/>
      <c r="BR464" s="855"/>
      <c r="BS464" s="855"/>
      <c r="BT464" s="855"/>
      <c r="BU464" s="855"/>
      <c r="BV464" s="855"/>
      <c r="BW464" s="855"/>
      <c r="BX464" s="855"/>
      <c r="BY464" s="855"/>
      <c r="BZ464" s="855"/>
      <c r="CA464" s="855"/>
      <c r="CB464" s="855"/>
      <c r="CC464" s="855"/>
      <c r="CD464" s="855"/>
      <c r="CE464" s="855">
        <f>'[10]bieu cu'!M195</f>
        <v>2137</v>
      </c>
      <c r="CF464" s="848">
        <f>BO464/AY464%</f>
        <v>100</v>
      </c>
      <c r="CG464" s="848"/>
      <c r="CH464" s="848"/>
      <c r="CI464" s="848"/>
      <c r="CJ464" s="848"/>
      <c r="CK464" s="848"/>
      <c r="CL464" s="848"/>
      <c r="CM464" s="848"/>
      <c r="CN464" s="848"/>
      <c r="CO464" s="848"/>
      <c r="CP464" s="848"/>
      <c r="CQ464" s="848"/>
      <c r="CR464" s="848"/>
      <c r="CS464" s="848"/>
      <c r="CT464" s="848"/>
      <c r="CU464" s="848"/>
      <c r="CV464" s="848"/>
      <c r="CW464" s="848">
        <f t="shared" si="426"/>
        <v>100</v>
      </c>
    </row>
    <row r="465" spans="1:101" ht="27" customHeight="1">
      <c r="A465" s="845"/>
      <c r="B465" s="852" t="s">
        <v>677</v>
      </c>
      <c r="C465" s="852" t="s">
        <v>1109</v>
      </c>
      <c r="D465" s="846"/>
      <c r="E465" s="845"/>
      <c r="F465" s="853" t="s">
        <v>1065</v>
      </c>
      <c r="G465" s="846" t="s">
        <v>1110</v>
      </c>
      <c r="H465" s="850">
        <f t="shared" si="352"/>
        <v>6540</v>
      </c>
      <c r="I465" s="876"/>
      <c r="J465" s="848"/>
      <c r="K465" s="848"/>
      <c r="L465" s="848"/>
      <c r="M465" s="848"/>
      <c r="N465" s="848"/>
      <c r="O465" s="848"/>
      <c r="P465" s="848"/>
      <c r="Q465" s="848"/>
      <c r="R465" s="855">
        <v>1540</v>
      </c>
      <c r="S465" s="876">
        <v>5000</v>
      </c>
      <c r="T465" s="855">
        <f t="shared" si="341"/>
        <v>2938.999593</v>
      </c>
      <c r="U465" s="848"/>
      <c r="V465" s="848"/>
      <c r="W465" s="848"/>
      <c r="X465" s="855">
        <v>2938.999593</v>
      </c>
      <c r="Y465" s="848"/>
      <c r="Z465" s="848"/>
      <c r="AA465" s="848"/>
      <c r="AB465" s="848"/>
      <c r="AC465" s="848"/>
      <c r="AD465" s="848"/>
      <c r="AE465" s="848"/>
      <c r="AF465" s="848"/>
      <c r="AG465" s="848"/>
      <c r="AH465" s="855"/>
      <c r="AI465" s="855">
        <f>AM465</f>
        <v>2939</v>
      </c>
      <c r="AJ465" s="855"/>
      <c r="AK465" s="855"/>
      <c r="AL465" s="855"/>
      <c r="AM465" s="855">
        <v>2939</v>
      </c>
      <c r="AN465" s="855"/>
      <c r="AO465" s="855"/>
      <c r="AP465" s="855"/>
      <c r="AQ465" s="855"/>
      <c r="AR465" s="855"/>
      <c r="AS465" s="855"/>
      <c r="AT465" s="855"/>
      <c r="AU465" s="855"/>
      <c r="AV465" s="855"/>
      <c r="AW465" s="855"/>
      <c r="AX465" s="855"/>
      <c r="AY465" s="855">
        <f t="shared" si="429"/>
        <v>2061</v>
      </c>
      <c r="AZ465" s="855"/>
      <c r="BA465" s="855"/>
      <c r="BB465" s="855"/>
      <c r="BC465" s="855"/>
      <c r="BD465" s="855">
        <f>'[10]bieu cu'!H235</f>
        <v>2061</v>
      </c>
      <c r="BE465" s="855"/>
      <c r="BF465" s="855"/>
      <c r="BG465" s="855"/>
      <c r="BH465" s="855"/>
      <c r="BI465" s="855"/>
      <c r="BJ465" s="855"/>
      <c r="BK465" s="855"/>
      <c r="BL465" s="855"/>
      <c r="BM465" s="855"/>
      <c r="BN465" s="855"/>
      <c r="BO465" s="848">
        <f t="shared" si="421"/>
        <v>4791.2969999999996</v>
      </c>
      <c r="BP465" s="855"/>
      <c r="BQ465" s="855"/>
      <c r="BR465" s="855"/>
      <c r="BS465" s="855"/>
      <c r="BT465" s="855">
        <v>4791.2969999999996</v>
      </c>
      <c r="BU465" s="855"/>
      <c r="BV465" s="855"/>
      <c r="BW465" s="855"/>
      <c r="BX465" s="855"/>
      <c r="BY465" s="855"/>
      <c r="BZ465" s="855"/>
      <c r="CA465" s="855"/>
      <c r="CB465" s="855"/>
      <c r="CC465" s="855"/>
      <c r="CD465" s="855"/>
      <c r="CE465" s="855"/>
      <c r="CF465" s="848">
        <f>BO465/AY465%</f>
        <v>232.47438136826781</v>
      </c>
      <c r="CG465" s="848"/>
      <c r="CH465" s="848"/>
      <c r="CI465" s="848"/>
      <c r="CJ465" s="848"/>
      <c r="CK465" s="848">
        <f t="shared" si="423"/>
        <v>232.47438136826779</v>
      </c>
      <c r="CL465" s="848"/>
      <c r="CM465" s="848"/>
      <c r="CN465" s="848"/>
      <c r="CO465" s="848"/>
      <c r="CP465" s="848"/>
      <c r="CQ465" s="848"/>
      <c r="CR465" s="848"/>
      <c r="CS465" s="848"/>
      <c r="CT465" s="848"/>
      <c r="CU465" s="848"/>
      <c r="CV465" s="848"/>
      <c r="CW465" s="848"/>
    </row>
    <row r="466" spans="1:101" ht="27" customHeight="1">
      <c r="A466" s="845"/>
      <c r="B466" s="852" t="s">
        <v>677</v>
      </c>
      <c r="C466" s="893" t="s">
        <v>1111</v>
      </c>
      <c r="D466" s="846"/>
      <c r="E466" s="845"/>
      <c r="F466" s="853"/>
      <c r="G466" s="902" t="s">
        <v>1112</v>
      </c>
      <c r="H466" s="850">
        <f t="shared" si="352"/>
        <v>5493</v>
      </c>
      <c r="I466" s="876"/>
      <c r="J466" s="848"/>
      <c r="K466" s="848"/>
      <c r="L466" s="848"/>
      <c r="M466" s="848"/>
      <c r="N466" s="848"/>
      <c r="O466" s="848"/>
      <c r="P466" s="848"/>
      <c r="Q466" s="848"/>
      <c r="R466" s="855">
        <v>3493</v>
      </c>
      <c r="S466" s="855">
        <v>2000</v>
      </c>
      <c r="T466" s="855">
        <f t="shared" si="341"/>
        <v>2000</v>
      </c>
      <c r="U466" s="848"/>
      <c r="V466" s="848"/>
      <c r="W466" s="848"/>
      <c r="X466" s="848"/>
      <c r="Y466" s="848"/>
      <c r="Z466" s="848"/>
      <c r="AA466" s="848"/>
      <c r="AB466" s="848"/>
      <c r="AC466" s="848"/>
      <c r="AD466" s="848"/>
      <c r="AE466" s="848"/>
      <c r="AF466" s="848"/>
      <c r="AG466" s="848"/>
      <c r="AH466" s="855">
        <v>2000</v>
      </c>
      <c r="AI466" s="855">
        <f>AX466</f>
        <v>2000</v>
      </c>
      <c r="AJ466" s="855"/>
      <c r="AK466" s="855"/>
      <c r="AL466" s="855"/>
      <c r="AM466" s="855"/>
      <c r="AN466" s="855"/>
      <c r="AO466" s="855"/>
      <c r="AP466" s="855"/>
      <c r="AQ466" s="855"/>
      <c r="AR466" s="855"/>
      <c r="AS466" s="855"/>
      <c r="AT466" s="855"/>
      <c r="AU466" s="855"/>
      <c r="AV466" s="855"/>
      <c r="AW466" s="855"/>
      <c r="AX466" s="855">
        <v>2000</v>
      </c>
      <c r="AY466" s="855"/>
      <c r="AZ466" s="855"/>
      <c r="BA466" s="855"/>
      <c r="BB466" s="855"/>
      <c r="BC466" s="855"/>
      <c r="BD466" s="855"/>
      <c r="BE466" s="855"/>
      <c r="BF466" s="855"/>
      <c r="BG466" s="855"/>
      <c r="BH466" s="855"/>
      <c r="BI466" s="855"/>
      <c r="BJ466" s="855"/>
      <c r="BK466" s="855"/>
      <c r="BL466" s="855"/>
      <c r="BM466" s="855"/>
      <c r="BN466" s="855"/>
      <c r="BO466" s="848">
        <f t="shared" si="421"/>
        <v>1837.076</v>
      </c>
      <c r="BP466" s="855"/>
      <c r="BQ466" s="855"/>
      <c r="BR466" s="855"/>
      <c r="BS466" s="855"/>
      <c r="BT466" s="855"/>
      <c r="BU466" s="855"/>
      <c r="BV466" s="855"/>
      <c r="BW466" s="855"/>
      <c r="BX466" s="855"/>
      <c r="BY466" s="855"/>
      <c r="BZ466" s="855"/>
      <c r="CA466" s="855"/>
      <c r="CB466" s="855"/>
      <c r="CC466" s="855"/>
      <c r="CD466" s="855"/>
      <c r="CE466" s="855">
        <v>1837.076</v>
      </c>
      <c r="CF466" s="848"/>
      <c r="CG466" s="848"/>
      <c r="CH466" s="848"/>
      <c r="CI466" s="848"/>
      <c r="CJ466" s="848"/>
      <c r="CK466" s="848"/>
      <c r="CL466" s="848"/>
      <c r="CM466" s="848"/>
      <c r="CN466" s="848"/>
      <c r="CO466" s="848"/>
      <c r="CP466" s="848"/>
      <c r="CQ466" s="848"/>
      <c r="CR466" s="848"/>
      <c r="CS466" s="848"/>
      <c r="CT466" s="848"/>
      <c r="CU466" s="848"/>
      <c r="CV466" s="848"/>
      <c r="CW466" s="848"/>
    </row>
    <row r="467" spans="1:101" ht="27" customHeight="1">
      <c r="A467" s="845" t="s">
        <v>31</v>
      </c>
      <c r="B467" s="852"/>
      <c r="C467" s="857" t="s">
        <v>508</v>
      </c>
      <c r="D467" s="846">
        <f>D468+D469+D470+D471</f>
        <v>0</v>
      </c>
      <c r="E467" s="845">
        <f t="shared" ref="E467:CE467" si="430">E468+E469+E470+E471</f>
        <v>0</v>
      </c>
      <c r="F467" s="847"/>
      <c r="G467" s="845"/>
      <c r="H467" s="850">
        <f t="shared" si="352"/>
        <v>69977</v>
      </c>
      <c r="I467" s="848">
        <f t="shared" si="430"/>
        <v>0</v>
      </c>
      <c r="J467" s="848">
        <f t="shared" si="430"/>
        <v>0</v>
      </c>
      <c r="K467" s="848">
        <f t="shared" si="430"/>
        <v>0</v>
      </c>
      <c r="L467" s="848">
        <f t="shared" si="430"/>
        <v>0</v>
      </c>
      <c r="M467" s="848">
        <f t="shared" si="430"/>
        <v>0</v>
      </c>
      <c r="N467" s="848">
        <f t="shared" si="430"/>
        <v>0</v>
      </c>
      <c r="O467" s="848">
        <f t="shared" si="430"/>
        <v>0</v>
      </c>
      <c r="P467" s="848">
        <f t="shared" si="430"/>
        <v>0</v>
      </c>
      <c r="Q467" s="848">
        <f t="shared" si="430"/>
        <v>0</v>
      </c>
      <c r="R467" s="848">
        <v>16100</v>
      </c>
      <c r="S467" s="848">
        <f t="shared" si="430"/>
        <v>53877</v>
      </c>
      <c r="T467" s="855">
        <f t="shared" ref="T467:T530" si="431">SUM(U467:AH467)</f>
        <v>246.28299999999999</v>
      </c>
      <c r="U467" s="848">
        <f t="shared" ref="U467:AH467" si="432">U468+U469+U470+U471</f>
        <v>0</v>
      </c>
      <c r="V467" s="848">
        <f t="shared" si="432"/>
        <v>0</v>
      </c>
      <c r="W467" s="848">
        <f t="shared" si="432"/>
        <v>0</v>
      </c>
      <c r="X467" s="848">
        <f t="shared" si="432"/>
        <v>246.28299999999999</v>
      </c>
      <c r="Y467" s="848">
        <f t="shared" si="432"/>
        <v>0</v>
      </c>
      <c r="Z467" s="848">
        <f t="shared" si="432"/>
        <v>0</v>
      </c>
      <c r="AA467" s="848">
        <f t="shared" si="432"/>
        <v>0</v>
      </c>
      <c r="AB467" s="848">
        <f t="shared" si="432"/>
        <v>0</v>
      </c>
      <c r="AC467" s="848">
        <f t="shared" si="432"/>
        <v>0</v>
      </c>
      <c r="AD467" s="848"/>
      <c r="AE467" s="848"/>
      <c r="AF467" s="848">
        <f t="shared" si="432"/>
        <v>0</v>
      </c>
      <c r="AG467" s="848">
        <f t="shared" si="432"/>
        <v>0</v>
      </c>
      <c r="AH467" s="848">
        <f t="shared" si="432"/>
        <v>0</v>
      </c>
      <c r="AI467" s="848">
        <f t="shared" si="430"/>
        <v>500</v>
      </c>
      <c r="AJ467" s="848">
        <f t="shared" si="430"/>
        <v>0</v>
      </c>
      <c r="AK467" s="848">
        <f t="shared" si="430"/>
        <v>0</v>
      </c>
      <c r="AL467" s="848">
        <f t="shared" si="430"/>
        <v>0</v>
      </c>
      <c r="AM467" s="848">
        <f t="shared" si="430"/>
        <v>500</v>
      </c>
      <c r="AN467" s="848">
        <f t="shared" si="430"/>
        <v>0</v>
      </c>
      <c r="AO467" s="848">
        <f t="shared" si="430"/>
        <v>0</v>
      </c>
      <c r="AP467" s="848">
        <f t="shared" si="430"/>
        <v>0</v>
      </c>
      <c r="AQ467" s="848">
        <f t="shared" si="430"/>
        <v>0</v>
      </c>
      <c r="AR467" s="848">
        <f t="shared" si="430"/>
        <v>0</v>
      </c>
      <c r="AS467" s="848"/>
      <c r="AT467" s="848">
        <f t="shared" si="430"/>
        <v>0</v>
      </c>
      <c r="AU467" s="848">
        <f t="shared" si="430"/>
        <v>0</v>
      </c>
      <c r="AV467" s="848">
        <f t="shared" si="430"/>
        <v>0</v>
      </c>
      <c r="AW467" s="848">
        <f t="shared" si="430"/>
        <v>0</v>
      </c>
      <c r="AX467" s="848">
        <f t="shared" si="430"/>
        <v>0</v>
      </c>
      <c r="AY467" s="848">
        <f t="shared" si="430"/>
        <v>12038</v>
      </c>
      <c r="AZ467" s="848">
        <f t="shared" si="430"/>
        <v>0</v>
      </c>
      <c r="BA467" s="848">
        <f t="shared" si="430"/>
        <v>0</v>
      </c>
      <c r="BB467" s="848">
        <f t="shared" si="430"/>
        <v>0</v>
      </c>
      <c r="BC467" s="848">
        <f t="shared" si="430"/>
        <v>0</v>
      </c>
      <c r="BD467" s="848">
        <f t="shared" si="430"/>
        <v>1000</v>
      </c>
      <c r="BE467" s="848">
        <f t="shared" si="430"/>
        <v>0</v>
      </c>
      <c r="BF467" s="848">
        <f t="shared" si="430"/>
        <v>0</v>
      </c>
      <c r="BG467" s="848">
        <f t="shared" si="430"/>
        <v>0</v>
      </c>
      <c r="BH467" s="848">
        <f t="shared" si="430"/>
        <v>0</v>
      </c>
      <c r="BI467" s="848">
        <f t="shared" si="430"/>
        <v>0</v>
      </c>
      <c r="BJ467" s="848">
        <f t="shared" si="430"/>
        <v>0</v>
      </c>
      <c r="BK467" s="848">
        <f t="shared" si="430"/>
        <v>0</v>
      </c>
      <c r="BL467" s="848">
        <f t="shared" si="430"/>
        <v>0</v>
      </c>
      <c r="BM467" s="848">
        <f t="shared" si="430"/>
        <v>0</v>
      </c>
      <c r="BN467" s="848">
        <f t="shared" si="430"/>
        <v>11038</v>
      </c>
      <c r="BO467" s="848">
        <f t="shared" si="421"/>
        <v>6033.4590769999995</v>
      </c>
      <c r="BP467" s="848">
        <f t="shared" si="430"/>
        <v>0</v>
      </c>
      <c r="BQ467" s="848">
        <f t="shared" si="430"/>
        <v>0</v>
      </c>
      <c r="BR467" s="848">
        <f t="shared" si="430"/>
        <v>0</v>
      </c>
      <c r="BS467" s="848">
        <f t="shared" si="430"/>
        <v>0</v>
      </c>
      <c r="BT467" s="848">
        <f t="shared" si="430"/>
        <v>35</v>
      </c>
      <c r="BU467" s="848">
        <f t="shared" si="430"/>
        <v>0</v>
      </c>
      <c r="BV467" s="848">
        <f t="shared" si="430"/>
        <v>0</v>
      </c>
      <c r="BW467" s="848">
        <f t="shared" si="430"/>
        <v>0</v>
      </c>
      <c r="BX467" s="848">
        <f t="shared" si="430"/>
        <v>0</v>
      </c>
      <c r="BY467" s="848">
        <f t="shared" si="430"/>
        <v>0</v>
      </c>
      <c r="BZ467" s="848">
        <f t="shared" si="430"/>
        <v>0</v>
      </c>
      <c r="CA467" s="848">
        <f t="shared" si="430"/>
        <v>0</v>
      </c>
      <c r="CB467" s="848">
        <f t="shared" si="430"/>
        <v>0</v>
      </c>
      <c r="CC467" s="848">
        <f t="shared" si="430"/>
        <v>0</v>
      </c>
      <c r="CD467" s="848">
        <f t="shared" si="430"/>
        <v>0</v>
      </c>
      <c r="CE467" s="848">
        <f t="shared" si="430"/>
        <v>5998.4590769999995</v>
      </c>
      <c r="CF467" s="848">
        <f t="shared" ref="CF467:CF474" si="433">BO467/AY467%</f>
        <v>50.120111953812923</v>
      </c>
      <c r="CG467" s="848"/>
      <c r="CH467" s="848"/>
      <c r="CI467" s="848"/>
      <c r="CJ467" s="848"/>
      <c r="CK467" s="848">
        <f t="shared" si="423"/>
        <v>3.5000000000000004</v>
      </c>
      <c r="CL467" s="848"/>
      <c r="CM467" s="848"/>
      <c r="CN467" s="848"/>
      <c r="CO467" s="848"/>
      <c r="CP467" s="848"/>
      <c r="CQ467" s="848"/>
      <c r="CR467" s="848"/>
      <c r="CS467" s="848"/>
      <c r="CT467" s="848"/>
      <c r="CU467" s="848"/>
      <c r="CV467" s="848"/>
      <c r="CW467" s="848">
        <f t="shared" si="426"/>
        <v>54.34371332668961</v>
      </c>
    </row>
    <row r="468" spans="1:101" ht="27" customHeight="1">
      <c r="A468" s="845"/>
      <c r="B468" s="852" t="s">
        <v>677</v>
      </c>
      <c r="C468" s="852" t="s">
        <v>1113</v>
      </c>
      <c r="D468" s="846"/>
      <c r="E468" s="845"/>
      <c r="F468" s="896" t="s">
        <v>1065</v>
      </c>
      <c r="G468" s="897" t="s">
        <v>1114</v>
      </c>
      <c r="H468" s="850">
        <f t="shared" si="352"/>
        <v>32199</v>
      </c>
      <c r="I468" s="898"/>
      <c r="J468" s="848"/>
      <c r="K468" s="848"/>
      <c r="L468" s="848"/>
      <c r="M468" s="848"/>
      <c r="N468" s="848"/>
      <c r="O468" s="848"/>
      <c r="P468" s="848"/>
      <c r="Q468" s="848"/>
      <c r="R468" s="855">
        <v>16100</v>
      </c>
      <c r="S468" s="898">
        <v>16099</v>
      </c>
      <c r="T468" s="855"/>
      <c r="U468" s="848"/>
      <c r="V468" s="848"/>
      <c r="W468" s="848"/>
      <c r="X468" s="848"/>
      <c r="Y468" s="848"/>
      <c r="Z468" s="848"/>
      <c r="AA468" s="848"/>
      <c r="AB468" s="848"/>
      <c r="AC468" s="848"/>
      <c r="AD468" s="848"/>
      <c r="AE468" s="848"/>
      <c r="AF468" s="848"/>
      <c r="AG468" s="848"/>
      <c r="AH468" s="855"/>
      <c r="AI468" s="855"/>
      <c r="AJ468" s="855"/>
      <c r="AK468" s="855"/>
      <c r="AL468" s="855"/>
      <c r="AM468" s="855"/>
      <c r="AN468" s="855"/>
      <c r="AO468" s="855"/>
      <c r="AP468" s="855"/>
      <c r="AQ468" s="855"/>
      <c r="AR468" s="855"/>
      <c r="AS468" s="855"/>
      <c r="AT468" s="855"/>
      <c r="AU468" s="855"/>
      <c r="AV468" s="855"/>
      <c r="AW468" s="855"/>
      <c r="AX468" s="855"/>
      <c r="AY468" s="855">
        <f t="shared" ref="AY468:AY471" si="434">SUM(AZ468:BN468)</f>
        <v>6000</v>
      </c>
      <c r="AZ468" s="855"/>
      <c r="BA468" s="855"/>
      <c r="BB468" s="855"/>
      <c r="BC468" s="855"/>
      <c r="BD468" s="855"/>
      <c r="BE468" s="855"/>
      <c r="BF468" s="855"/>
      <c r="BG468" s="855"/>
      <c r="BH468" s="855"/>
      <c r="BI468" s="855"/>
      <c r="BJ468" s="855"/>
      <c r="BK468" s="855"/>
      <c r="BL468" s="855"/>
      <c r="BM468" s="855"/>
      <c r="BN468" s="855">
        <f>'[10]bieu cu'!H203</f>
        <v>6000</v>
      </c>
      <c r="BO468" s="848">
        <f t="shared" si="421"/>
        <v>1325.459077</v>
      </c>
      <c r="BP468" s="855"/>
      <c r="BQ468" s="855"/>
      <c r="BR468" s="855"/>
      <c r="BS468" s="855"/>
      <c r="BT468" s="855"/>
      <c r="BU468" s="855"/>
      <c r="BV468" s="855"/>
      <c r="BW468" s="855"/>
      <c r="BX468" s="855"/>
      <c r="BY468" s="855"/>
      <c r="BZ468" s="855"/>
      <c r="CA468" s="855"/>
      <c r="CB468" s="855"/>
      <c r="CC468" s="855"/>
      <c r="CD468" s="855"/>
      <c r="CE468" s="855">
        <v>1325.459077</v>
      </c>
      <c r="CF468" s="848">
        <f t="shared" si="433"/>
        <v>22.090984616666667</v>
      </c>
      <c r="CG468" s="848"/>
      <c r="CH468" s="848"/>
      <c r="CI468" s="848"/>
      <c r="CJ468" s="848"/>
      <c r="CK468" s="848"/>
      <c r="CL468" s="848"/>
      <c r="CM468" s="848"/>
      <c r="CN468" s="848"/>
      <c r="CO468" s="848"/>
      <c r="CP468" s="848"/>
      <c r="CQ468" s="848"/>
      <c r="CR468" s="848"/>
      <c r="CS468" s="848"/>
      <c r="CT468" s="848"/>
      <c r="CU468" s="848"/>
      <c r="CV468" s="848"/>
      <c r="CW468" s="848">
        <f t="shared" si="426"/>
        <v>22.090984616666667</v>
      </c>
    </row>
    <row r="469" spans="1:101" ht="27" customHeight="1">
      <c r="A469" s="845"/>
      <c r="B469" s="852" t="s">
        <v>677</v>
      </c>
      <c r="C469" s="852" t="s">
        <v>1115</v>
      </c>
      <c r="D469" s="846"/>
      <c r="E469" s="845"/>
      <c r="F469" s="896" t="s">
        <v>382</v>
      </c>
      <c r="G469" s="897" t="s">
        <v>1116</v>
      </c>
      <c r="H469" s="850">
        <f t="shared" si="352"/>
        <v>17707</v>
      </c>
      <c r="I469" s="898"/>
      <c r="J469" s="848"/>
      <c r="K469" s="848"/>
      <c r="L469" s="848"/>
      <c r="M469" s="848"/>
      <c r="N469" s="848"/>
      <c r="O469" s="848"/>
      <c r="P469" s="848"/>
      <c r="Q469" s="848"/>
      <c r="R469" s="848"/>
      <c r="S469" s="898">
        <v>17707</v>
      </c>
      <c r="T469" s="855">
        <f t="shared" si="431"/>
        <v>0</v>
      </c>
      <c r="U469" s="848"/>
      <c r="V469" s="848"/>
      <c r="W469" s="848"/>
      <c r="X469" s="848"/>
      <c r="Y469" s="848"/>
      <c r="Z469" s="848"/>
      <c r="AA469" s="848"/>
      <c r="AB469" s="848"/>
      <c r="AC469" s="848"/>
      <c r="AD469" s="848"/>
      <c r="AE469" s="848"/>
      <c r="AF469" s="848"/>
      <c r="AG469" s="848"/>
      <c r="AH469" s="855"/>
      <c r="AI469" s="855"/>
      <c r="AJ469" s="855"/>
      <c r="AK469" s="855"/>
      <c r="AL469" s="855"/>
      <c r="AM469" s="855"/>
      <c r="AN469" s="855"/>
      <c r="AO469" s="855"/>
      <c r="AP469" s="855"/>
      <c r="AQ469" s="855"/>
      <c r="AR469" s="855"/>
      <c r="AS469" s="855"/>
      <c r="AT469" s="855"/>
      <c r="AU469" s="855"/>
      <c r="AV469" s="855"/>
      <c r="AW469" s="855"/>
      <c r="AX469" s="855"/>
      <c r="AY469" s="855">
        <f t="shared" si="434"/>
        <v>400</v>
      </c>
      <c r="AZ469" s="855"/>
      <c r="BA469" s="855"/>
      <c r="BB469" s="855"/>
      <c r="BC469" s="855"/>
      <c r="BD469" s="855"/>
      <c r="BE469" s="855"/>
      <c r="BF469" s="855"/>
      <c r="BG469" s="855"/>
      <c r="BH469" s="855"/>
      <c r="BI469" s="855"/>
      <c r="BJ469" s="855"/>
      <c r="BK469" s="855"/>
      <c r="BL469" s="855"/>
      <c r="BM469" s="855"/>
      <c r="BN469" s="855">
        <f>'[10]bieu cu'!H205</f>
        <v>400</v>
      </c>
      <c r="BO469" s="848">
        <f t="shared" si="421"/>
        <v>400</v>
      </c>
      <c r="BP469" s="855"/>
      <c r="BQ469" s="855"/>
      <c r="BR469" s="855"/>
      <c r="BS469" s="855"/>
      <c r="BT469" s="855"/>
      <c r="BU469" s="855"/>
      <c r="BV469" s="855"/>
      <c r="BW469" s="855"/>
      <c r="BX469" s="855"/>
      <c r="BY469" s="855"/>
      <c r="BZ469" s="855"/>
      <c r="CA469" s="855"/>
      <c r="CB469" s="855"/>
      <c r="CC469" s="855"/>
      <c r="CD469" s="855"/>
      <c r="CE469" s="855">
        <f>'[10]bieu cu'!M205</f>
        <v>400</v>
      </c>
      <c r="CF469" s="848">
        <f t="shared" si="433"/>
        <v>100</v>
      </c>
      <c r="CG469" s="848"/>
      <c r="CH469" s="848"/>
      <c r="CI469" s="848"/>
      <c r="CJ469" s="848"/>
      <c r="CK469" s="848"/>
      <c r="CL469" s="848"/>
      <c r="CM469" s="848"/>
      <c r="CN469" s="848"/>
      <c r="CO469" s="848"/>
      <c r="CP469" s="848"/>
      <c r="CQ469" s="848"/>
      <c r="CR469" s="848"/>
      <c r="CS469" s="848"/>
      <c r="CT469" s="848"/>
      <c r="CU469" s="848"/>
      <c r="CV469" s="848"/>
      <c r="CW469" s="848">
        <f t="shared" si="426"/>
        <v>100</v>
      </c>
    </row>
    <row r="470" spans="1:101" ht="27" customHeight="1">
      <c r="A470" s="845"/>
      <c r="B470" s="852" t="s">
        <v>677</v>
      </c>
      <c r="C470" s="852" t="s">
        <v>1117</v>
      </c>
      <c r="D470" s="846"/>
      <c r="E470" s="845"/>
      <c r="F470" s="896" t="s">
        <v>1118</v>
      </c>
      <c r="G470" s="897" t="s">
        <v>1119</v>
      </c>
      <c r="H470" s="850">
        <f t="shared" si="352"/>
        <v>13316</v>
      </c>
      <c r="I470" s="898"/>
      <c r="J470" s="848"/>
      <c r="K470" s="848"/>
      <c r="L470" s="848"/>
      <c r="M470" s="848"/>
      <c r="N470" s="848"/>
      <c r="O470" s="848"/>
      <c r="P470" s="848"/>
      <c r="Q470" s="848"/>
      <c r="R470" s="848"/>
      <c r="S470" s="898">
        <v>13316</v>
      </c>
      <c r="T470" s="855">
        <f t="shared" si="431"/>
        <v>0</v>
      </c>
      <c r="U470" s="848"/>
      <c r="V470" s="848"/>
      <c r="W470" s="848"/>
      <c r="X470" s="848"/>
      <c r="Y470" s="848"/>
      <c r="Z470" s="848"/>
      <c r="AA470" s="848"/>
      <c r="AB470" s="848"/>
      <c r="AC470" s="848"/>
      <c r="AD470" s="848"/>
      <c r="AE470" s="848"/>
      <c r="AF470" s="848"/>
      <c r="AG470" s="848"/>
      <c r="AH470" s="855"/>
      <c r="AI470" s="855"/>
      <c r="AJ470" s="855"/>
      <c r="AK470" s="855"/>
      <c r="AL470" s="855"/>
      <c r="AM470" s="855"/>
      <c r="AN470" s="855"/>
      <c r="AO470" s="855"/>
      <c r="AP470" s="855"/>
      <c r="AQ470" s="855"/>
      <c r="AR470" s="855"/>
      <c r="AS470" s="855"/>
      <c r="AT470" s="855"/>
      <c r="AU470" s="855"/>
      <c r="AV470" s="855"/>
      <c r="AW470" s="855"/>
      <c r="AX470" s="855"/>
      <c r="AY470" s="855">
        <f t="shared" si="434"/>
        <v>4638</v>
      </c>
      <c r="AZ470" s="855"/>
      <c r="BA470" s="855"/>
      <c r="BB470" s="855"/>
      <c r="BC470" s="855"/>
      <c r="BD470" s="855"/>
      <c r="BE470" s="855"/>
      <c r="BF470" s="855"/>
      <c r="BG470" s="855"/>
      <c r="BH470" s="855"/>
      <c r="BI470" s="855"/>
      <c r="BJ470" s="855"/>
      <c r="BK470" s="855"/>
      <c r="BL470" s="855"/>
      <c r="BM470" s="855"/>
      <c r="BN470" s="855">
        <f>'[10]bieu cu'!H218</f>
        <v>4638</v>
      </c>
      <c r="BO470" s="848">
        <f t="shared" si="421"/>
        <v>4273</v>
      </c>
      <c r="BP470" s="855"/>
      <c r="BQ470" s="855"/>
      <c r="BR470" s="855"/>
      <c r="BS470" s="855"/>
      <c r="BT470" s="855"/>
      <c r="BU470" s="855"/>
      <c r="BV470" s="855"/>
      <c r="BW470" s="855"/>
      <c r="BX470" s="855"/>
      <c r="BY470" s="855"/>
      <c r="BZ470" s="855"/>
      <c r="CA470" s="855"/>
      <c r="CB470" s="855"/>
      <c r="CC470" s="855"/>
      <c r="CD470" s="855"/>
      <c r="CE470" s="855">
        <v>4273</v>
      </c>
      <c r="CF470" s="848">
        <f t="shared" si="433"/>
        <v>92.130228546787407</v>
      </c>
      <c r="CG470" s="848"/>
      <c r="CH470" s="848"/>
      <c r="CI470" s="848"/>
      <c r="CJ470" s="848"/>
      <c r="CK470" s="848"/>
      <c r="CL470" s="848"/>
      <c r="CM470" s="848"/>
      <c r="CN470" s="848"/>
      <c r="CO470" s="848"/>
      <c r="CP470" s="848"/>
      <c r="CQ470" s="848"/>
      <c r="CR470" s="848"/>
      <c r="CS470" s="848"/>
      <c r="CT470" s="848"/>
      <c r="CU470" s="848"/>
      <c r="CV470" s="848"/>
      <c r="CW470" s="848">
        <f t="shared" si="426"/>
        <v>92.130228546787407</v>
      </c>
    </row>
    <row r="471" spans="1:101" ht="27" customHeight="1">
      <c r="A471" s="845"/>
      <c r="B471" s="852" t="s">
        <v>677</v>
      </c>
      <c r="C471" s="852" t="s">
        <v>1120</v>
      </c>
      <c r="D471" s="846"/>
      <c r="E471" s="845"/>
      <c r="F471" s="853" t="s">
        <v>1065</v>
      </c>
      <c r="G471" s="846" t="s">
        <v>1121</v>
      </c>
      <c r="H471" s="850">
        <f t="shared" si="352"/>
        <v>6755</v>
      </c>
      <c r="I471" s="876"/>
      <c r="J471" s="848"/>
      <c r="K471" s="848"/>
      <c r="L471" s="848"/>
      <c r="M471" s="848"/>
      <c r="N471" s="848"/>
      <c r="O471" s="848"/>
      <c r="P471" s="848"/>
      <c r="Q471" s="848"/>
      <c r="R471" s="848"/>
      <c r="S471" s="876">
        <v>6755</v>
      </c>
      <c r="T471" s="855">
        <f t="shared" si="431"/>
        <v>246.28299999999999</v>
      </c>
      <c r="U471" s="848"/>
      <c r="V471" s="848"/>
      <c r="W471" s="848"/>
      <c r="X471" s="855">
        <v>246.28299999999999</v>
      </c>
      <c r="Y471" s="848"/>
      <c r="Z471" s="848"/>
      <c r="AA471" s="848"/>
      <c r="AB471" s="848"/>
      <c r="AC471" s="848"/>
      <c r="AD471" s="848"/>
      <c r="AE471" s="848"/>
      <c r="AF471" s="848"/>
      <c r="AG471" s="848"/>
      <c r="AH471" s="855"/>
      <c r="AI471" s="855">
        <f>AM471</f>
        <v>500</v>
      </c>
      <c r="AJ471" s="855"/>
      <c r="AK471" s="855"/>
      <c r="AL471" s="855"/>
      <c r="AM471" s="855">
        <v>500</v>
      </c>
      <c r="AN471" s="855"/>
      <c r="AO471" s="855"/>
      <c r="AP471" s="855"/>
      <c r="AQ471" s="855"/>
      <c r="AR471" s="855"/>
      <c r="AS471" s="855"/>
      <c r="AT471" s="855"/>
      <c r="AU471" s="855"/>
      <c r="AV471" s="855"/>
      <c r="AW471" s="855"/>
      <c r="AX471" s="855"/>
      <c r="AY471" s="855">
        <f t="shared" si="434"/>
        <v>1000</v>
      </c>
      <c r="AZ471" s="855"/>
      <c r="BA471" s="855"/>
      <c r="BB471" s="855"/>
      <c r="BC471" s="855"/>
      <c r="BD471" s="855">
        <f>'[10]bieu cu'!H243</f>
        <v>1000</v>
      </c>
      <c r="BE471" s="855"/>
      <c r="BF471" s="855"/>
      <c r="BG471" s="855"/>
      <c r="BH471" s="855"/>
      <c r="BI471" s="855"/>
      <c r="BJ471" s="855"/>
      <c r="BK471" s="855"/>
      <c r="BL471" s="855"/>
      <c r="BM471" s="855"/>
      <c r="BN471" s="855"/>
      <c r="BO471" s="848">
        <f t="shared" si="421"/>
        <v>35</v>
      </c>
      <c r="BP471" s="855"/>
      <c r="BQ471" s="855"/>
      <c r="BR471" s="855"/>
      <c r="BS471" s="855"/>
      <c r="BT471" s="855">
        <v>35</v>
      </c>
      <c r="BU471" s="855"/>
      <c r="BV471" s="855"/>
      <c r="BW471" s="855"/>
      <c r="BX471" s="855"/>
      <c r="BY471" s="855"/>
      <c r="BZ471" s="855"/>
      <c r="CA471" s="855"/>
      <c r="CB471" s="855"/>
      <c r="CC471" s="855"/>
      <c r="CD471" s="855"/>
      <c r="CE471" s="855"/>
      <c r="CF471" s="848">
        <f t="shared" si="433"/>
        <v>3.5</v>
      </c>
      <c r="CG471" s="848"/>
      <c r="CH471" s="848"/>
      <c r="CI471" s="848"/>
      <c r="CJ471" s="848"/>
      <c r="CK471" s="848">
        <f t="shared" si="423"/>
        <v>3.5000000000000004</v>
      </c>
      <c r="CL471" s="848"/>
      <c r="CM471" s="848"/>
      <c r="CN471" s="848"/>
      <c r="CO471" s="848"/>
      <c r="CP471" s="848"/>
      <c r="CQ471" s="848"/>
      <c r="CR471" s="848"/>
      <c r="CS471" s="848"/>
      <c r="CT471" s="848"/>
      <c r="CU471" s="848"/>
      <c r="CV471" s="848"/>
      <c r="CW471" s="848" t="e">
        <f t="shared" si="426"/>
        <v>#DIV/0!</v>
      </c>
    </row>
    <row r="472" spans="1:101" ht="27" customHeight="1">
      <c r="A472" s="845" t="s">
        <v>9</v>
      </c>
      <c r="B472" s="845"/>
      <c r="C472" s="857" t="s">
        <v>578</v>
      </c>
      <c r="D472" s="846">
        <f>D473+D479+D482</f>
        <v>0</v>
      </c>
      <c r="E472" s="845">
        <f t="shared" ref="E472:CE472" si="435">E473+E479+E482</f>
        <v>0</v>
      </c>
      <c r="F472" s="847"/>
      <c r="G472" s="845"/>
      <c r="H472" s="850">
        <f t="shared" si="352"/>
        <v>261446</v>
      </c>
      <c r="I472" s="848">
        <f t="shared" si="435"/>
        <v>0</v>
      </c>
      <c r="J472" s="848">
        <f t="shared" si="435"/>
        <v>0</v>
      </c>
      <c r="K472" s="848">
        <f t="shared" si="435"/>
        <v>0</v>
      </c>
      <c r="L472" s="848">
        <f t="shared" si="435"/>
        <v>0</v>
      </c>
      <c r="M472" s="848">
        <f t="shared" si="435"/>
        <v>0</v>
      </c>
      <c r="N472" s="848">
        <f t="shared" si="435"/>
        <v>0</v>
      </c>
      <c r="O472" s="848">
        <f t="shared" si="435"/>
        <v>0</v>
      </c>
      <c r="P472" s="848">
        <f t="shared" si="435"/>
        <v>0</v>
      </c>
      <c r="Q472" s="848">
        <f t="shared" si="435"/>
        <v>0</v>
      </c>
      <c r="R472" s="848">
        <v>174022</v>
      </c>
      <c r="S472" s="848">
        <f t="shared" si="435"/>
        <v>87424</v>
      </c>
      <c r="T472" s="848">
        <f t="shared" si="431"/>
        <v>94906.075668000005</v>
      </c>
      <c r="U472" s="848">
        <f t="shared" ref="U472:AH472" si="436">U473+U479+U482</f>
        <v>0</v>
      </c>
      <c r="V472" s="848">
        <f t="shared" si="436"/>
        <v>0</v>
      </c>
      <c r="W472" s="848">
        <f t="shared" si="436"/>
        <v>0</v>
      </c>
      <c r="X472" s="848">
        <f t="shared" si="436"/>
        <v>0</v>
      </c>
      <c r="Y472" s="848">
        <f t="shared" si="436"/>
        <v>0</v>
      </c>
      <c r="Z472" s="848">
        <f t="shared" si="436"/>
        <v>0</v>
      </c>
      <c r="AA472" s="848">
        <f t="shared" si="436"/>
        <v>0</v>
      </c>
      <c r="AB472" s="848">
        <f t="shared" si="436"/>
        <v>0</v>
      </c>
      <c r="AC472" s="848">
        <f t="shared" si="436"/>
        <v>0</v>
      </c>
      <c r="AD472" s="848">
        <f t="shared" si="436"/>
        <v>0</v>
      </c>
      <c r="AE472" s="848"/>
      <c r="AF472" s="848">
        <f t="shared" si="436"/>
        <v>0</v>
      </c>
      <c r="AG472" s="848">
        <f t="shared" si="436"/>
        <v>0</v>
      </c>
      <c r="AH472" s="848">
        <f t="shared" si="436"/>
        <v>94906.075668000005</v>
      </c>
      <c r="AI472" s="848">
        <f t="shared" si="435"/>
        <v>60490</v>
      </c>
      <c r="AJ472" s="848">
        <f t="shared" si="435"/>
        <v>0</v>
      </c>
      <c r="AK472" s="848">
        <f t="shared" si="435"/>
        <v>0</v>
      </c>
      <c r="AL472" s="848">
        <f t="shared" si="435"/>
        <v>0</v>
      </c>
      <c r="AM472" s="848">
        <f t="shared" si="435"/>
        <v>0</v>
      </c>
      <c r="AN472" s="848">
        <f t="shared" si="435"/>
        <v>0</v>
      </c>
      <c r="AO472" s="848">
        <f t="shared" si="435"/>
        <v>0</v>
      </c>
      <c r="AP472" s="848">
        <f t="shared" si="435"/>
        <v>0</v>
      </c>
      <c r="AQ472" s="848">
        <f t="shared" si="435"/>
        <v>0</v>
      </c>
      <c r="AR472" s="848">
        <f t="shared" si="435"/>
        <v>0</v>
      </c>
      <c r="AS472" s="848"/>
      <c r="AT472" s="848">
        <f t="shared" si="435"/>
        <v>0</v>
      </c>
      <c r="AU472" s="848">
        <f t="shared" si="435"/>
        <v>0</v>
      </c>
      <c r="AV472" s="848">
        <f t="shared" si="435"/>
        <v>0</v>
      </c>
      <c r="AW472" s="848">
        <f t="shared" si="435"/>
        <v>0</v>
      </c>
      <c r="AX472" s="848">
        <f t="shared" si="435"/>
        <v>60490</v>
      </c>
      <c r="AY472" s="848">
        <f t="shared" si="435"/>
        <v>15422</v>
      </c>
      <c r="AZ472" s="848">
        <f t="shared" si="435"/>
        <v>0</v>
      </c>
      <c r="BA472" s="848">
        <f t="shared" si="435"/>
        <v>0</v>
      </c>
      <c r="BB472" s="848">
        <f t="shared" si="435"/>
        <v>0</v>
      </c>
      <c r="BC472" s="848">
        <f t="shared" si="435"/>
        <v>5000</v>
      </c>
      <c r="BD472" s="848">
        <f t="shared" si="435"/>
        <v>0</v>
      </c>
      <c r="BE472" s="848">
        <f t="shared" si="435"/>
        <v>0</v>
      </c>
      <c r="BF472" s="848">
        <f t="shared" si="435"/>
        <v>0</v>
      </c>
      <c r="BG472" s="848">
        <f t="shared" si="435"/>
        <v>0</v>
      </c>
      <c r="BH472" s="848">
        <f t="shared" si="435"/>
        <v>0</v>
      </c>
      <c r="BI472" s="848">
        <f t="shared" si="435"/>
        <v>0</v>
      </c>
      <c r="BJ472" s="848">
        <f t="shared" si="435"/>
        <v>0</v>
      </c>
      <c r="BK472" s="848">
        <f t="shared" si="435"/>
        <v>0</v>
      </c>
      <c r="BL472" s="848">
        <f t="shared" si="435"/>
        <v>0</v>
      </c>
      <c r="BM472" s="848">
        <f t="shared" si="435"/>
        <v>0</v>
      </c>
      <c r="BN472" s="848">
        <f t="shared" si="435"/>
        <v>10422</v>
      </c>
      <c r="BO472" s="848">
        <f t="shared" si="421"/>
        <v>24928.057690000001</v>
      </c>
      <c r="BP472" s="848">
        <f t="shared" si="435"/>
        <v>0</v>
      </c>
      <c r="BQ472" s="848">
        <f t="shared" si="435"/>
        <v>0</v>
      </c>
      <c r="BR472" s="848">
        <f t="shared" si="435"/>
        <v>0</v>
      </c>
      <c r="BS472" s="848">
        <f t="shared" si="435"/>
        <v>5000</v>
      </c>
      <c r="BT472" s="848">
        <f t="shared" si="435"/>
        <v>0</v>
      </c>
      <c r="BU472" s="848">
        <f t="shared" si="435"/>
        <v>0</v>
      </c>
      <c r="BV472" s="848">
        <f t="shared" si="435"/>
        <v>0</v>
      </c>
      <c r="BW472" s="848">
        <f t="shared" si="435"/>
        <v>0</v>
      </c>
      <c r="BX472" s="848">
        <f t="shared" si="435"/>
        <v>0</v>
      </c>
      <c r="BY472" s="848">
        <f t="shared" si="435"/>
        <v>0</v>
      </c>
      <c r="BZ472" s="848">
        <f t="shared" si="435"/>
        <v>0</v>
      </c>
      <c r="CA472" s="848">
        <f t="shared" si="435"/>
        <v>0</v>
      </c>
      <c r="CB472" s="848">
        <f t="shared" si="435"/>
        <v>0</v>
      </c>
      <c r="CC472" s="848">
        <f t="shared" si="435"/>
        <v>0</v>
      </c>
      <c r="CD472" s="848">
        <f t="shared" si="435"/>
        <v>0</v>
      </c>
      <c r="CE472" s="848">
        <f t="shared" si="435"/>
        <v>19928.057690000001</v>
      </c>
      <c r="CF472" s="848">
        <f t="shared" si="433"/>
        <v>161.63959077940606</v>
      </c>
      <c r="CG472" s="848"/>
      <c r="CH472" s="848"/>
      <c r="CI472" s="848"/>
      <c r="CJ472" s="848">
        <f t="shared" ref="CJ472:CJ483" si="437">BS472/BC472*100</f>
        <v>100</v>
      </c>
      <c r="CK472" s="848"/>
      <c r="CL472" s="848"/>
      <c r="CM472" s="848"/>
      <c r="CN472" s="848"/>
      <c r="CO472" s="848"/>
      <c r="CP472" s="848"/>
      <c r="CQ472" s="848"/>
      <c r="CR472" s="848"/>
      <c r="CS472" s="848"/>
      <c r="CT472" s="848"/>
      <c r="CU472" s="848"/>
      <c r="CV472" s="848"/>
      <c r="CW472" s="848">
        <f t="shared" si="426"/>
        <v>191.2114535597774</v>
      </c>
    </row>
    <row r="473" spans="1:101" ht="27" customHeight="1">
      <c r="A473" s="845" t="s">
        <v>30</v>
      </c>
      <c r="B473" s="845"/>
      <c r="C473" s="857" t="s">
        <v>1076</v>
      </c>
      <c r="D473" s="846">
        <f>D474+D475+D476+D477+D478</f>
        <v>0</v>
      </c>
      <c r="E473" s="845">
        <f t="shared" ref="E473:CE473" si="438">E474+E475+E476+E477+E478</f>
        <v>0</v>
      </c>
      <c r="F473" s="847"/>
      <c r="G473" s="845"/>
      <c r="H473" s="850">
        <f t="shared" ref="H473:H536" si="439">SUM(I473:S473)</f>
        <v>165576</v>
      </c>
      <c r="I473" s="848">
        <f t="shared" ref="I473:S473" si="440">I474+I475+I476+I477+I478</f>
        <v>0</v>
      </c>
      <c r="J473" s="848">
        <f t="shared" si="440"/>
        <v>0</v>
      </c>
      <c r="K473" s="848">
        <f t="shared" si="440"/>
        <v>0</v>
      </c>
      <c r="L473" s="848">
        <f t="shared" si="440"/>
        <v>0</v>
      </c>
      <c r="M473" s="848">
        <f t="shared" si="440"/>
        <v>0</v>
      </c>
      <c r="N473" s="848">
        <f t="shared" si="440"/>
        <v>0</v>
      </c>
      <c r="O473" s="848">
        <f t="shared" si="440"/>
        <v>0</v>
      </c>
      <c r="P473" s="848">
        <f t="shared" si="440"/>
        <v>0</v>
      </c>
      <c r="Q473" s="848">
        <f t="shared" si="440"/>
        <v>0</v>
      </c>
      <c r="R473" s="848">
        <v>131465</v>
      </c>
      <c r="S473" s="848">
        <f t="shared" si="440"/>
        <v>34111</v>
      </c>
      <c r="T473" s="848">
        <f>SUM(U473:AH473)</f>
        <v>66730.075668000005</v>
      </c>
      <c r="U473" s="848">
        <f>U474+U475+U476+U477+U478</f>
        <v>0</v>
      </c>
      <c r="V473" s="848">
        <f t="shared" ref="V473:AW473" si="441">V474+V475+V476+V477+V478</f>
        <v>0</v>
      </c>
      <c r="W473" s="848">
        <f t="shared" si="441"/>
        <v>0</v>
      </c>
      <c r="X473" s="848">
        <f t="shared" si="441"/>
        <v>0</v>
      </c>
      <c r="Y473" s="848">
        <f t="shared" si="441"/>
        <v>0</v>
      </c>
      <c r="Z473" s="848">
        <f t="shared" si="441"/>
        <v>0</v>
      </c>
      <c r="AA473" s="848">
        <f t="shared" si="441"/>
        <v>0</v>
      </c>
      <c r="AB473" s="848">
        <f t="shared" si="441"/>
        <v>0</v>
      </c>
      <c r="AC473" s="848">
        <f t="shared" si="441"/>
        <v>0</v>
      </c>
      <c r="AD473" s="848">
        <f t="shared" si="441"/>
        <v>0</v>
      </c>
      <c r="AE473" s="848"/>
      <c r="AF473" s="848">
        <f t="shared" si="441"/>
        <v>0</v>
      </c>
      <c r="AG473" s="848">
        <f t="shared" si="441"/>
        <v>0</v>
      </c>
      <c r="AH473" s="848">
        <f t="shared" si="441"/>
        <v>66730.075668000005</v>
      </c>
      <c r="AI473" s="848">
        <f t="shared" si="441"/>
        <v>41059</v>
      </c>
      <c r="AJ473" s="848">
        <f t="shared" si="441"/>
        <v>0</v>
      </c>
      <c r="AK473" s="848">
        <f t="shared" si="441"/>
        <v>0</v>
      </c>
      <c r="AL473" s="848">
        <f t="shared" si="441"/>
        <v>0</v>
      </c>
      <c r="AM473" s="848">
        <f t="shared" si="441"/>
        <v>0</v>
      </c>
      <c r="AN473" s="848">
        <f t="shared" si="441"/>
        <v>0</v>
      </c>
      <c r="AO473" s="848">
        <f t="shared" si="441"/>
        <v>0</v>
      </c>
      <c r="AP473" s="848">
        <f t="shared" si="441"/>
        <v>0</v>
      </c>
      <c r="AQ473" s="848">
        <f t="shared" si="441"/>
        <v>0</v>
      </c>
      <c r="AR473" s="848">
        <f t="shared" si="441"/>
        <v>0</v>
      </c>
      <c r="AS473" s="848"/>
      <c r="AT473" s="848">
        <f t="shared" si="441"/>
        <v>0</v>
      </c>
      <c r="AU473" s="848">
        <f t="shared" si="441"/>
        <v>0</v>
      </c>
      <c r="AV473" s="848">
        <f t="shared" si="441"/>
        <v>0</v>
      </c>
      <c r="AW473" s="848">
        <f t="shared" si="441"/>
        <v>0</v>
      </c>
      <c r="AX473" s="848">
        <f t="shared" si="438"/>
        <v>41059</v>
      </c>
      <c r="AY473" s="848">
        <f t="shared" si="438"/>
        <v>3222</v>
      </c>
      <c r="AZ473" s="848">
        <f t="shared" si="438"/>
        <v>0</v>
      </c>
      <c r="BA473" s="848">
        <f t="shared" si="438"/>
        <v>0</v>
      </c>
      <c r="BB473" s="848">
        <f t="shared" si="438"/>
        <v>0</v>
      </c>
      <c r="BC473" s="848">
        <f t="shared" si="438"/>
        <v>0</v>
      </c>
      <c r="BD473" s="848">
        <f t="shared" si="438"/>
        <v>0</v>
      </c>
      <c r="BE473" s="848">
        <f t="shared" si="438"/>
        <v>0</v>
      </c>
      <c r="BF473" s="848">
        <f t="shared" si="438"/>
        <v>0</v>
      </c>
      <c r="BG473" s="848">
        <f t="shared" si="438"/>
        <v>0</v>
      </c>
      <c r="BH473" s="848">
        <f t="shared" si="438"/>
        <v>0</v>
      </c>
      <c r="BI473" s="848">
        <f t="shared" si="438"/>
        <v>0</v>
      </c>
      <c r="BJ473" s="848">
        <f t="shared" si="438"/>
        <v>0</v>
      </c>
      <c r="BK473" s="848">
        <f t="shared" si="438"/>
        <v>0</v>
      </c>
      <c r="BL473" s="848">
        <f t="shared" si="438"/>
        <v>0</v>
      </c>
      <c r="BM473" s="848">
        <f t="shared" si="438"/>
        <v>0</v>
      </c>
      <c r="BN473" s="848">
        <f t="shared" si="438"/>
        <v>3222</v>
      </c>
      <c r="BO473" s="848">
        <f t="shared" si="421"/>
        <v>11440.237690000002</v>
      </c>
      <c r="BP473" s="848">
        <f t="shared" si="438"/>
        <v>0</v>
      </c>
      <c r="BQ473" s="848">
        <f t="shared" si="438"/>
        <v>0</v>
      </c>
      <c r="BR473" s="848">
        <f t="shared" si="438"/>
        <v>0</v>
      </c>
      <c r="BS473" s="848">
        <f t="shared" si="438"/>
        <v>0</v>
      </c>
      <c r="BT473" s="848">
        <f t="shared" si="438"/>
        <v>0</v>
      </c>
      <c r="BU473" s="848">
        <f t="shared" si="438"/>
        <v>0</v>
      </c>
      <c r="BV473" s="848">
        <f t="shared" si="438"/>
        <v>0</v>
      </c>
      <c r="BW473" s="848">
        <f t="shared" si="438"/>
        <v>0</v>
      </c>
      <c r="BX473" s="848">
        <f t="shared" si="438"/>
        <v>0</v>
      </c>
      <c r="BY473" s="848">
        <f t="shared" si="438"/>
        <v>0</v>
      </c>
      <c r="BZ473" s="848">
        <f t="shared" si="438"/>
        <v>0</v>
      </c>
      <c r="CA473" s="848">
        <f t="shared" si="438"/>
        <v>0</v>
      </c>
      <c r="CB473" s="848">
        <f t="shared" si="438"/>
        <v>0</v>
      </c>
      <c r="CC473" s="848">
        <f t="shared" si="438"/>
        <v>0</v>
      </c>
      <c r="CD473" s="848">
        <f t="shared" si="438"/>
        <v>0</v>
      </c>
      <c r="CE473" s="848">
        <f t="shared" si="438"/>
        <v>11440.237690000002</v>
      </c>
      <c r="CF473" s="848">
        <f t="shared" si="433"/>
        <v>355.06634667908139</v>
      </c>
      <c r="CG473" s="848"/>
      <c r="CH473" s="848"/>
      <c r="CI473" s="848"/>
      <c r="CJ473" s="848"/>
      <c r="CK473" s="848"/>
      <c r="CL473" s="848"/>
      <c r="CM473" s="848"/>
      <c r="CN473" s="848"/>
      <c r="CO473" s="848"/>
      <c r="CP473" s="848"/>
      <c r="CQ473" s="848"/>
      <c r="CR473" s="848"/>
      <c r="CS473" s="848"/>
      <c r="CT473" s="848"/>
      <c r="CU473" s="848"/>
      <c r="CV473" s="848"/>
      <c r="CW473" s="848">
        <f t="shared" si="426"/>
        <v>355.06634667908139</v>
      </c>
    </row>
    <row r="474" spans="1:101" ht="23.45" customHeight="1">
      <c r="A474" s="845"/>
      <c r="B474" s="852" t="s">
        <v>578</v>
      </c>
      <c r="C474" s="852" t="s">
        <v>1122</v>
      </c>
      <c r="D474" s="846"/>
      <c r="E474" s="845"/>
      <c r="F474" s="853" t="s">
        <v>1010</v>
      </c>
      <c r="G474" s="846" t="s">
        <v>1123</v>
      </c>
      <c r="H474" s="850">
        <f t="shared" si="439"/>
        <v>22015</v>
      </c>
      <c r="I474" s="859"/>
      <c r="J474" s="848"/>
      <c r="K474" s="848"/>
      <c r="L474" s="848"/>
      <c r="M474" s="848"/>
      <c r="N474" s="848"/>
      <c r="O474" s="848"/>
      <c r="P474" s="848"/>
      <c r="Q474" s="848"/>
      <c r="R474" s="848"/>
      <c r="S474" s="855">
        <v>22015</v>
      </c>
      <c r="T474" s="855">
        <f t="shared" si="431"/>
        <v>2387</v>
      </c>
      <c r="U474" s="848"/>
      <c r="V474" s="848"/>
      <c r="W474" s="848"/>
      <c r="X474" s="848"/>
      <c r="Y474" s="848"/>
      <c r="Z474" s="848"/>
      <c r="AA474" s="848"/>
      <c r="AB474" s="848"/>
      <c r="AC474" s="848"/>
      <c r="AD474" s="848"/>
      <c r="AE474" s="848"/>
      <c r="AF474" s="848"/>
      <c r="AG474" s="848"/>
      <c r="AH474" s="855">
        <v>2387</v>
      </c>
      <c r="AI474" s="855">
        <f>AX474</f>
        <v>15000</v>
      </c>
      <c r="AJ474" s="855"/>
      <c r="AK474" s="855"/>
      <c r="AL474" s="855"/>
      <c r="AM474" s="855"/>
      <c r="AN474" s="855"/>
      <c r="AO474" s="855"/>
      <c r="AP474" s="855"/>
      <c r="AQ474" s="855"/>
      <c r="AR474" s="855"/>
      <c r="AS474" s="855"/>
      <c r="AT474" s="855"/>
      <c r="AU474" s="855"/>
      <c r="AV474" s="855"/>
      <c r="AW474" s="855"/>
      <c r="AX474" s="855">
        <v>15000</v>
      </c>
      <c r="AY474" s="855">
        <f t="shared" ref="AY474:AY483" si="442">SUM(AZ474:BN474)</f>
        <v>3222</v>
      </c>
      <c r="AZ474" s="855"/>
      <c r="BA474" s="855"/>
      <c r="BB474" s="855"/>
      <c r="BC474" s="855"/>
      <c r="BD474" s="855"/>
      <c r="BE474" s="855"/>
      <c r="BF474" s="855"/>
      <c r="BG474" s="855"/>
      <c r="BH474" s="855"/>
      <c r="BI474" s="855"/>
      <c r="BJ474" s="855"/>
      <c r="BK474" s="855"/>
      <c r="BL474" s="855"/>
      <c r="BM474" s="855"/>
      <c r="BN474" s="855">
        <f>'[10]bieu cu'!H196</f>
        <v>3222</v>
      </c>
      <c r="BO474" s="848">
        <f t="shared" si="421"/>
        <v>9886.2738000000008</v>
      </c>
      <c r="BP474" s="855"/>
      <c r="BQ474" s="855"/>
      <c r="BR474" s="855"/>
      <c r="BS474" s="855"/>
      <c r="BT474" s="855"/>
      <c r="BU474" s="855"/>
      <c r="BV474" s="855"/>
      <c r="BW474" s="855"/>
      <c r="BX474" s="855"/>
      <c r="BY474" s="855"/>
      <c r="BZ474" s="855"/>
      <c r="CA474" s="855"/>
      <c r="CB474" s="855"/>
      <c r="CC474" s="855"/>
      <c r="CD474" s="855"/>
      <c r="CE474" s="855">
        <v>9886.2738000000008</v>
      </c>
      <c r="CF474" s="848">
        <f t="shared" si="433"/>
        <v>306.83655493482314</v>
      </c>
      <c r="CG474" s="848"/>
      <c r="CH474" s="848"/>
      <c r="CI474" s="848"/>
      <c r="CJ474" s="848"/>
      <c r="CK474" s="848"/>
      <c r="CL474" s="848"/>
      <c r="CM474" s="848"/>
      <c r="CN474" s="848"/>
      <c r="CO474" s="848"/>
      <c r="CP474" s="848"/>
      <c r="CQ474" s="848"/>
      <c r="CR474" s="848"/>
      <c r="CS474" s="848"/>
      <c r="CT474" s="848"/>
      <c r="CU474" s="848"/>
      <c r="CV474" s="848"/>
      <c r="CW474" s="848">
        <f t="shared" si="426"/>
        <v>306.83655493482314</v>
      </c>
    </row>
    <row r="475" spans="1:101" ht="23.45" customHeight="1">
      <c r="A475" s="845"/>
      <c r="B475" s="852" t="s">
        <v>578</v>
      </c>
      <c r="C475" s="852" t="s">
        <v>1124</v>
      </c>
      <c r="D475" s="846"/>
      <c r="E475" s="845"/>
      <c r="F475" s="847"/>
      <c r="G475" s="846" t="s">
        <v>1125</v>
      </c>
      <c r="H475" s="850">
        <f t="shared" si="439"/>
        <v>66023</v>
      </c>
      <c r="I475" s="848"/>
      <c r="J475" s="848"/>
      <c r="K475" s="848"/>
      <c r="L475" s="848"/>
      <c r="M475" s="848"/>
      <c r="N475" s="848"/>
      <c r="O475" s="848"/>
      <c r="P475" s="848"/>
      <c r="Q475" s="848"/>
      <c r="R475" s="855">
        <v>66023</v>
      </c>
      <c r="S475" s="848"/>
      <c r="T475" s="855">
        <f>AH475</f>
        <v>41777.847000000002</v>
      </c>
      <c r="U475" s="848"/>
      <c r="V475" s="848"/>
      <c r="W475" s="848"/>
      <c r="X475" s="848"/>
      <c r="Y475" s="848"/>
      <c r="Z475" s="848"/>
      <c r="AA475" s="848"/>
      <c r="AB475" s="848"/>
      <c r="AC475" s="848"/>
      <c r="AD475" s="848"/>
      <c r="AE475" s="848"/>
      <c r="AF475" s="848"/>
      <c r="AG475" s="848"/>
      <c r="AH475" s="855">
        <v>41777.847000000002</v>
      </c>
      <c r="AI475" s="855">
        <f>AX475</f>
        <v>21479</v>
      </c>
      <c r="AJ475" s="855"/>
      <c r="AK475" s="855"/>
      <c r="AL475" s="855"/>
      <c r="AM475" s="855"/>
      <c r="AN475" s="855"/>
      <c r="AO475" s="855"/>
      <c r="AP475" s="855"/>
      <c r="AQ475" s="855"/>
      <c r="AR475" s="855"/>
      <c r="AS475" s="855"/>
      <c r="AT475" s="855"/>
      <c r="AU475" s="855"/>
      <c r="AV475" s="855"/>
      <c r="AW475" s="855"/>
      <c r="AX475" s="855">
        <v>21479</v>
      </c>
      <c r="AY475" s="855">
        <f t="shared" si="442"/>
        <v>0</v>
      </c>
      <c r="AZ475" s="855"/>
      <c r="BA475" s="855"/>
      <c r="BB475" s="855"/>
      <c r="BC475" s="855"/>
      <c r="BD475" s="855"/>
      <c r="BE475" s="855"/>
      <c r="BF475" s="855"/>
      <c r="BG475" s="855"/>
      <c r="BH475" s="855"/>
      <c r="BI475" s="855"/>
      <c r="BJ475" s="855"/>
      <c r="BK475" s="855"/>
      <c r="BL475" s="855"/>
      <c r="BM475" s="855"/>
      <c r="BN475" s="855"/>
      <c r="BO475" s="848">
        <f t="shared" si="421"/>
        <v>774.01099999999997</v>
      </c>
      <c r="BP475" s="855"/>
      <c r="BQ475" s="855"/>
      <c r="BR475" s="855"/>
      <c r="BS475" s="855"/>
      <c r="BT475" s="855"/>
      <c r="BU475" s="855"/>
      <c r="BV475" s="855"/>
      <c r="BW475" s="855"/>
      <c r="BX475" s="855"/>
      <c r="BY475" s="855"/>
      <c r="BZ475" s="855"/>
      <c r="CA475" s="855"/>
      <c r="CB475" s="855"/>
      <c r="CC475" s="855"/>
      <c r="CD475" s="855"/>
      <c r="CE475" s="855">
        <v>774.01099999999997</v>
      </c>
      <c r="CF475" s="848"/>
      <c r="CG475" s="848"/>
      <c r="CH475" s="848"/>
      <c r="CI475" s="848"/>
      <c r="CJ475" s="848"/>
      <c r="CK475" s="848"/>
      <c r="CL475" s="848"/>
      <c r="CM475" s="848"/>
      <c r="CN475" s="848"/>
      <c r="CO475" s="848"/>
      <c r="CP475" s="848"/>
      <c r="CQ475" s="848"/>
      <c r="CR475" s="848"/>
      <c r="CS475" s="848"/>
      <c r="CT475" s="848"/>
      <c r="CU475" s="848"/>
      <c r="CV475" s="848"/>
      <c r="CW475" s="848"/>
    </row>
    <row r="476" spans="1:101" ht="23.45" customHeight="1">
      <c r="A476" s="845"/>
      <c r="B476" s="852" t="s">
        <v>578</v>
      </c>
      <c r="C476" s="852" t="s">
        <v>1126</v>
      </c>
      <c r="D476" s="846"/>
      <c r="E476" s="845"/>
      <c r="F476" s="847"/>
      <c r="G476" s="845"/>
      <c r="H476" s="850">
        <f t="shared" si="439"/>
        <v>0</v>
      </c>
      <c r="I476" s="848"/>
      <c r="J476" s="848"/>
      <c r="K476" s="848"/>
      <c r="L476" s="848"/>
      <c r="M476" s="848"/>
      <c r="N476" s="848"/>
      <c r="O476" s="848"/>
      <c r="P476" s="848"/>
      <c r="Q476" s="848"/>
      <c r="R476" s="848"/>
      <c r="S476" s="848"/>
      <c r="T476" s="855">
        <f>SUM(U476:AH476)</f>
        <v>10818.228668</v>
      </c>
      <c r="U476" s="848"/>
      <c r="V476" s="848"/>
      <c r="W476" s="848"/>
      <c r="X476" s="848"/>
      <c r="Y476" s="848"/>
      <c r="Z476" s="848"/>
      <c r="AA476" s="848"/>
      <c r="AB476" s="848"/>
      <c r="AC476" s="848"/>
      <c r="AD476" s="848"/>
      <c r="AE476" s="848"/>
      <c r="AF476" s="848"/>
      <c r="AG476" s="848"/>
      <c r="AH476" s="855">
        <v>10818.228668</v>
      </c>
      <c r="AI476" s="855">
        <f>AX476</f>
        <v>580</v>
      </c>
      <c r="AJ476" s="855"/>
      <c r="AK476" s="855"/>
      <c r="AL476" s="855"/>
      <c r="AM476" s="855"/>
      <c r="AN476" s="855"/>
      <c r="AO476" s="855"/>
      <c r="AP476" s="855"/>
      <c r="AQ476" s="855"/>
      <c r="AR476" s="855"/>
      <c r="AS476" s="855"/>
      <c r="AT476" s="855"/>
      <c r="AU476" s="855"/>
      <c r="AV476" s="855"/>
      <c r="AW476" s="855"/>
      <c r="AX476" s="855">
        <v>580</v>
      </c>
      <c r="AY476" s="855">
        <f t="shared" si="442"/>
        <v>0</v>
      </c>
      <c r="AZ476" s="855"/>
      <c r="BA476" s="855"/>
      <c r="BB476" s="855"/>
      <c r="BC476" s="855"/>
      <c r="BD476" s="855"/>
      <c r="BE476" s="855"/>
      <c r="BF476" s="855"/>
      <c r="BG476" s="855"/>
      <c r="BH476" s="855"/>
      <c r="BI476" s="855"/>
      <c r="BJ476" s="855"/>
      <c r="BK476" s="855"/>
      <c r="BL476" s="855"/>
      <c r="BM476" s="855"/>
      <c r="BN476" s="855"/>
      <c r="BO476" s="848">
        <f t="shared" si="421"/>
        <v>2.95289</v>
      </c>
      <c r="BP476" s="855"/>
      <c r="BQ476" s="855"/>
      <c r="BR476" s="855"/>
      <c r="BS476" s="855"/>
      <c r="BT476" s="855"/>
      <c r="BU476" s="855"/>
      <c r="BV476" s="855"/>
      <c r="BW476" s="855"/>
      <c r="BX476" s="855"/>
      <c r="BY476" s="855"/>
      <c r="BZ476" s="855"/>
      <c r="CA476" s="855"/>
      <c r="CB476" s="855"/>
      <c r="CC476" s="855"/>
      <c r="CD476" s="855"/>
      <c r="CE476" s="855">
        <v>2.95289</v>
      </c>
      <c r="CF476" s="848"/>
      <c r="CG476" s="848"/>
      <c r="CH476" s="848"/>
      <c r="CI476" s="848"/>
      <c r="CJ476" s="848"/>
      <c r="CK476" s="848"/>
      <c r="CL476" s="848"/>
      <c r="CM476" s="848"/>
      <c r="CN476" s="848"/>
      <c r="CO476" s="848"/>
      <c r="CP476" s="848"/>
      <c r="CQ476" s="848"/>
      <c r="CR476" s="848"/>
      <c r="CS476" s="848"/>
      <c r="CT476" s="848"/>
      <c r="CU476" s="848"/>
      <c r="CV476" s="848"/>
      <c r="CW476" s="848"/>
    </row>
    <row r="477" spans="1:101" ht="48" customHeight="1">
      <c r="A477" s="845"/>
      <c r="B477" s="852" t="s">
        <v>578</v>
      </c>
      <c r="C477" s="852" t="s">
        <v>1127</v>
      </c>
      <c r="D477" s="846"/>
      <c r="E477" s="845"/>
      <c r="F477" s="847"/>
      <c r="G477" s="845"/>
      <c r="H477" s="850">
        <f t="shared" si="439"/>
        <v>0</v>
      </c>
      <c r="I477" s="848"/>
      <c r="J477" s="848"/>
      <c r="K477" s="848"/>
      <c r="L477" s="848"/>
      <c r="M477" s="848"/>
      <c r="N477" s="848"/>
      <c r="O477" s="848"/>
      <c r="P477" s="848"/>
      <c r="Q477" s="848"/>
      <c r="R477" s="848"/>
      <c r="S477" s="848"/>
      <c r="T477" s="855">
        <f t="shared" si="431"/>
        <v>0</v>
      </c>
      <c r="U477" s="848"/>
      <c r="V477" s="848"/>
      <c r="W477" s="848"/>
      <c r="X477" s="848"/>
      <c r="Y477" s="848"/>
      <c r="Z477" s="848"/>
      <c r="AA477" s="848"/>
      <c r="AB477" s="848"/>
      <c r="AC477" s="848"/>
      <c r="AD477" s="848"/>
      <c r="AE477" s="848"/>
      <c r="AF477" s="848"/>
      <c r="AG477" s="848"/>
      <c r="AH477" s="855"/>
      <c r="AI477" s="855"/>
      <c r="AJ477" s="855"/>
      <c r="AK477" s="855"/>
      <c r="AL477" s="855"/>
      <c r="AM477" s="855"/>
      <c r="AN477" s="855"/>
      <c r="AO477" s="855"/>
      <c r="AP477" s="855"/>
      <c r="AQ477" s="855"/>
      <c r="AR477" s="855"/>
      <c r="AS477" s="855"/>
      <c r="AT477" s="855"/>
      <c r="AU477" s="855"/>
      <c r="AV477" s="855"/>
      <c r="AW477" s="855"/>
      <c r="AX477" s="855"/>
      <c r="AY477" s="855">
        <f t="shared" si="442"/>
        <v>0</v>
      </c>
      <c r="AZ477" s="855"/>
      <c r="BA477" s="855"/>
      <c r="BB477" s="855"/>
      <c r="BC477" s="855"/>
      <c r="BD477" s="855"/>
      <c r="BE477" s="855"/>
      <c r="BF477" s="855"/>
      <c r="BG477" s="855"/>
      <c r="BH477" s="855"/>
      <c r="BI477" s="855"/>
      <c r="BJ477" s="855"/>
      <c r="BK477" s="855"/>
      <c r="BL477" s="855"/>
      <c r="BM477" s="855"/>
      <c r="BN477" s="855"/>
      <c r="BO477" s="848">
        <f t="shared" si="421"/>
        <v>607</v>
      </c>
      <c r="BP477" s="855"/>
      <c r="BQ477" s="855"/>
      <c r="BR477" s="855"/>
      <c r="BS477" s="855"/>
      <c r="BT477" s="855"/>
      <c r="BU477" s="855"/>
      <c r="BV477" s="855"/>
      <c r="BW477" s="855"/>
      <c r="BX477" s="855"/>
      <c r="BY477" s="855"/>
      <c r="BZ477" s="855"/>
      <c r="CA477" s="855"/>
      <c r="CB477" s="855"/>
      <c r="CC477" s="855"/>
      <c r="CD477" s="855"/>
      <c r="CE477" s="855">
        <v>607</v>
      </c>
      <c r="CF477" s="848"/>
      <c r="CG477" s="848"/>
      <c r="CH477" s="848"/>
      <c r="CI477" s="848"/>
      <c r="CJ477" s="848"/>
      <c r="CK477" s="848"/>
      <c r="CL477" s="848"/>
      <c r="CM477" s="848"/>
      <c r="CN477" s="848"/>
      <c r="CO477" s="848"/>
      <c r="CP477" s="848"/>
      <c r="CQ477" s="848"/>
      <c r="CR477" s="848"/>
      <c r="CS477" s="848"/>
      <c r="CT477" s="848"/>
      <c r="CU477" s="848"/>
      <c r="CV477" s="848"/>
      <c r="CW477" s="848"/>
    </row>
    <row r="478" spans="1:101" ht="48" customHeight="1">
      <c r="A478" s="845"/>
      <c r="B478" s="852" t="s">
        <v>578</v>
      </c>
      <c r="C478" s="852" t="s">
        <v>1128</v>
      </c>
      <c r="D478" s="846"/>
      <c r="E478" s="845"/>
      <c r="F478" s="853" t="s">
        <v>1065</v>
      </c>
      <c r="G478" s="846" t="s">
        <v>1129</v>
      </c>
      <c r="H478" s="850">
        <f t="shared" si="439"/>
        <v>77538</v>
      </c>
      <c r="I478" s="855"/>
      <c r="J478" s="848"/>
      <c r="K478" s="848"/>
      <c r="L478" s="848"/>
      <c r="M478" s="848"/>
      <c r="N478" s="848"/>
      <c r="O478" s="848"/>
      <c r="P478" s="848"/>
      <c r="Q478" s="848"/>
      <c r="R478" s="855">
        <v>65442</v>
      </c>
      <c r="S478" s="855">
        <v>12096</v>
      </c>
      <c r="T478" s="855">
        <f t="shared" si="431"/>
        <v>11747</v>
      </c>
      <c r="U478" s="848"/>
      <c r="V478" s="848"/>
      <c r="W478" s="848"/>
      <c r="X478" s="848"/>
      <c r="Y478" s="848"/>
      <c r="Z478" s="848"/>
      <c r="AA478" s="848"/>
      <c r="AB478" s="848"/>
      <c r="AC478" s="848"/>
      <c r="AD478" s="848"/>
      <c r="AE478" s="848"/>
      <c r="AF478" s="848"/>
      <c r="AG478" s="848"/>
      <c r="AH478" s="855">
        <v>11747</v>
      </c>
      <c r="AI478" s="855">
        <f>AX478</f>
        <v>4000</v>
      </c>
      <c r="AJ478" s="855"/>
      <c r="AK478" s="855"/>
      <c r="AL478" s="855"/>
      <c r="AM478" s="855"/>
      <c r="AN478" s="855"/>
      <c r="AO478" s="855"/>
      <c r="AP478" s="855"/>
      <c r="AQ478" s="855"/>
      <c r="AR478" s="855"/>
      <c r="AS478" s="855"/>
      <c r="AT478" s="855"/>
      <c r="AU478" s="855"/>
      <c r="AV478" s="855"/>
      <c r="AW478" s="855"/>
      <c r="AX478" s="855">
        <v>4000</v>
      </c>
      <c r="AY478" s="855">
        <f t="shared" si="442"/>
        <v>0</v>
      </c>
      <c r="AZ478" s="855"/>
      <c r="BA478" s="855"/>
      <c r="BB478" s="855"/>
      <c r="BC478" s="855"/>
      <c r="BD478" s="855"/>
      <c r="BE478" s="855"/>
      <c r="BF478" s="855"/>
      <c r="BG478" s="855"/>
      <c r="BH478" s="855"/>
      <c r="BI478" s="855"/>
      <c r="BJ478" s="855"/>
      <c r="BK478" s="855"/>
      <c r="BL478" s="855"/>
      <c r="BM478" s="855"/>
      <c r="BN478" s="855"/>
      <c r="BO478" s="848">
        <f t="shared" si="421"/>
        <v>170</v>
      </c>
      <c r="BP478" s="855"/>
      <c r="BQ478" s="855"/>
      <c r="BR478" s="855"/>
      <c r="BS478" s="855"/>
      <c r="BT478" s="855"/>
      <c r="BU478" s="855"/>
      <c r="BV478" s="855"/>
      <c r="BW478" s="855"/>
      <c r="BX478" s="855"/>
      <c r="BY478" s="855"/>
      <c r="BZ478" s="855"/>
      <c r="CA478" s="855"/>
      <c r="CB478" s="855"/>
      <c r="CC478" s="855"/>
      <c r="CD478" s="855"/>
      <c r="CE478" s="855">
        <v>170</v>
      </c>
      <c r="CF478" s="848"/>
      <c r="CG478" s="848"/>
      <c r="CH478" s="848"/>
      <c r="CI478" s="848"/>
      <c r="CJ478" s="848"/>
      <c r="CK478" s="848"/>
      <c r="CL478" s="848"/>
      <c r="CM478" s="848"/>
      <c r="CN478" s="848"/>
      <c r="CO478" s="848"/>
      <c r="CP478" s="848"/>
      <c r="CQ478" s="848"/>
      <c r="CR478" s="848"/>
      <c r="CS478" s="848"/>
      <c r="CT478" s="848"/>
      <c r="CU478" s="848"/>
      <c r="CV478" s="848"/>
      <c r="CW478" s="848"/>
    </row>
    <row r="479" spans="1:101" ht="32.450000000000003" customHeight="1">
      <c r="A479" s="845" t="s">
        <v>31</v>
      </c>
      <c r="B479" s="852"/>
      <c r="C479" s="857" t="s">
        <v>508</v>
      </c>
      <c r="D479" s="846">
        <f>D480+D481</f>
        <v>0</v>
      </c>
      <c r="E479" s="845">
        <f t="shared" ref="E479:CE479" si="443">E480+E481</f>
        <v>0</v>
      </c>
      <c r="F479" s="847"/>
      <c r="G479" s="845"/>
      <c r="H479" s="850">
        <f t="shared" si="439"/>
        <v>22096</v>
      </c>
      <c r="I479" s="848">
        <f t="shared" si="443"/>
        <v>0</v>
      </c>
      <c r="J479" s="848">
        <f t="shared" si="443"/>
        <v>0</v>
      </c>
      <c r="K479" s="848">
        <f t="shared" si="443"/>
        <v>0</v>
      </c>
      <c r="L479" s="848">
        <f t="shared" si="443"/>
        <v>0</v>
      </c>
      <c r="M479" s="848">
        <f t="shared" si="443"/>
        <v>0</v>
      </c>
      <c r="N479" s="848">
        <f t="shared" si="443"/>
        <v>0</v>
      </c>
      <c r="O479" s="848">
        <f t="shared" si="443"/>
        <v>0</v>
      </c>
      <c r="P479" s="848">
        <f t="shared" si="443"/>
        <v>0</v>
      </c>
      <c r="Q479" s="848">
        <f t="shared" si="443"/>
        <v>0</v>
      </c>
      <c r="R479" s="848">
        <v>0</v>
      </c>
      <c r="S479" s="848">
        <f t="shared" si="443"/>
        <v>22096</v>
      </c>
      <c r="T479" s="848">
        <f t="shared" si="443"/>
        <v>5019</v>
      </c>
      <c r="U479" s="848">
        <f t="shared" si="443"/>
        <v>0</v>
      </c>
      <c r="V479" s="848">
        <f t="shared" si="443"/>
        <v>0</v>
      </c>
      <c r="W479" s="848">
        <f t="shared" si="443"/>
        <v>0</v>
      </c>
      <c r="X479" s="848">
        <f t="shared" si="443"/>
        <v>0</v>
      </c>
      <c r="Y479" s="848">
        <f t="shared" si="443"/>
        <v>0</v>
      </c>
      <c r="Z479" s="848">
        <f t="shared" si="443"/>
        <v>0</v>
      </c>
      <c r="AA479" s="848">
        <f t="shared" si="443"/>
        <v>0</v>
      </c>
      <c r="AB479" s="848">
        <f t="shared" si="443"/>
        <v>0</v>
      </c>
      <c r="AC479" s="848">
        <f t="shared" si="443"/>
        <v>0</v>
      </c>
      <c r="AD479" s="848">
        <f t="shared" si="443"/>
        <v>0</v>
      </c>
      <c r="AE479" s="848"/>
      <c r="AF479" s="848">
        <f t="shared" si="443"/>
        <v>0</v>
      </c>
      <c r="AG479" s="848">
        <f t="shared" si="443"/>
        <v>0</v>
      </c>
      <c r="AH479" s="848">
        <f t="shared" si="443"/>
        <v>5019</v>
      </c>
      <c r="AI479" s="848">
        <f t="shared" si="443"/>
        <v>5019</v>
      </c>
      <c r="AJ479" s="848">
        <f t="shared" si="443"/>
        <v>0</v>
      </c>
      <c r="AK479" s="848">
        <f t="shared" si="443"/>
        <v>0</v>
      </c>
      <c r="AL479" s="848">
        <f t="shared" si="443"/>
        <v>0</v>
      </c>
      <c r="AM479" s="848">
        <f t="shared" si="443"/>
        <v>0</v>
      </c>
      <c r="AN479" s="848">
        <f t="shared" si="443"/>
        <v>0</v>
      </c>
      <c r="AO479" s="848">
        <f t="shared" si="443"/>
        <v>0</v>
      </c>
      <c r="AP479" s="848">
        <f t="shared" si="443"/>
        <v>0</v>
      </c>
      <c r="AQ479" s="848">
        <f t="shared" si="443"/>
        <v>0</v>
      </c>
      <c r="AR479" s="848">
        <f t="shared" si="443"/>
        <v>0</v>
      </c>
      <c r="AS479" s="848"/>
      <c r="AT479" s="848">
        <f t="shared" si="443"/>
        <v>0</v>
      </c>
      <c r="AU479" s="848">
        <f t="shared" si="443"/>
        <v>0</v>
      </c>
      <c r="AV479" s="848">
        <f t="shared" si="443"/>
        <v>0</v>
      </c>
      <c r="AW479" s="848">
        <f t="shared" si="443"/>
        <v>0</v>
      </c>
      <c r="AX479" s="848">
        <f t="shared" si="443"/>
        <v>5019</v>
      </c>
      <c r="AY479" s="848">
        <f t="shared" si="443"/>
        <v>7200</v>
      </c>
      <c r="AZ479" s="848">
        <f t="shared" si="443"/>
        <v>0</v>
      </c>
      <c r="BA479" s="848">
        <f t="shared" si="443"/>
        <v>0</v>
      </c>
      <c r="BB479" s="848">
        <f t="shared" si="443"/>
        <v>0</v>
      </c>
      <c r="BC479" s="848">
        <f t="shared" si="443"/>
        <v>0</v>
      </c>
      <c r="BD479" s="848">
        <f t="shared" si="443"/>
        <v>0</v>
      </c>
      <c r="BE479" s="848">
        <f t="shared" si="443"/>
        <v>0</v>
      </c>
      <c r="BF479" s="848">
        <f t="shared" si="443"/>
        <v>0</v>
      </c>
      <c r="BG479" s="848">
        <f t="shared" si="443"/>
        <v>0</v>
      </c>
      <c r="BH479" s="848">
        <f t="shared" si="443"/>
        <v>0</v>
      </c>
      <c r="BI479" s="848">
        <f t="shared" si="443"/>
        <v>0</v>
      </c>
      <c r="BJ479" s="848">
        <f t="shared" si="443"/>
        <v>0</v>
      </c>
      <c r="BK479" s="848">
        <f t="shared" si="443"/>
        <v>0</v>
      </c>
      <c r="BL479" s="848">
        <f t="shared" si="443"/>
        <v>0</v>
      </c>
      <c r="BM479" s="848">
        <f t="shared" si="443"/>
        <v>0</v>
      </c>
      <c r="BN479" s="848">
        <f>BN480+BN481</f>
        <v>7200</v>
      </c>
      <c r="BO479" s="848">
        <f t="shared" si="421"/>
        <v>8242.82</v>
      </c>
      <c r="BP479" s="848">
        <f t="shared" si="443"/>
        <v>0</v>
      </c>
      <c r="BQ479" s="848">
        <f t="shared" si="443"/>
        <v>0</v>
      </c>
      <c r="BR479" s="848">
        <f t="shared" si="443"/>
        <v>0</v>
      </c>
      <c r="BS479" s="848">
        <f t="shared" si="443"/>
        <v>0</v>
      </c>
      <c r="BT479" s="848">
        <f t="shared" si="443"/>
        <v>0</v>
      </c>
      <c r="BU479" s="848">
        <f t="shared" si="443"/>
        <v>0</v>
      </c>
      <c r="BV479" s="848">
        <f t="shared" si="443"/>
        <v>0</v>
      </c>
      <c r="BW479" s="848">
        <f t="shared" si="443"/>
        <v>0</v>
      </c>
      <c r="BX479" s="848">
        <f t="shared" si="443"/>
        <v>0</v>
      </c>
      <c r="BY479" s="848">
        <f t="shared" si="443"/>
        <v>0</v>
      </c>
      <c r="BZ479" s="848">
        <f t="shared" si="443"/>
        <v>0</v>
      </c>
      <c r="CA479" s="848">
        <f t="shared" si="443"/>
        <v>0</v>
      </c>
      <c r="CB479" s="848">
        <f t="shared" si="443"/>
        <v>0</v>
      </c>
      <c r="CC479" s="848">
        <f t="shared" si="443"/>
        <v>0</v>
      </c>
      <c r="CD479" s="848">
        <f t="shared" si="443"/>
        <v>0</v>
      </c>
      <c r="CE479" s="848">
        <f t="shared" si="443"/>
        <v>8242.82</v>
      </c>
      <c r="CF479" s="848">
        <f t="shared" ref="CF479:CF488" si="444">BO479/AY479%</f>
        <v>114.4836111111111</v>
      </c>
      <c r="CG479" s="848"/>
      <c r="CH479" s="848"/>
      <c r="CI479" s="848"/>
      <c r="CJ479" s="848"/>
      <c r="CK479" s="848"/>
      <c r="CL479" s="848"/>
      <c r="CM479" s="848"/>
      <c r="CN479" s="848"/>
      <c r="CO479" s="848"/>
      <c r="CP479" s="848"/>
      <c r="CQ479" s="848"/>
      <c r="CR479" s="848"/>
      <c r="CS479" s="848"/>
      <c r="CT479" s="848"/>
      <c r="CU479" s="848"/>
      <c r="CV479" s="848"/>
      <c r="CW479" s="848">
        <f t="shared" si="426"/>
        <v>114.48361111111112</v>
      </c>
    </row>
    <row r="480" spans="1:101" ht="31.9" customHeight="1">
      <c r="A480" s="845"/>
      <c r="B480" s="852" t="s">
        <v>578</v>
      </c>
      <c r="C480" s="852" t="s">
        <v>1130</v>
      </c>
      <c r="D480" s="846"/>
      <c r="E480" s="845"/>
      <c r="F480" s="853" t="s">
        <v>1065</v>
      </c>
      <c r="G480" s="846" t="s">
        <v>1129</v>
      </c>
      <c r="H480" s="850">
        <f t="shared" si="439"/>
        <v>12096</v>
      </c>
      <c r="I480" s="855"/>
      <c r="J480" s="848"/>
      <c r="K480" s="848"/>
      <c r="L480" s="848"/>
      <c r="M480" s="848"/>
      <c r="N480" s="848"/>
      <c r="O480" s="848"/>
      <c r="P480" s="848"/>
      <c r="Q480" s="848"/>
      <c r="R480" s="848"/>
      <c r="S480" s="855">
        <v>12096</v>
      </c>
      <c r="T480" s="855">
        <f t="shared" si="431"/>
        <v>5019</v>
      </c>
      <c r="U480" s="848"/>
      <c r="V480" s="848"/>
      <c r="W480" s="848"/>
      <c r="X480" s="848"/>
      <c r="Y480" s="848"/>
      <c r="Z480" s="848"/>
      <c r="AA480" s="848"/>
      <c r="AB480" s="848"/>
      <c r="AC480" s="848"/>
      <c r="AD480" s="848"/>
      <c r="AE480" s="848"/>
      <c r="AF480" s="848"/>
      <c r="AG480" s="848"/>
      <c r="AH480" s="855">
        <v>5019</v>
      </c>
      <c r="AI480" s="855">
        <f>AX480</f>
        <v>5019</v>
      </c>
      <c r="AJ480" s="855"/>
      <c r="AK480" s="855"/>
      <c r="AL480" s="855"/>
      <c r="AM480" s="855"/>
      <c r="AN480" s="855"/>
      <c r="AO480" s="855"/>
      <c r="AP480" s="855"/>
      <c r="AQ480" s="855"/>
      <c r="AR480" s="855"/>
      <c r="AS480" s="855"/>
      <c r="AT480" s="855"/>
      <c r="AU480" s="855"/>
      <c r="AV480" s="855"/>
      <c r="AW480" s="855"/>
      <c r="AX480" s="855">
        <v>5019</v>
      </c>
      <c r="AY480" s="855">
        <f t="shared" si="442"/>
        <v>3200</v>
      </c>
      <c r="AZ480" s="855"/>
      <c r="BA480" s="855"/>
      <c r="BB480" s="855"/>
      <c r="BC480" s="855"/>
      <c r="BD480" s="855"/>
      <c r="BE480" s="855"/>
      <c r="BF480" s="855"/>
      <c r="BG480" s="855"/>
      <c r="BH480" s="855"/>
      <c r="BI480" s="855"/>
      <c r="BJ480" s="855"/>
      <c r="BK480" s="855"/>
      <c r="BL480" s="855"/>
      <c r="BM480" s="855"/>
      <c r="BN480" s="855">
        <f>'[10]bieu cu'!H201</f>
        <v>3200</v>
      </c>
      <c r="BO480" s="848">
        <f t="shared" si="421"/>
        <v>7796.482</v>
      </c>
      <c r="BP480" s="855"/>
      <c r="BQ480" s="855"/>
      <c r="BR480" s="855"/>
      <c r="BS480" s="855"/>
      <c r="BT480" s="855"/>
      <c r="BU480" s="855"/>
      <c r="BV480" s="855"/>
      <c r="BW480" s="855"/>
      <c r="BX480" s="855"/>
      <c r="BY480" s="855"/>
      <c r="BZ480" s="855"/>
      <c r="CA480" s="855"/>
      <c r="CB480" s="855"/>
      <c r="CC480" s="855"/>
      <c r="CD480" s="855"/>
      <c r="CE480" s="855">
        <v>7796.482</v>
      </c>
      <c r="CF480" s="848">
        <f t="shared" si="444"/>
        <v>243.6400625</v>
      </c>
      <c r="CG480" s="848"/>
      <c r="CH480" s="848"/>
      <c r="CI480" s="848"/>
      <c r="CJ480" s="848"/>
      <c r="CK480" s="848"/>
      <c r="CL480" s="848"/>
      <c r="CM480" s="848"/>
      <c r="CN480" s="848"/>
      <c r="CO480" s="848"/>
      <c r="CP480" s="848"/>
      <c r="CQ480" s="848"/>
      <c r="CR480" s="848"/>
      <c r="CS480" s="848"/>
      <c r="CT480" s="848"/>
      <c r="CU480" s="848"/>
      <c r="CV480" s="848"/>
      <c r="CW480" s="848">
        <f t="shared" si="426"/>
        <v>243.6400625</v>
      </c>
    </row>
    <row r="481" spans="1:101" ht="32.450000000000003" customHeight="1">
      <c r="A481" s="845"/>
      <c r="B481" s="852" t="s">
        <v>578</v>
      </c>
      <c r="C481" s="852" t="s">
        <v>1131</v>
      </c>
      <c r="D481" s="846"/>
      <c r="E481" s="845"/>
      <c r="F481" s="853" t="s">
        <v>382</v>
      </c>
      <c r="G481" s="846" t="s">
        <v>1132</v>
      </c>
      <c r="H481" s="850">
        <f t="shared" si="439"/>
        <v>10000</v>
      </c>
      <c r="I481" s="876"/>
      <c r="J481" s="848"/>
      <c r="K481" s="848"/>
      <c r="L481" s="848"/>
      <c r="M481" s="848"/>
      <c r="N481" s="848"/>
      <c r="O481" s="848"/>
      <c r="P481" s="848"/>
      <c r="Q481" s="848"/>
      <c r="R481" s="848"/>
      <c r="S481" s="855">
        <v>10000</v>
      </c>
      <c r="T481" s="855">
        <f t="shared" si="431"/>
        <v>0</v>
      </c>
      <c r="U481" s="848"/>
      <c r="V481" s="848"/>
      <c r="W481" s="848"/>
      <c r="X481" s="848"/>
      <c r="Y481" s="848"/>
      <c r="Z481" s="848"/>
      <c r="AA481" s="848"/>
      <c r="AB481" s="848"/>
      <c r="AC481" s="848"/>
      <c r="AD481" s="848"/>
      <c r="AE481" s="848"/>
      <c r="AF481" s="848"/>
      <c r="AG481" s="848"/>
      <c r="AH481" s="855"/>
      <c r="AI481" s="855">
        <f>AX481</f>
        <v>0</v>
      </c>
      <c r="AJ481" s="855"/>
      <c r="AK481" s="855"/>
      <c r="AL481" s="855"/>
      <c r="AM481" s="855"/>
      <c r="AN481" s="855"/>
      <c r="AO481" s="855"/>
      <c r="AP481" s="855"/>
      <c r="AQ481" s="855"/>
      <c r="AR481" s="855"/>
      <c r="AS481" s="855"/>
      <c r="AT481" s="855"/>
      <c r="AU481" s="855"/>
      <c r="AV481" s="855"/>
      <c r="AW481" s="855"/>
      <c r="AX481" s="855"/>
      <c r="AY481" s="855">
        <f t="shared" si="442"/>
        <v>4000</v>
      </c>
      <c r="AZ481" s="855"/>
      <c r="BA481" s="855"/>
      <c r="BB481" s="855"/>
      <c r="BC481" s="855"/>
      <c r="BD481" s="855"/>
      <c r="BE481" s="855"/>
      <c r="BF481" s="855"/>
      <c r="BG481" s="855"/>
      <c r="BH481" s="855"/>
      <c r="BI481" s="855"/>
      <c r="BJ481" s="855"/>
      <c r="BK481" s="855"/>
      <c r="BL481" s="855"/>
      <c r="BM481" s="855"/>
      <c r="BN481" s="855">
        <f>'[10]bieu cu'!H202</f>
        <v>4000</v>
      </c>
      <c r="BO481" s="848">
        <f t="shared" si="421"/>
        <v>446.33800000000002</v>
      </c>
      <c r="BP481" s="855"/>
      <c r="BQ481" s="855"/>
      <c r="BR481" s="855"/>
      <c r="BS481" s="855"/>
      <c r="BT481" s="855"/>
      <c r="BU481" s="855"/>
      <c r="BV481" s="855"/>
      <c r="BW481" s="855"/>
      <c r="BX481" s="855"/>
      <c r="BY481" s="855"/>
      <c r="BZ481" s="855"/>
      <c r="CA481" s="855"/>
      <c r="CB481" s="855"/>
      <c r="CC481" s="855"/>
      <c r="CD481" s="855"/>
      <c r="CE481" s="855">
        <v>446.33800000000002</v>
      </c>
      <c r="CF481" s="848">
        <f t="shared" si="444"/>
        <v>11.15845</v>
      </c>
      <c r="CG481" s="848"/>
      <c r="CH481" s="848"/>
      <c r="CI481" s="848"/>
      <c r="CJ481" s="848"/>
      <c r="CK481" s="848"/>
      <c r="CL481" s="848"/>
      <c r="CM481" s="848"/>
      <c r="CN481" s="848"/>
      <c r="CO481" s="848"/>
      <c r="CP481" s="848"/>
      <c r="CQ481" s="848"/>
      <c r="CR481" s="848"/>
      <c r="CS481" s="848"/>
      <c r="CT481" s="848"/>
      <c r="CU481" s="848"/>
      <c r="CV481" s="848"/>
      <c r="CW481" s="848">
        <f t="shared" si="426"/>
        <v>11.15845</v>
      </c>
    </row>
    <row r="482" spans="1:101" s="851" customFormat="1" ht="33.6" customHeight="1">
      <c r="A482" s="845" t="s">
        <v>590</v>
      </c>
      <c r="B482" s="852"/>
      <c r="C482" s="857" t="s">
        <v>795</v>
      </c>
      <c r="D482" s="846">
        <f>D483</f>
        <v>0</v>
      </c>
      <c r="E482" s="845">
        <f t="shared" ref="E482:CE482" si="445">E483</f>
        <v>0</v>
      </c>
      <c r="F482" s="847"/>
      <c r="G482" s="845"/>
      <c r="H482" s="850">
        <f t="shared" si="439"/>
        <v>73774</v>
      </c>
      <c r="I482" s="848">
        <f t="shared" si="445"/>
        <v>0</v>
      </c>
      <c r="J482" s="848">
        <f t="shared" si="445"/>
        <v>0</v>
      </c>
      <c r="K482" s="848">
        <f t="shared" si="445"/>
        <v>0</v>
      </c>
      <c r="L482" s="848">
        <f t="shared" si="445"/>
        <v>0</v>
      </c>
      <c r="M482" s="848">
        <f t="shared" si="445"/>
        <v>0</v>
      </c>
      <c r="N482" s="848">
        <f t="shared" si="445"/>
        <v>0</v>
      </c>
      <c r="O482" s="848">
        <f t="shared" si="445"/>
        <v>0</v>
      </c>
      <c r="P482" s="848">
        <f t="shared" si="445"/>
        <v>0</v>
      </c>
      <c r="Q482" s="848">
        <f t="shared" si="445"/>
        <v>0</v>
      </c>
      <c r="R482" s="848">
        <v>42557</v>
      </c>
      <c r="S482" s="848">
        <f t="shared" si="445"/>
        <v>31217</v>
      </c>
      <c r="T482" s="855">
        <f t="shared" si="431"/>
        <v>23157</v>
      </c>
      <c r="U482" s="848">
        <f t="shared" ref="U482:AH482" si="446">U483</f>
        <v>0</v>
      </c>
      <c r="V482" s="848">
        <f t="shared" si="446"/>
        <v>0</v>
      </c>
      <c r="W482" s="848">
        <f t="shared" si="446"/>
        <v>0</v>
      </c>
      <c r="X482" s="848">
        <f t="shared" si="446"/>
        <v>0</v>
      </c>
      <c r="Y482" s="848">
        <f t="shared" si="446"/>
        <v>0</v>
      </c>
      <c r="Z482" s="848">
        <f t="shared" si="446"/>
        <v>0</v>
      </c>
      <c r="AA482" s="848">
        <f t="shared" si="446"/>
        <v>0</v>
      </c>
      <c r="AB482" s="848">
        <f t="shared" si="446"/>
        <v>0</v>
      </c>
      <c r="AC482" s="848">
        <f t="shared" si="446"/>
        <v>0</v>
      </c>
      <c r="AD482" s="848">
        <f t="shared" si="446"/>
        <v>0</v>
      </c>
      <c r="AE482" s="848"/>
      <c r="AF482" s="848">
        <f t="shared" si="446"/>
        <v>0</v>
      </c>
      <c r="AG482" s="848">
        <f t="shared" si="446"/>
        <v>0</v>
      </c>
      <c r="AH482" s="848">
        <f t="shared" si="446"/>
        <v>23157</v>
      </c>
      <c r="AI482" s="848">
        <f t="shared" si="445"/>
        <v>14412</v>
      </c>
      <c r="AJ482" s="848">
        <f t="shared" si="445"/>
        <v>0</v>
      </c>
      <c r="AK482" s="848">
        <f t="shared" si="445"/>
        <v>0</v>
      </c>
      <c r="AL482" s="848">
        <f t="shared" si="445"/>
        <v>0</v>
      </c>
      <c r="AM482" s="848">
        <f t="shared" si="445"/>
        <v>0</v>
      </c>
      <c r="AN482" s="848">
        <f t="shared" si="445"/>
        <v>0</v>
      </c>
      <c r="AO482" s="848">
        <f t="shared" si="445"/>
        <v>0</v>
      </c>
      <c r="AP482" s="848">
        <f t="shared" si="445"/>
        <v>0</v>
      </c>
      <c r="AQ482" s="848">
        <f t="shared" si="445"/>
        <v>0</v>
      </c>
      <c r="AR482" s="848">
        <f t="shared" si="445"/>
        <v>0</v>
      </c>
      <c r="AS482" s="848"/>
      <c r="AT482" s="848">
        <f t="shared" si="445"/>
        <v>0</v>
      </c>
      <c r="AU482" s="848">
        <f t="shared" si="445"/>
        <v>0</v>
      </c>
      <c r="AV482" s="848">
        <f t="shared" si="445"/>
        <v>0</v>
      </c>
      <c r="AW482" s="848">
        <f t="shared" si="445"/>
        <v>0</v>
      </c>
      <c r="AX482" s="848">
        <f t="shared" si="445"/>
        <v>14412</v>
      </c>
      <c r="AY482" s="848">
        <f t="shared" si="445"/>
        <v>5000</v>
      </c>
      <c r="AZ482" s="848">
        <f t="shared" si="445"/>
        <v>0</v>
      </c>
      <c r="BA482" s="848">
        <f t="shared" si="445"/>
        <v>0</v>
      </c>
      <c r="BB482" s="848">
        <f t="shared" si="445"/>
        <v>0</v>
      </c>
      <c r="BC482" s="848">
        <f t="shared" si="445"/>
        <v>5000</v>
      </c>
      <c r="BD482" s="848">
        <f t="shared" si="445"/>
        <v>0</v>
      </c>
      <c r="BE482" s="848">
        <f t="shared" si="445"/>
        <v>0</v>
      </c>
      <c r="BF482" s="848">
        <f t="shared" si="445"/>
        <v>0</v>
      </c>
      <c r="BG482" s="848">
        <f t="shared" si="445"/>
        <v>0</v>
      </c>
      <c r="BH482" s="848">
        <f t="shared" si="445"/>
        <v>0</v>
      </c>
      <c r="BI482" s="848">
        <f t="shared" si="445"/>
        <v>0</v>
      </c>
      <c r="BJ482" s="848">
        <f t="shared" si="445"/>
        <v>0</v>
      </c>
      <c r="BK482" s="848">
        <f t="shared" si="445"/>
        <v>0</v>
      </c>
      <c r="BL482" s="848">
        <f t="shared" si="445"/>
        <v>0</v>
      </c>
      <c r="BM482" s="848">
        <f t="shared" si="445"/>
        <v>0</v>
      </c>
      <c r="BN482" s="848">
        <f t="shared" si="445"/>
        <v>0</v>
      </c>
      <c r="BO482" s="848">
        <f t="shared" si="421"/>
        <v>5245</v>
      </c>
      <c r="BP482" s="848">
        <f t="shared" si="445"/>
        <v>0</v>
      </c>
      <c r="BQ482" s="848">
        <f t="shared" si="445"/>
        <v>0</v>
      </c>
      <c r="BR482" s="848">
        <f t="shared" si="445"/>
        <v>0</v>
      </c>
      <c r="BS482" s="848">
        <f t="shared" si="445"/>
        <v>5000</v>
      </c>
      <c r="BT482" s="848">
        <f t="shared" si="445"/>
        <v>0</v>
      </c>
      <c r="BU482" s="848">
        <f t="shared" si="445"/>
        <v>0</v>
      </c>
      <c r="BV482" s="848">
        <f t="shared" si="445"/>
        <v>0</v>
      </c>
      <c r="BW482" s="848">
        <f t="shared" si="445"/>
        <v>0</v>
      </c>
      <c r="BX482" s="848">
        <f t="shared" si="445"/>
        <v>0</v>
      </c>
      <c r="BY482" s="848">
        <f t="shared" si="445"/>
        <v>0</v>
      </c>
      <c r="BZ482" s="848">
        <f t="shared" si="445"/>
        <v>0</v>
      </c>
      <c r="CA482" s="848">
        <f t="shared" si="445"/>
        <v>0</v>
      </c>
      <c r="CB482" s="848">
        <f t="shared" si="445"/>
        <v>0</v>
      </c>
      <c r="CC482" s="848">
        <f t="shared" si="445"/>
        <v>0</v>
      </c>
      <c r="CD482" s="848">
        <f t="shared" si="445"/>
        <v>0</v>
      </c>
      <c r="CE482" s="848">
        <f t="shared" si="445"/>
        <v>245</v>
      </c>
      <c r="CF482" s="848">
        <f t="shared" si="444"/>
        <v>104.9</v>
      </c>
      <c r="CG482" s="848"/>
      <c r="CH482" s="848"/>
      <c r="CI482" s="848"/>
      <c r="CJ482" s="848">
        <f t="shared" si="437"/>
        <v>100</v>
      </c>
      <c r="CK482" s="848"/>
      <c r="CL482" s="848"/>
      <c r="CM482" s="848"/>
      <c r="CN482" s="848"/>
      <c r="CO482" s="848"/>
      <c r="CP482" s="848"/>
      <c r="CQ482" s="848"/>
      <c r="CR482" s="848"/>
      <c r="CS482" s="848"/>
      <c r="CT482" s="848"/>
      <c r="CU482" s="848"/>
      <c r="CV482" s="848"/>
      <c r="CW482" s="848"/>
    </row>
    <row r="483" spans="1:101" ht="30.6" customHeight="1">
      <c r="A483" s="845"/>
      <c r="B483" s="852" t="s">
        <v>578</v>
      </c>
      <c r="C483" s="852" t="s">
        <v>1133</v>
      </c>
      <c r="D483" s="846"/>
      <c r="E483" s="845"/>
      <c r="F483" s="853" t="s">
        <v>1134</v>
      </c>
      <c r="G483" s="846" t="s">
        <v>1135</v>
      </c>
      <c r="H483" s="850">
        <f t="shared" si="439"/>
        <v>73774</v>
      </c>
      <c r="I483" s="855"/>
      <c r="J483" s="848"/>
      <c r="K483" s="848"/>
      <c r="L483" s="848"/>
      <c r="M483" s="848"/>
      <c r="N483" s="848"/>
      <c r="O483" s="848"/>
      <c r="P483" s="848"/>
      <c r="Q483" s="848"/>
      <c r="R483" s="855">
        <v>42557</v>
      </c>
      <c r="S483" s="855">
        <v>31217</v>
      </c>
      <c r="T483" s="855">
        <f t="shared" si="431"/>
        <v>23157</v>
      </c>
      <c r="U483" s="848"/>
      <c r="V483" s="848"/>
      <c r="W483" s="848"/>
      <c r="X483" s="848"/>
      <c r="Y483" s="848"/>
      <c r="Z483" s="848"/>
      <c r="AA483" s="848"/>
      <c r="AB483" s="848"/>
      <c r="AC483" s="848"/>
      <c r="AD483" s="848"/>
      <c r="AE483" s="848"/>
      <c r="AF483" s="848"/>
      <c r="AG483" s="848"/>
      <c r="AH483" s="855">
        <v>23157</v>
      </c>
      <c r="AI483" s="855">
        <f>AX483</f>
        <v>14412</v>
      </c>
      <c r="AJ483" s="855"/>
      <c r="AK483" s="855"/>
      <c r="AL483" s="855"/>
      <c r="AM483" s="855"/>
      <c r="AN483" s="855"/>
      <c r="AO483" s="855"/>
      <c r="AP483" s="855"/>
      <c r="AQ483" s="855"/>
      <c r="AR483" s="855"/>
      <c r="AS483" s="855"/>
      <c r="AT483" s="855"/>
      <c r="AU483" s="855"/>
      <c r="AV483" s="855"/>
      <c r="AW483" s="855"/>
      <c r="AX483" s="855">
        <f>3782+5000+5630</f>
        <v>14412</v>
      </c>
      <c r="AY483" s="855">
        <f t="shared" si="442"/>
        <v>5000</v>
      </c>
      <c r="AZ483" s="855"/>
      <c r="BA483" s="855"/>
      <c r="BB483" s="855"/>
      <c r="BC483" s="855">
        <f>'[10]bieu cu'!H286</f>
        <v>5000</v>
      </c>
      <c r="BD483" s="855"/>
      <c r="BE483" s="855"/>
      <c r="BF483" s="855"/>
      <c r="BG483" s="855"/>
      <c r="BH483" s="855"/>
      <c r="BI483" s="855"/>
      <c r="BJ483" s="855"/>
      <c r="BK483" s="855"/>
      <c r="BL483" s="855"/>
      <c r="BM483" s="855"/>
      <c r="BN483" s="855">
        <v>0</v>
      </c>
      <c r="BO483" s="848">
        <f t="shared" si="421"/>
        <v>5245</v>
      </c>
      <c r="BP483" s="855"/>
      <c r="BQ483" s="855"/>
      <c r="BR483" s="855"/>
      <c r="BS483" s="855">
        <f>'[10]bieu cu'!M286</f>
        <v>5000</v>
      </c>
      <c r="BT483" s="855"/>
      <c r="BU483" s="855"/>
      <c r="BV483" s="855"/>
      <c r="BW483" s="855"/>
      <c r="BX483" s="855"/>
      <c r="BY483" s="855"/>
      <c r="BZ483" s="855"/>
      <c r="CA483" s="855"/>
      <c r="CB483" s="855"/>
      <c r="CC483" s="855"/>
      <c r="CD483" s="855"/>
      <c r="CE483" s="855">
        <v>245</v>
      </c>
      <c r="CF483" s="848">
        <f t="shared" si="444"/>
        <v>104.9</v>
      </c>
      <c r="CG483" s="848"/>
      <c r="CH483" s="848"/>
      <c r="CI483" s="848"/>
      <c r="CJ483" s="848">
        <f t="shared" si="437"/>
        <v>100</v>
      </c>
      <c r="CK483" s="848"/>
      <c r="CL483" s="848"/>
      <c r="CM483" s="848"/>
      <c r="CN483" s="848"/>
      <c r="CO483" s="848"/>
      <c r="CP483" s="848"/>
      <c r="CQ483" s="848"/>
      <c r="CR483" s="848"/>
      <c r="CS483" s="848"/>
      <c r="CT483" s="848"/>
      <c r="CU483" s="848"/>
      <c r="CV483" s="848"/>
      <c r="CW483" s="848"/>
    </row>
    <row r="484" spans="1:101" s="851" customFormat="1" ht="23.45" customHeight="1">
      <c r="A484" s="845" t="s">
        <v>23</v>
      </c>
      <c r="B484" s="845"/>
      <c r="C484" s="857" t="s">
        <v>834</v>
      </c>
      <c r="D484" s="846">
        <f>D485+D492</f>
        <v>0</v>
      </c>
      <c r="E484" s="845">
        <f t="shared" ref="E484:CE484" si="447">E485+E492</f>
        <v>0</v>
      </c>
      <c r="F484" s="847"/>
      <c r="G484" s="845"/>
      <c r="H484" s="850">
        <f t="shared" si="439"/>
        <v>44814.2</v>
      </c>
      <c r="I484" s="848">
        <f t="shared" si="447"/>
        <v>0</v>
      </c>
      <c r="J484" s="848">
        <f t="shared" si="447"/>
        <v>0</v>
      </c>
      <c r="K484" s="848">
        <f t="shared" si="447"/>
        <v>0</v>
      </c>
      <c r="L484" s="848">
        <f t="shared" si="447"/>
        <v>0</v>
      </c>
      <c r="M484" s="848">
        <f t="shared" si="447"/>
        <v>0</v>
      </c>
      <c r="N484" s="848">
        <f t="shared" si="447"/>
        <v>0</v>
      </c>
      <c r="O484" s="848">
        <f t="shared" si="447"/>
        <v>0</v>
      </c>
      <c r="P484" s="848">
        <f t="shared" si="447"/>
        <v>0</v>
      </c>
      <c r="Q484" s="848">
        <f t="shared" si="447"/>
        <v>0</v>
      </c>
      <c r="R484" s="848">
        <v>0</v>
      </c>
      <c r="S484" s="848">
        <f t="shared" si="447"/>
        <v>44814.2</v>
      </c>
      <c r="T484" s="855">
        <f t="shared" si="431"/>
        <v>20386.5</v>
      </c>
      <c r="U484" s="848">
        <f t="shared" ref="U484:AH484" si="448">U485+U492</f>
        <v>6356.5</v>
      </c>
      <c r="V484" s="848">
        <f t="shared" si="448"/>
        <v>0</v>
      </c>
      <c r="W484" s="848">
        <f t="shared" si="448"/>
        <v>0</v>
      </c>
      <c r="X484" s="848">
        <f t="shared" si="448"/>
        <v>7530</v>
      </c>
      <c r="Y484" s="848">
        <f t="shared" si="448"/>
        <v>0</v>
      </c>
      <c r="Z484" s="848">
        <f t="shared" si="448"/>
        <v>0</v>
      </c>
      <c r="AA484" s="848">
        <f t="shared" si="448"/>
        <v>0</v>
      </c>
      <c r="AB484" s="848">
        <f t="shared" si="448"/>
        <v>0</v>
      </c>
      <c r="AC484" s="848">
        <f t="shared" si="448"/>
        <v>0</v>
      </c>
      <c r="AD484" s="848">
        <f t="shared" si="448"/>
        <v>0</v>
      </c>
      <c r="AE484" s="848"/>
      <c r="AF484" s="848">
        <f t="shared" si="448"/>
        <v>0</v>
      </c>
      <c r="AG484" s="848">
        <f t="shared" si="448"/>
        <v>0</v>
      </c>
      <c r="AH484" s="848">
        <f t="shared" si="448"/>
        <v>6500</v>
      </c>
      <c r="AI484" s="848">
        <f t="shared" si="447"/>
        <v>19619</v>
      </c>
      <c r="AJ484" s="848">
        <f t="shared" si="447"/>
        <v>8816</v>
      </c>
      <c r="AK484" s="848">
        <f t="shared" si="447"/>
        <v>0</v>
      </c>
      <c r="AL484" s="848">
        <f t="shared" si="447"/>
        <v>0</v>
      </c>
      <c r="AM484" s="848">
        <f t="shared" si="447"/>
        <v>6303</v>
      </c>
      <c r="AN484" s="848">
        <f t="shared" si="447"/>
        <v>0</v>
      </c>
      <c r="AO484" s="848">
        <f t="shared" si="447"/>
        <v>0</v>
      </c>
      <c r="AP484" s="848">
        <f t="shared" si="447"/>
        <v>0</v>
      </c>
      <c r="AQ484" s="848">
        <f t="shared" si="447"/>
        <v>0</v>
      </c>
      <c r="AR484" s="848">
        <f t="shared" si="447"/>
        <v>0</v>
      </c>
      <c r="AS484" s="848"/>
      <c r="AT484" s="848">
        <f t="shared" si="447"/>
        <v>0</v>
      </c>
      <c r="AU484" s="848">
        <f t="shared" si="447"/>
        <v>0</v>
      </c>
      <c r="AV484" s="848">
        <f t="shared" si="447"/>
        <v>0</v>
      </c>
      <c r="AW484" s="848">
        <f t="shared" si="447"/>
        <v>0</v>
      </c>
      <c r="AX484" s="848">
        <f t="shared" si="447"/>
        <v>4500</v>
      </c>
      <c r="AY484" s="848">
        <f t="shared" si="447"/>
        <v>8777</v>
      </c>
      <c r="AZ484" s="848">
        <f t="shared" si="447"/>
        <v>0</v>
      </c>
      <c r="BA484" s="848">
        <f t="shared" si="447"/>
        <v>0</v>
      </c>
      <c r="BB484" s="848">
        <f t="shared" si="447"/>
        <v>0</v>
      </c>
      <c r="BC484" s="848">
        <f t="shared" si="447"/>
        <v>0</v>
      </c>
      <c r="BD484" s="848">
        <f t="shared" si="447"/>
        <v>2215</v>
      </c>
      <c r="BE484" s="848">
        <f t="shared" si="447"/>
        <v>0</v>
      </c>
      <c r="BF484" s="848">
        <f t="shared" si="447"/>
        <v>0</v>
      </c>
      <c r="BG484" s="848">
        <f t="shared" si="447"/>
        <v>0</v>
      </c>
      <c r="BH484" s="848">
        <f t="shared" si="447"/>
        <v>0</v>
      </c>
      <c r="BI484" s="848">
        <f t="shared" si="447"/>
        <v>0</v>
      </c>
      <c r="BJ484" s="848">
        <f t="shared" si="447"/>
        <v>0</v>
      </c>
      <c r="BK484" s="848">
        <f t="shared" si="447"/>
        <v>0</v>
      </c>
      <c r="BL484" s="848">
        <f t="shared" si="447"/>
        <v>0</v>
      </c>
      <c r="BM484" s="848">
        <f t="shared" si="447"/>
        <v>0</v>
      </c>
      <c r="BN484" s="848">
        <f t="shared" si="447"/>
        <v>6562</v>
      </c>
      <c r="BO484" s="848">
        <f t="shared" si="421"/>
        <v>12793.672</v>
      </c>
      <c r="BP484" s="848">
        <f t="shared" si="447"/>
        <v>4062.9140000000002</v>
      </c>
      <c r="BQ484" s="848">
        <f t="shared" si="447"/>
        <v>0</v>
      </c>
      <c r="BR484" s="848">
        <f t="shared" si="447"/>
        <v>0</v>
      </c>
      <c r="BS484" s="848">
        <f t="shared" si="447"/>
        <v>0</v>
      </c>
      <c r="BT484" s="848">
        <f t="shared" si="447"/>
        <v>3766.5190000000002</v>
      </c>
      <c r="BU484" s="848">
        <f t="shared" si="447"/>
        <v>0</v>
      </c>
      <c r="BV484" s="848">
        <f t="shared" si="447"/>
        <v>0</v>
      </c>
      <c r="BW484" s="848">
        <f t="shared" si="447"/>
        <v>0</v>
      </c>
      <c r="BX484" s="848">
        <f t="shared" si="447"/>
        <v>0</v>
      </c>
      <c r="BY484" s="848">
        <f t="shared" si="447"/>
        <v>0</v>
      </c>
      <c r="BZ484" s="848">
        <f t="shared" si="447"/>
        <v>0</v>
      </c>
      <c r="CA484" s="848">
        <f t="shared" si="447"/>
        <v>0</v>
      </c>
      <c r="CB484" s="848">
        <f t="shared" si="447"/>
        <v>0</v>
      </c>
      <c r="CC484" s="848">
        <f t="shared" si="447"/>
        <v>0</v>
      </c>
      <c r="CD484" s="848">
        <f t="shared" si="447"/>
        <v>0</v>
      </c>
      <c r="CE484" s="848">
        <f t="shared" si="447"/>
        <v>4964.2389999999996</v>
      </c>
      <c r="CF484" s="848">
        <f t="shared" si="444"/>
        <v>145.76360943374732</v>
      </c>
      <c r="CG484" s="848"/>
      <c r="CH484" s="848"/>
      <c r="CI484" s="848"/>
      <c r="CJ484" s="848"/>
      <c r="CK484" s="848">
        <f t="shared" si="423"/>
        <v>170.04600451467269</v>
      </c>
      <c r="CL484" s="848"/>
      <c r="CM484" s="848"/>
      <c r="CN484" s="848"/>
      <c r="CO484" s="848"/>
      <c r="CP484" s="848"/>
      <c r="CQ484" s="848"/>
      <c r="CR484" s="848"/>
      <c r="CS484" s="848"/>
      <c r="CT484" s="848"/>
      <c r="CU484" s="848"/>
      <c r="CV484" s="848"/>
      <c r="CW484" s="848">
        <f t="shared" si="426"/>
        <v>75.651310576043883</v>
      </c>
    </row>
    <row r="485" spans="1:101" s="851" customFormat="1" ht="27" customHeight="1">
      <c r="A485" s="845" t="s">
        <v>30</v>
      </c>
      <c r="B485" s="845"/>
      <c r="C485" s="857" t="s">
        <v>1076</v>
      </c>
      <c r="D485" s="846">
        <f>D486+D487+D488+D489+D490+D491</f>
        <v>0</v>
      </c>
      <c r="E485" s="845">
        <f t="shared" ref="E485:CE485" si="449">E486+E487+E488+E489+E490+E491</f>
        <v>0</v>
      </c>
      <c r="F485" s="847"/>
      <c r="G485" s="845"/>
      <c r="H485" s="850">
        <f t="shared" si="439"/>
        <v>27738</v>
      </c>
      <c r="I485" s="848">
        <f>I486+I487+I488+I489+I490+I491</f>
        <v>0</v>
      </c>
      <c r="J485" s="848">
        <f t="shared" ref="J485:S485" si="450">J486+J487+J488+J489+J490+J491</f>
        <v>0</v>
      </c>
      <c r="K485" s="848">
        <f t="shared" si="450"/>
        <v>0</v>
      </c>
      <c r="L485" s="848">
        <f t="shared" si="450"/>
        <v>0</v>
      </c>
      <c r="M485" s="848">
        <f t="shared" si="450"/>
        <v>0</v>
      </c>
      <c r="N485" s="848">
        <f t="shared" si="450"/>
        <v>0</v>
      </c>
      <c r="O485" s="848">
        <f t="shared" si="450"/>
        <v>0</v>
      </c>
      <c r="P485" s="848">
        <f t="shared" si="450"/>
        <v>0</v>
      </c>
      <c r="Q485" s="848">
        <f t="shared" si="450"/>
        <v>0</v>
      </c>
      <c r="R485" s="848">
        <v>0</v>
      </c>
      <c r="S485" s="848">
        <f t="shared" si="450"/>
        <v>27738</v>
      </c>
      <c r="T485" s="855">
        <f t="shared" si="431"/>
        <v>20386.5</v>
      </c>
      <c r="U485" s="848">
        <f>U486+U487+U488+U489+U490+U491</f>
        <v>6356.5</v>
      </c>
      <c r="V485" s="848">
        <f t="shared" ref="V485:AH485" si="451">V486+V487+V488+V489+V490+V491</f>
        <v>0</v>
      </c>
      <c r="W485" s="848">
        <f t="shared" si="451"/>
        <v>0</v>
      </c>
      <c r="X485" s="848">
        <f t="shared" si="451"/>
        <v>7530</v>
      </c>
      <c r="Y485" s="848">
        <f t="shared" si="451"/>
        <v>0</v>
      </c>
      <c r="Z485" s="848">
        <f t="shared" si="451"/>
        <v>0</v>
      </c>
      <c r="AA485" s="848">
        <f t="shared" si="451"/>
        <v>0</v>
      </c>
      <c r="AB485" s="848">
        <f t="shared" si="451"/>
        <v>0</v>
      </c>
      <c r="AC485" s="848">
        <f t="shared" si="451"/>
        <v>0</v>
      </c>
      <c r="AD485" s="848">
        <f t="shared" si="451"/>
        <v>0</v>
      </c>
      <c r="AE485" s="848"/>
      <c r="AF485" s="848">
        <f t="shared" si="451"/>
        <v>0</v>
      </c>
      <c r="AG485" s="848">
        <f t="shared" si="451"/>
        <v>0</v>
      </c>
      <c r="AH485" s="848">
        <f t="shared" si="451"/>
        <v>6500</v>
      </c>
      <c r="AI485" s="848">
        <f t="shared" si="449"/>
        <v>19619</v>
      </c>
      <c r="AJ485" s="848">
        <f>AJ486+AJ487+AJ488+AJ489+AJ490+AJ491</f>
        <v>8816</v>
      </c>
      <c r="AK485" s="848">
        <f t="shared" si="449"/>
        <v>0</v>
      </c>
      <c r="AL485" s="848">
        <f t="shared" si="449"/>
        <v>0</v>
      </c>
      <c r="AM485" s="848">
        <f>AM486+AM487+AM488+AM489+AM490+AM491</f>
        <v>6303</v>
      </c>
      <c r="AN485" s="848">
        <f t="shared" si="449"/>
        <v>0</v>
      </c>
      <c r="AO485" s="848">
        <f t="shared" si="449"/>
        <v>0</v>
      </c>
      <c r="AP485" s="848">
        <f t="shared" si="449"/>
        <v>0</v>
      </c>
      <c r="AQ485" s="848">
        <f t="shared" si="449"/>
        <v>0</v>
      </c>
      <c r="AR485" s="848">
        <f t="shared" si="449"/>
        <v>0</v>
      </c>
      <c r="AS485" s="848"/>
      <c r="AT485" s="848">
        <f t="shared" si="449"/>
        <v>0</v>
      </c>
      <c r="AU485" s="848">
        <f t="shared" si="449"/>
        <v>0</v>
      </c>
      <c r="AV485" s="848">
        <f t="shared" si="449"/>
        <v>0</v>
      </c>
      <c r="AW485" s="848">
        <f t="shared" si="449"/>
        <v>0</v>
      </c>
      <c r="AX485" s="848">
        <f>AX486+AX487+AX488+AX489+AX490+AX491</f>
        <v>4500</v>
      </c>
      <c r="AY485" s="848">
        <f t="shared" si="449"/>
        <v>2085</v>
      </c>
      <c r="AZ485" s="848">
        <f t="shared" si="449"/>
        <v>0</v>
      </c>
      <c r="BA485" s="848">
        <f t="shared" si="449"/>
        <v>0</v>
      </c>
      <c r="BB485" s="848">
        <f t="shared" si="449"/>
        <v>0</v>
      </c>
      <c r="BC485" s="848">
        <f t="shared" si="449"/>
        <v>0</v>
      </c>
      <c r="BD485" s="848">
        <f t="shared" si="449"/>
        <v>1715</v>
      </c>
      <c r="BE485" s="848">
        <f t="shared" si="449"/>
        <v>0</v>
      </c>
      <c r="BF485" s="848">
        <f t="shared" si="449"/>
        <v>0</v>
      </c>
      <c r="BG485" s="848">
        <f t="shared" si="449"/>
        <v>0</v>
      </c>
      <c r="BH485" s="848">
        <f t="shared" si="449"/>
        <v>0</v>
      </c>
      <c r="BI485" s="848">
        <f t="shared" si="449"/>
        <v>0</v>
      </c>
      <c r="BJ485" s="848">
        <f t="shared" si="449"/>
        <v>0</v>
      </c>
      <c r="BK485" s="848">
        <f t="shared" si="449"/>
        <v>0</v>
      </c>
      <c r="BL485" s="848">
        <f t="shared" si="449"/>
        <v>0</v>
      </c>
      <c r="BM485" s="848">
        <f t="shared" si="449"/>
        <v>0</v>
      </c>
      <c r="BN485" s="848">
        <f t="shared" si="449"/>
        <v>370</v>
      </c>
      <c r="BO485" s="848">
        <f t="shared" si="421"/>
        <v>10112.672</v>
      </c>
      <c r="BP485" s="848">
        <f t="shared" si="449"/>
        <v>4062.9140000000002</v>
      </c>
      <c r="BQ485" s="848">
        <f t="shared" si="449"/>
        <v>0</v>
      </c>
      <c r="BR485" s="848">
        <f t="shared" si="449"/>
        <v>0</v>
      </c>
      <c r="BS485" s="848">
        <f t="shared" si="449"/>
        <v>0</v>
      </c>
      <c r="BT485" s="848">
        <f t="shared" si="449"/>
        <v>3714.5190000000002</v>
      </c>
      <c r="BU485" s="848">
        <f t="shared" si="449"/>
        <v>0</v>
      </c>
      <c r="BV485" s="848">
        <f t="shared" si="449"/>
        <v>0</v>
      </c>
      <c r="BW485" s="848">
        <f t="shared" si="449"/>
        <v>0</v>
      </c>
      <c r="BX485" s="848">
        <f t="shared" si="449"/>
        <v>0</v>
      </c>
      <c r="BY485" s="848">
        <f t="shared" si="449"/>
        <v>0</v>
      </c>
      <c r="BZ485" s="848">
        <f t="shared" si="449"/>
        <v>0</v>
      </c>
      <c r="CA485" s="848">
        <f t="shared" si="449"/>
        <v>0</v>
      </c>
      <c r="CB485" s="848">
        <f t="shared" si="449"/>
        <v>0</v>
      </c>
      <c r="CC485" s="848">
        <f t="shared" si="449"/>
        <v>0</v>
      </c>
      <c r="CD485" s="848">
        <f t="shared" si="449"/>
        <v>0</v>
      </c>
      <c r="CE485" s="848">
        <f t="shared" si="449"/>
        <v>2335.239</v>
      </c>
      <c r="CF485" s="848">
        <f t="shared" si="444"/>
        <v>485.02023980815346</v>
      </c>
      <c r="CG485" s="848"/>
      <c r="CH485" s="848"/>
      <c r="CI485" s="848"/>
      <c r="CJ485" s="848"/>
      <c r="CK485" s="848">
        <f t="shared" si="423"/>
        <v>216.59002915451896</v>
      </c>
      <c r="CL485" s="848"/>
      <c r="CM485" s="848"/>
      <c r="CN485" s="848"/>
      <c r="CO485" s="848"/>
      <c r="CP485" s="848"/>
      <c r="CQ485" s="848"/>
      <c r="CR485" s="848"/>
      <c r="CS485" s="848"/>
      <c r="CT485" s="848"/>
      <c r="CU485" s="848"/>
      <c r="CV485" s="848"/>
      <c r="CW485" s="848">
        <f t="shared" si="426"/>
        <v>631.14567567567565</v>
      </c>
    </row>
    <row r="486" spans="1:101" ht="34.9" customHeight="1">
      <c r="A486" s="845"/>
      <c r="B486" s="852" t="s">
        <v>834</v>
      </c>
      <c r="C486" s="852" t="s">
        <v>1136</v>
      </c>
      <c r="D486" s="846"/>
      <c r="E486" s="845"/>
      <c r="F486" s="853">
        <v>2016</v>
      </c>
      <c r="G486" s="846" t="s">
        <v>1137</v>
      </c>
      <c r="H486" s="850">
        <f t="shared" si="439"/>
        <v>5411</v>
      </c>
      <c r="I486" s="850"/>
      <c r="J486" s="848"/>
      <c r="K486" s="848"/>
      <c r="L486" s="848"/>
      <c r="M486" s="848"/>
      <c r="N486" s="848"/>
      <c r="O486" s="848"/>
      <c r="P486" s="848"/>
      <c r="Q486" s="848"/>
      <c r="R486" s="848"/>
      <c r="S486" s="855">
        <v>5411</v>
      </c>
      <c r="T486" s="855">
        <f t="shared" si="431"/>
        <v>4500</v>
      </c>
      <c r="U486" s="848"/>
      <c r="V486" s="848"/>
      <c r="W486" s="848"/>
      <c r="X486" s="848"/>
      <c r="Y486" s="848"/>
      <c r="Z486" s="848"/>
      <c r="AA486" s="848"/>
      <c r="AB486" s="848"/>
      <c r="AC486" s="848"/>
      <c r="AD486" s="848"/>
      <c r="AE486" s="848"/>
      <c r="AF486" s="848"/>
      <c r="AG486" s="848"/>
      <c r="AH486" s="855">
        <v>4500</v>
      </c>
      <c r="AI486" s="855">
        <f>AX486</f>
        <v>4500</v>
      </c>
      <c r="AJ486" s="855"/>
      <c r="AK486" s="855"/>
      <c r="AL486" s="855"/>
      <c r="AM486" s="855"/>
      <c r="AN486" s="855"/>
      <c r="AO486" s="855"/>
      <c r="AP486" s="855"/>
      <c r="AQ486" s="855"/>
      <c r="AR486" s="855"/>
      <c r="AS486" s="855"/>
      <c r="AT486" s="855"/>
      <c r="AU486" s="855"/>
      <c r="AV486" s="855"/>
      <c r="AW486" s="855"/>
      <c r="AX486" s="855">
        <v>4500</v>
      </c>
      <c r="AY486" s="855">
        <f t="shared" ref="AY486:AY496" si="452">SUM(AZ486:BN486)</f>
        <v>370</v>
      </c>
      <c r="AZ486" s="855"/>
      <c r="BA486" s="855"/>
      <c r="BB486" s="855"/>
      <c r="BC486" s="855"/>
      <c r="BD486" s="855"/>
      <c r="BE486" s="855"/>
      <c r="BF486" s="855"/>
      <c r="BG486" s="855"/>
      <c r="BH486" s="855"/>
      <c r="BI486" s="855"/>
      <c r="BJ486" s="855"/>
      <c r="BK486" s="855"/>
      <c r="BL486" s="855"/>
      <c r="BM486" s="855"/>
      <c r="BN486" s="855">
        <f>'[10]bieu cu'!H198</f>
        <v>370</v>
      </c>
      <c r="BO486" s="848">
        <f t="shared" si="421"/>
        <v>2335.239</v>
      </c>
      <c r="BP486" s="855"/>
      <c r="BQ486" s="855"/>
      <c r="BR486" s="855"/>
      <c r="BS486" s="855"/>
      <c r="BT486" s="855"/>
      <c r="BU486" s="855"/>
      <c r="BV486" s="855"/>
      <c r="BW486" s="855"/>
      <c r="BX486" s="855"/>
      <c r="BY486" s="855"/>
      <c r="BZ486" s="855"/>
      <c r="CA486" s="855"/>
      <c r="CB486" s="855"/>
      <c r="CC486" s="855"/>
      <c r="CD486" s="855"/>
      <c r="CE486" s="855">
        <v>2335.239</v>
      </c>
      <c r="CF486" s="848">
        <f t="shared" si="444"/>
        <v>631.14567567567565</v>
      </c>
      <c r="CG486" s="848"/>
      <c r="CH486" s="848"/>
      <c r="CI486" s="848"/>
      <c r="CJ486" s="848"/>
      <c r="CK486" s="848"/>
      <c r="CL486" s="848"/>
      <c r="CM486" s="848"/>
      <c r="CN486" s="848"/>
      <c r="CO486" s="848"/>
      <c r="CP486" s="848"/>
      <c r="CQ486" s="848"/>
      <c r="CR486" s="848"/>
      <c r="CS486" s="848"/>
      <c r="CT486" s="848"/>
      <c r="CU486" s="848"/>
      <c r="CV486" s="848"/>
      <c r="CW486" s="848">
        <f t="shared" si="426"/>
        <v>631.14567567567565</v>
      </c>
    </row>
    <row r="487" spans="1:101" ht="34.9" customHeight="1">
      <c r="A487" s="845"/>
      <c r="B487" s="852" t="s">
        <v>834</v>
      </c>
      <c r="C487" s="852" t="s">
        <v>1138</v>
      </c>
      <c r="D487" s="846"/>
      <c r="E487" s="845"/>
      <c r="F487" s="853">
        <v>2016</v>
      </c>
      <c r="G487" s="903" t="s">
        <v>1139</v>
      </c>
      <c r="H487" s="850">
        <f t="shared" si="439"/>
        <v>7717</v>
      </c>
      <c r="I487" s="848"/>
      <c r="J487" s="848"/>
      <c r="K487" s="848"/>
      <c r="L487" s="848"/>
      <c r="M487" s="848"/>
      <c r="N487" s="848"/>
      <c r="O487" s="848"/>
      <c r="P487" s="848"/>
      <c r="Q487" s="848"/>
      <c r="R487" s="848"/>
      <c r="S487" s="855">
        <v>7717</v>
      </c>
      <c r="T487" s="855">
        <f t="shared" si="431"/>
        <v>4200</v>
      </c>
      <c r="U487" s="848"/>
      <c r="V487" s="848"/>
      <c r="W487" s="848"/>
      <c r="X487" s="855">
        <v>2200</v>
      </c>
      <c r="Y487" s="848"/>
      <c r="Z487" s="848"/>
      <c r="AA487" s="848"/>
      <c r="AB487" s="848"/>
      <c r="AC487" s="848"/>
      <c r="AD487" s="848"/>
      <c r="AE487" s="848"/>
      <c r="AF487" s="848"/>
      <c r="AG487" s="848"/>
      <c r="AH487" s="855">
        <v>2000</v>
      </c>
      <c r="AI487" s="855">
        <f>AM487</f>
        <v>2100</v>
      </c>
      <c r="AJ487" s="855"/>
      <c r="AK487" s="855"/>
      <c r="AL487" s="855"/>
      <c r="AM487" s="855">
        <v>2100</v>
      </c>
      <c r="AN487" s="855"/>
      <c r="AO487" s="855"/>
      <c r="AP487" s="855"/>
      <c r="AQ487" s="855"/>
      <c r="AR487" s="855"/>
      <c r="AS487" s="855"/>
      <c r="AT487" s="855"/>
      <c r="AU487" s="855"/>
      <c r="AV487" s="855"/>
      <c r="AW487" s="855"/>
      <c r="AX487" s="855"/>
      <c r="AY487" s="855">
        <f t="shared" si="452"/>
        <v>1250</v>
      </c>
      <c r="AZ487" s="855"/>
      <c r="BA487" s="855"/>
      <c r="BB487" s="855"/>
      <c r="BC487" s="855"/>
      <c r="BD487" s="855">
        <f>'[10]bieu cu'!H231</f>
        <v>1250</v>
      </c>
      <c r="BE487" s="855"/>
      <c r="BF487" s="855"/>
      <c r="BG487" s="855"/>
      <c r="BH487" s="855"/>
      <c r="BI487" s="855"/>
      <c r="BJ487" s="855"/>
      <c r="BK487" s="855"/>
      <c r="BL487" s="855"/>
      <c r="BM487" s="855"/>
      <c r="BN487" s="855"/>
      <c r="BO487" s="848">
        <f t="shared" si="421"/>
        <v>3250</v>
      </c>
      <c r="BP487" s="855"/>
      <c r="BQ487" s="855"/>
      <c r="BR487" s="855"/>
      <c r="BS487" s="855"/>
      <c r="BT487" s="855">
        <v>3250</v>
      </c>
      <c r="BU487" s="855"/>
      <c r="BV487" s="855"/>
      <c r="BW487" s="855"/>
      <c r="BX487" s="855"/>
      <c r="BY487" s="855"/>
      <c r="BZ487" s="855"/>
      <c r="CA487" s="855"/>
      <c r="CB487" s="855"/>
      <c r="CC487" s="855"/>
      <c r="CD487" s="855"/>
      <c r="CE487" s="855"/>
      <c r="CF487" s="848">
        <f t="shared" si="444"/>
        <v>260</v>
      </c>
      <c r="CG487" s="848"/>
      <c r="CH487" s="848"/>
      <c r="CI487" s="848"/>
      <c r="CJ487" s="848"/>
      <c r="CK487" s="848">
        <f t="shared" si="423"/>
        <v>260</v>
      </c>
      <c r="CL487" s="848"/>
      <c r="CM487" s="848"/>
      <c r="CN487" s="848"/>
      <c r="CO487" s="848"/>
      <c r="CP487" s="848"/>
      <c r="CQ487" s="848"/>
      <c r="CR487" s="848"/>
      <c r="CS487" s="848"/>
      <c r="CT487" s="848"/>
      <c r="CU487" s="848"/>
      <c r="CV487" s="848"/>
      <c r="CW487" s="848"/>
    </row>
    <row r="488" spans="1:101" ht="34.9" customHeight="1">
      <c r="A488" s="845"/>
      <c r="B488" s="852" t="s">
        <v>834</v>
      </c>
      <c r="C488" s="852" t="s">
        <v>1140</v>
      </c>
      <c r="D488" s="846"/>
      <c r="E488" s="845"/>
      <c r="F488" s="853">
        <v>2010</v>
      </c>
      <c r="G488" s="846" t="s">
        <v>1141</v>
      </c>
      <c r="H488" s="850">
        <f t="shared" si="439"/>
        <v>5795</v>
      </c>
      <c r="I488" s="860"/>
      <c r="J488" s="848"/>
      <c r="K488" s="848"/>
      <c r="L488" s="848"/>
      <c r="M488" s="848"/>
      <c r="N488" s="848"/>
      <c r="O488" s="848"/>
      <c r="P488" s="848"/>
      <c r="Q488" s="848"/>
      <c r="R488" s="848"/>
      <c r="S488" s="855">
        <v>5795</v>
      </c>
      <c r="T488" s="855">
        <f t="shared" si="431"/>
        <v>5330</v>
      </c>
      <c r="U488" s="848"/>
      <c r="V488" s="848"/>
      <c r="W488" s="848"/>
      <c r="X488" s="855">
        <v>5330</v>
      </c>
      <c r="Y488" s="848"/>
      <c r="Z488" s="848"/>
      <c r="AA488" s="848"/>
      <c r="AB488" s="848"/>
      <c r="AC488" s="848"/>
      <c r="AD488" s="848"/>
      <c r="AE488" s="848"/>
      <c r="AF488" s="848"/>
      <c r="AG488" s="848"/>
      <c r="AH488" s="855"/>
      <c r="AI488" s="855">
        <f>AM488</f>
        <v>4203</v>
      </c>
      <c r="AJ488" s="855"/>
      <c r="AK488" s="855"/>
      <c r="AL488" s="855"/>
      <c r="AM488" s="855">
        <v>4203</v>
      </c>
      <c r="AN488" s="855"/>
      <c r="AO488" s="855"/>
      <c r="AP488" s="855"/>
      <c r="AQ488" s="855"/>
      <c r="AR488" s="855"/>
      <c r="AS488" s="855"/>
      <c r="AT488" s="855"/>
      <c r="AU488" s="855"/>
      <c r="AV488" s="855"/>
      <c r="AW488" s="855"/>
      <c r="AX488" s="855"/>
      <c r="AY488" s="855">
        <f t="shared" si="452"/>
        <v>465</v>
      </c>
      <c r="AZ488" s="855"/>
      <c r="BA488" s="855"/>
      <c r="BB488" s="855"/>
      <c r="BC488" s="855"/>
      <c r="BD488" s="855">
        <v>465</v>
      </c>
      <c r="BE488" s="855"/>
      <c r="BF488" s="855"/>
      <c r="BG488" s="855"/>
      <c r="BH488" s="855"/>
      <c r="BI488" s="855"/>
      <c r="BJ488" s="855"/>
      <c r="BK488" s="855"/>
      <c r="BL488" s="855"/>
      <c r="BM488" s="855"/>
      <c r="BN488" s="855"/>
      <c r="BO488" s="848">
        <f t="shared" si="421"/>
        <v>464.51900000000001</v>
      </c>
      <c r="BP488" s="855"/>
      <c r="BQ488" s="855"/>
      <c r="BR488" s="855"/>
      <c r="BS488" s="855"/>
      <c r="BT488" s="855">
        <v>464.51900000000001</v>
      </c>
      <c r="BU488" s="855"/>
      <c r="BV488" s="855"/>
      <c r="BW488" s="855"/>
      <c r="BX488" s="855"/>
      <c r="BY488" s="855"/>
      <c r="BZ488" s="855"/>
      <c r="CA488" s="855"/>
      <c r="CB488" s="855"/>
      <c r="CC488" s="855"/>
      <c r="CD488" s="855"/>
      <c r="CE488" s="855"/>
      <c r="CF488" s="848">
        <f t="shared" si="444"/>
        <v>99.896559139784941</v>
      </c>
      <c r="CG488" s="848"/>
      <c r="CH488" s="848"/>
      <c r="CI488" s="848"/>
      <c r="CJ488" s="848"/>
      <c r="CK488" s="848">
        <f t="shared" si="423"/>
        <v>99.896559139784941</v>
      </c>
      <c r="CL488" s="848"/>
      <c r="CM488" s="848"/>
      <c r="CN488" s="848"/>
      <c r="CO488" s="848"/>
      <c r="CP488" s="848"/>
      <c r="CQ488" s="848"/>
      <c r="CR488" s="848"/>
      <c r="CS488" s="848"/>
      <c r="CT488" s="848"/>
      <c r="CU488" s="848"/>
      <c r="CV488" s="848"/>
      <c r="CW488" s="848"/>
    </row>
    <row r="489" spans="1:101" ht="34.9" customHeight="1">
      <c r="A489" s="845"/>
      <c r="B489" s="852" t="s">
        <v>834</v>
      </c>
      <c r="C489" s="852" t="s">
        <v>1142</v>
      </c>
      <c r="D489" s="846"/>
      <c r="E489" s="845"/>
      <c r="F489" s="853">
        <v>2016</v>
      </c>
      <c r="G489" s="846" t="s">
        <v>1143</v>
      </c>
      <c r="H489" s="850">
        <f t="shared" si="439"/>
        <v>1260</v>
      </c>
      <c r="I489" s="860"/>
      <c r="J489" s="848"/>
      <c r="K489" s="848"/>
      <c r="L489" s="848"/>
      <c r="M489" s="848"/>
      <c r="N489" s="848"/>
      <c r="O489" s="848"/>
      <c r="P489" s="848"/>
      <c r="Q489" s="848"/>
      <c r="R489" s="848"/>
      <c r="S489" s="855">
        <v>1260</v>
      </c>
      <c r="T489" s="855">
        <f t="shared" si="431"/>
        <v>1135</v>
      </c>
      <c r="U489" s="855">
        <v>1135</v>
      </c>
      <c r="V489" s="848"/>
      <c r="W489" s="848"/>
      <c r="X489" s="848"/>
      <c r="Y489" s="848"/>
      <c r="Z489" s="848"/>
      <c r="AA489" s="848"/>
      <c r="AB489" s="848"/>
      <c r="AC489" s="848"/>
      <c r="AD489" s="848"/>
      <c r="AE489" s="848"/>
      <c r="AF489" s="848"/>
      <c r="AG489" s="848"/>
      <c r="AH489" s="855"/>
      <c r="AI489" s="855">
        <f>AJ489</f>
        <v>1260</v>
      </c>
      <c r="AJ489" s="855">
        <v>1260</v>
      </c>
      <c r="AK489" s="855"/>
      <c r="AL489" s="855"/>
      <c r="AM489" s="855"/>
      <c r="AN489" s="855"/>
      <c r="AO489" s="855"/>
      <c r="AP489" s="855"/>
      <c r="AQ489" s="855"/>
      <c r="AR489" s="855"/>
      <c r="AS489" s="855"/>
      <c r="AT489" s="855"/>
      <c r="AU489" s="855"/>
      <c r="AV489" s="855"/>
      <c r="AW489" s="855"/>
      <c r="AX489" s="855"/>
      <c r="AY489" s="855">
        <f t="shared" si="452"/>
        <v>0</v>
      </c>
      <c r="AZ489" s="855"/>
      <c r="BA489" s="855"/>
      <c r="BB489" s="855"/>
      <c r="BC489" s="855"/>
      <c r="BD489" s="855"/>
      <c r="BE489" s="855"/>
      <c r="BF489" s="855"/>
      <c r="BG489" s="855"/>
      <c r="BH489" s="855"/>
      <c r="BI489" s="855"/>
      <c r="BJ489" s="855"/>
      <c r="BK489" s="855"/>
      <c r="BL489" s="855"/>
      <c r="BM489" s="855"/>
      <c r="BN489" s="855"/>
      <c r="BO489" s="848">
        <f t="shared" si="421"/>
        <v>65</v>
      </c>
      <c r="BP489" s="855">
        <v>65</v>
      </c>
      <c r="BQ489" s="855"/>
      <c r="BR489" s="855"/>
      <c r="BS489" s="855"/>
      <c r="BT489" s="855"/>
      <c r="BU489" s="855"/>
      <c r="BV489" s="855"/>
      <c r="BW489" s="855"/>
      <c r="BX489" s="855"/>
      <c r="BY489" s="855"/>
      <c r="BZ489" s="855"/>
      <c r="CA489" s="855"/>
      <c r="CB489" s="855"/>
      <c r="CC489" s="855"/>
      <c r="CD489" s="855"/>
      <c r="CE489" s="855"/>
      <c r="CF489" s="848"/>
      <c r="CG489" s="848"/>
      <c r="CH489" s="848"/>
      <c r="CI489" s="848"/>
      <c r="CJ489" s="848"/>
      <c r="CK489" s="848"/>
      <c r="CL489" s="848"/>
      <c r="CM489" s="848"/>
      <c r="CN489" s="848"/>
      <c r="CO489" s="848"/>
      <c r="CP489" s="848"/>
      <c r="CQ489" s="848"/>
      <c r="CR489" s="848"/>
      <c r="CS489" s="848"/>
      <c r="CT489" s="848"/>
      <c r="CU489" s="848"/>
      <c r="CV489" s="848"/>
      <c r="CW489" s="848"/>
    </row>
    <row r="490" spans="1:101" ht="34.9" customHeight="1">
      <c r="A490" s="845"/>
      <c r="B490" s="852" t="s">
        <v>834</v>
      </c>
      <c r="C490" s="852" t="s">
        <v>1144</v>
      </c>
      <c r="D490" s="846"/>
      <c r="E490" s="845"/>
      <c r="F490" s="853">
        <v>2016</v>
      </c>
      <c r="G490" s="846" t="s">
        <v>1145</v>
      </c>
      <c r="H490" s="850">
        <f t="shared" si="439"/>
        <v>1255</v>
      </c>
      <c r="I490" s="860"/>
      <c r="J490" s="848"/>
      <c r="K490" s="848"/>
      <c r="L490" s="848"/>
      <c r="M490" s="848"/>
      <c r="N490" s="848"/>
      <c r="O490" s="848"/>
      <c r="P490" s="848"/>
      <c r="Q490" s="848"/>
      <c r="R490" s="848"/>
      <c r="S490" s="855">
        <v>1255</v>
      </c>
      <c r="T490" s="855">
        <f t="shared" si="431"/>
        <v>1130.5</v>
      </c>
      <c r="U490" s="855">
        <v>1130.5</v>
      </c>
      <c r="V490" s="848"/>
      <c r="W490" s="848"/>
      <c r="X490" s="848"/>
      <c r="Y490" s="848"/>
      <c r="Z490" s="848"/>
      <c r="AA490" s="848"/>
      <c r="AB490" s="848"/>
      <c r="AC490" s="848"/>
      <c r="AD490" s="848"/>
      <c r="AE490" s="848"/>
      <c r="AF490" s="848"/>
      <c r="AG490" s="848"/>
      <c r="AH490" s="855"/>
      <c r="AI490" s="855">
        <f>AJ490</f>
        <v>1260</v>
      </c>
      <c r="AJ490" s="855">
        <v>1260</v>
      </c>
      <c r="AK490" s="855"/>
      <c r="AL490" s="855"/>
      <c r="AM490" s="855"/>
      <c r="AN490" s="855"/>
      <c r="AO490" s="855"/>
      <c r="AP490" s="855"/>
      <c r="AQ490" s="855"/>
      <c r="AR490" s="855"/>
      <c r="AS490" s="855"/>
      <c r="AT490" s="855"/>
      <c r="AU490" s="855"/>
      <c r="AV490" s="855"/>
      <c r="AW490" s="855"/>
      <c r="AX490" s="855"/>
      <c r="AY490" s="855">
        <f t="shared" si="452"/>
        <v>0</v>
      </c>
      <c r="AZ490" s="855"/>
      <c r="BA490" s="855"/>
      <c r="BB490" s="855"/>
      <c r="BC490" s="855"/>
      <c r="BD490" s="855"/>
      <c r="BE490" s="855"/>
      <c r="BF490" s="855"/>
      <c r="BG490" s="855"/>
      <c r="BH490" s="855"/>
      <c r="BI490" s="855"/>
      <c r="BJ490" s="855"/>
      <c r="BK490" s="855"/>
      <c r="BL490" s="855"/>
      <c r="BM490" s="855"/>
      <c r="BN490" s="855"/>
      <c r="BO490" s="848">
        <f t="shared" si="421"/>
        <v>69.5</v>
      </c>
      <c r="BP490" s="855">
        <v>69.5</v>
      </c>
      <c r="BQ490" s="855"/>
      <c r="BR490" s="855"/>
      <c r="BS490" s="855"/>
      <c r="BT490" s="855"/>
      <c r="BU490" s="855"/>
      <c r="BV490" s="855"/>
      <c r="BW490" s="855"/>
      <c r="BX490" s="855"/>
      <c r="BY490" s="855"/>
      <c r="BZ490" s="855"/>
      <c r="CA490" s="855"/>
      <c r="CB490" s="855"/>
      <c r="CC490" s="855"/>
      <c r="CD490" s="855"/>
      <c r="CE490" s="855"/>
      <c r="CF490" s="848"/>
      <c r="CG490" s="848"/>
      <c r="CH490" s="848"/>
      <c r="CI490" s="848"/>
      <c r="CJ490" s="848"/>
      <c r="CK490" s="848"/>
      <c r="CL490" s="848"/>
      <c r="CM490" s="848"/>
      <c r="CN490" s="848"/>
      <c r="CO490" s="848"/>
      <c r="CP490" s="848"/>
      <c r="CQ490" s="848"/>
      <c r="CR490" s="848"/>
      <c r="CS490" s="848"/>
      <c r="CT490" s="848"/>
      <c r="CU490" s="848"/>
      <c r="CV490" s="848"/>
      <c r="CW490" s="848"/>
    </row>
    <row r="491" spans="1:101" ht="34.9" customHeight="1">
      <c r="A491" s="845"/>
      <c r="B491" s="852" t="s">
        <v>834</v>
      </c>
      <c r="C491" s="852" t="s">
        <v>1146</v>
      </c>
      <c r="D491" s="846"/>
      <c r="E491" s="845"/>
      <c r="F491" s="853" t="s">
        <v>544</v>
      </c>
      <c r="G491" s="846" t="s">
        <v>1147</v>
      </c>
      <c r="H491" s="850">
        <f t="shared" si="439"/>
        <v>6300</v>
      </c>
      <c r="I491" s="860"/>
      <c r="J491" s="848"/>
      <c r="K491" s="848"/>
      <c r="L491" s="848"/>
      <c r="M491" s="848"/>
      <c r="N491" s="848"/>
      <c r="O491" s="848"/>
      <c r="P491" s="848"/>
      <c r="Q491" s="848"/>
      <c r="R491" s="848"/>
      <c r="S491" s="855">
        <v>6300</v>
      </c>
      <c r="T491" s="855">
        <f t="shared" si="431"/>
        <v>4091</v>
      </c>
      <c r="U491" s="855">
        <v>4091</v>
      </c>
      <c r="V491" s="848"/>
      <c r="W491" s="848"/>
      <c r="X491" s="848"/>
      <c r="Y491" s="848"/>
      <c r="Z491" s="848"/>
      <c r="AA491" s="848"/>
      <c r="AB491" s="848"/>
      <c r="AC491" s="848"/>
      <c r="AD491" s="848"/>
      <c r="AE491" s="848"/>
      <c r="AF491" s="848"/>
      <c r="AG491" s="848"/>
      <c r="AH491" s="855"/>
      <c r="AI491" s="855">
        <f>AJ491</f>
        <v>6296</v>
      </c>
      <c r="AJ491" s="855">
        <v>6296</v>
      </c>
      <c r="AK491" s="855"/>
      <c r="AL491" s="855"/>
      <c r="AM491" s="855"/>
      <c r="AN491" s="855"/>
      <c r="AO491" s="855"/>
      <c r="AP491" s="855"/>
      <c r="AQ491" s="855"/>
      <c r="AR491" s="855"/>
      <c r="AS491" s="855"/>
      <c r="AT491" s="855"/>
      <c r="AU491" s="855"/>
      <c r="AV491" s="855"/>
      <c r="AW491" s="855"/>
      <c r="AX491" s="855"/>
      <c r="AY491" s="855">
        <f t="shared" si="452"/>
        <v>0</v>
      </c>
      <c r="AZ491" s="855"/>
      <c r="BA491" s="855"/>
      <c r="BB491" s="855"/>
      <c r="BC491" s="855"/>
      <c r="BD491" s="855"/>
      <c r="BE491" s="855"/>
      <c r="BF491" s="855"/>
      <c r="BG491" s="855"/>
      <c r="BH491" s="855"/>
      <c r="BI491" s="855"/>
      <c r="BJ491" s="855"/>
      <c r="BK491" s="855"/>
      <c r="BL491" s="855"/>
      <c r="BM491" s="855"/>
      <c r="BN491" s="855"/>
      <c r="BO491" s="848">
        <f t="shared" si="421"/>
        <v>3928.4140000000002</v>
      </c>
      <c r="BP491" s="855">
        <v>3928.4140000000002</v>
      </c>
      <c r="BQ491" s="855"/>
      <c r="BR491" s="855"/>
      <c r="BS491" s="855"/>
      <c r="BT491" s="855"/>
      <c r="BU491" s="855"/>
      <c r="BV491" s="855"/>
      <c r="BW491" s="855"/>
      <c r="BX491" s="855"/>
      <c r="BY491" s="855"/>
      <c r="BZ491" s="855"/>
      <c r="CA491" s="855"/>
      <c r="CB491" s="855"/>
      <c r="CC491" s="855"/>
      <c r="CD491" s="855"/>
      <c r="CE491" s="855"/>
      <c r="CF491" s="848"/>
      <c r="CG491" s="848"/>
      <c r="CH491" s="848"/>
      <c r="CI491" s="848"/>
      <c r="CJ491" s="848"/>
      <c r="CK491" s="848"/>
      <c r="CL491" s="848"/>
      <c r="CM491" s="848"/>
      <c r="CN491" s="848"/>
      <c r="CO491" s="848"/>
      <c r="CP491" s="848"/>
      <c r="CQ491" s="848"/>
      <c r="CR491" s="848"/>
      <c r="CS491" s="848"/>
      <c r="CT491" s="848"/>
      <c r="CU491" s="848"/>
      <c r="CV491" s="848"/>
      <c r="CW491" s="848"/>
    </row>
    <row r="492" spans="1:101" s="851" customFormat="1" ht="45.6" customHeight="1">
      <c r="A492" s="845" t="s">
        <v>31</v>
      </c>
      <c r="B492" s="852"/>
      <c r="C492" s="857" t="s">
        <v>508</v>
      </c>
      <c r="D492" s="846">
        <f>D493+D494+D495+D496</f>
        <v>0</v>
      </c>
      <c r="E492" s="845">
        <f t="shared" ref="E492:CE492" si="453">E493+E494+E495+E496</f>
        <v>0</v>
      </c>
      <c r="F492" s="847"/>
      <c r="G492" s="845"/>
      <c r="H492" s="850">
        <f t="shared" si="439"/>
        <v>17076.2</v>
      </c>
      <c r="I492" s="848">
        <f t="shared" si="453"/>
        <v>0</v>
      </c>
      <c r="J492" s="848">
        <f t="shared" si="453"/>
        <v>0</v>
      </c>
      <c r="K492" s="848">
        <f t="shared" si="453"/>
        <v>0</v>
      </c>
      <c r="L492" s="848">
        <f t="shared" si="453"/>
        <v>0</v>
      </c>
      <c r="M492" s="848">
        <f t="shared" si="453"/>
        <v>0</v>
      </c>
      <c r="N492" s="848">
        <f t="shared" si="453"/>
        <v>0</v>
      </c>
      <c r="O492" s="848">
        <f t="shared" si="453"/>
        <v>0</v>
      </c>
      <c r="P492" s="848">
        <f t="shared" si="453"/>
        <v>0</v>
      </c>
      <c r="Q492" s="848">
        <f t="shared" si="453"/>
        <v>0</v>
      </c>
      <c r="R492" s="848">
        <v>0</v>
      </c>
      <c r="S492" s="848">
        <f t="shared" si="453"/>
        <v>17076.2</v>
      </c>
      <c r="T492" s="855">
        <f t="shared" si="431"/>
        <v>0</v>
      </c>
      <c r="U492" s="848">
        <f t="shared" ref="U492:AH492" si="454">U493+U494+U495+U496</f>
        <v>0</v>
      </c>
      <c r="V492" s="848">
        <f t="shared" si="454"/>
        <v>0</v>
      </c>
      <c r="W492" s="848">
        <f t="shared" si="454"/>
        <v>0</v>
      </c>
      <c r="X492" s="848">
        <f t="shared" si="454"/>
        <v>0</v>
      </c>
      <c r="Y492" s="848">
        <f t="shared" si="454"/>
        <v>0</v>
      </c>
      <c r="Z492" s="848">
        <f t="shared" si="454"/>
        <v>0</v>
      </c>
      <c r="AA492" s="848">
        <f t="shared" si="454"/>
        <v>0</v>
      </c>
      <c r="AB492" s="848">
        <f t="shared" si="454"/>
        <v>0</v>
      </c>
      <c r="AC492" s="848">
        <f t="shared" si="454"/>
        <v>0</v>
      </c>
      <c r="AD492" s="848">
        <f t="shared" si="454"/>
        <v>0</v>
      </c>
      <c r="AE492" s="848"/>
      <c r="AF492" s="848">
        <f t="shared" si="454"/>
        <v>0</v>
      </c>
      <c r="AG492" s="848">
        <f t="shared" si="454"/>
        <v>0</v>
      </c>
      <c r="AH492" s="848">
        <f t="shared" si="454"/>
        <v>0</v>
      </c>
      <c r="AI492" s="848">
        <f t="shared" si="453"/>
        <v>0</v>
      </c>
      <c r="AJ492" s="848">
        <f t="shared" si="453"/>
        <v>0</v>
      </c>
      <c r="AK492" s="848">
        <f t="shared" si="453"/>
        <v>0</v>
      </c>
      <c r="AL492" s="848">
        <f t="shared" si="453"/>
        <v>0</v>
      </c>
      <c r="AM492" s="848">
        <f t="shared" si="453"/>
        <v>0</v>
      </c>
      <c r="AN492" s="848">
        <f t="shared" si="453"/>
        <v>0</v>
      </c>
      <c r="AO492" s="848">
        <f t="shared" si="453"/>
        <v>0</v>
      </c>
      <c r="AP492" s="848">
        <f t="shared" si="453"/>
        <v>0</v>
      </c>
      <c r="AQ492" s="848">
        <f t="shared" si="453"/>
        <v>0</v>
      </c>
      <c r="AR492" s="848">
        <f t="shared" si="453"/>
        <v>0</v>
      </c>
      <c r="AS492" s="848"/>
      <c r="AT492" s="848">
        <f t="shared" si="453"/>
        <v>0</v>
      </c>
      <c r="AU492" s="848">
        <f t="shared" si="453"/>
        <v>0</v>
      </c>
      <c r="AV492" s="848">
        <f t="shared" si="453"/>
        <v>0</v>
      </c>
      <c r="AW492" s="848">
        <f t="shared" si="453"/>
        <v>0</v>
      </c>
      <c r="AX492" s="848">
        <f t="shared" si="453"/>
        <v>0</v>
      </c>
      <c r="AY492" s="848">
        <f t="shared" si="453"/>
        <v>6692</v>
      </c>
      <c r="AZ492" s="848">
        <f t="shared" si="453"/>
        <v>0</v>
      </c>
      <c r="BA492" s="848">
        <f t="shared" si="453"/>
        <v>0</v>
      </c>
      <c r="BB492" s="848">
        <f t="shared" si="453"/>
        <v>0</v>
      </c>
      <c r="BC492" s="848">
        <f t="shared" si="453"/>
        <v>0</v>
      </c>
      <c r="BD492" s="848">
        <f t="shared" si="453"/>
        <v>500</v>
      </c>
      <c r="BE492" s="848">
        <f t="shared" si="453"/>
        <v>0</v>
      </c>
      <c r="BF492" s="848">
        <f t="shared" si="453"/>
        <v>0</v>
      </c>
      <c r="BG492" s="848">
        <f t="shared" si="453"/>
        <v>0</v>
      </c>
      <c r="BH492" s="848">
        <f t="shared" si="453"/>
        <v>0</v>
      </c>
      <c r="BI492" s="848">
        <f t="shared" si="453"/>
        <v>0</v>
      </c>
      <c r="BJ492" s="848">
        <f t="shared" si="453"/>
        <v>0</v>
      </c>
      <c r="BK492" s="848">
        <f t="shared" si="453"/>
        <v>0</v>
      </c>
      <c r="BL492" s="848">
        <f t="shared" si="453"/>
        <v>0</v>
      </c>
      <c r="BM492" s="848">
        <f t="shared" si="453"/>
        <v>0</v>
      </c>
      <c r="BN492" s="848">
        <f t="shared" si="453"/>
        <v>6192</v>
      </c>
      <c r="BO492" s="848">
        <f t="shared" si="421"/>
        <v>2681</v>
      </c>
      <c r="BP492" s="848">
        <f t="shared" si="453"/>
        <v>0</v>
      </c>
      <c r="BQ492" s="848">
        <f t="shared" si="453"/>
        <v>0</v>
      </c>
      <c r="BR492" s="848">
        <f t="shared" si="453"/>
        <v>0</v>
      </c>
      <c r="BS492" s="848">
        <f t="shared" si="453"/>
        <v>0</v>
      </c>
      <c r="BT492" s="848">
        <f t="shared" si="453"/>
        <v>52</v>
      </c>
      <c r="BU492" s="848">
        <f t="shared" si="453"/>
        <v>0</v>
      </c>
      <c r="BV492" s="848">
        <f t="shared" si="453"/>
        <v>0</v>
      </c>
      <c r="BW492" s="848">
        <f t="shared" si="453"/>
        <v>0</v>
      </c>
      <c r="BX492" s="848">
        <f t="shared" si="453"/>
        <v>0</v>
      </c>
      <c r="BY492" s="848">
        <f t="shared" si="453"/>
        <v>0</v>
      </c>
      <c r="BZ492" s="848">
        <f t="shared" si="453"/>
        <v>0</v>
      </c>
      <c r="CA492" s="848">
        <f t="shared" si="453"/>
        <v>0</v>
      </c>
      <c r="CB492" s="848">
        <f t="shared" si="453"/>
        <v>0</v>
      </c>
      <c r="CC492" s="848">
        <f t="shared" si="453"/>
        <v>0</v>
      </c>
      <c r="CD492" s="848">
        <f t="shared" si="453"/>
        <v>0</v>
      </c>
      <c r="CE492" s="848">
        <f t="shared" si="453"/>
        <v>2629</v>
      </c>
      <c r="CF492" s="848"/>
      <c r="CG492" s="848"/>
      <c r="CH492" s="848"/>
      <c r="CI492" s="848"/>
      <c r="CJ492" s="848"/>
      <c r="CK492" s="848">
        <f t="shared" si="423"/>
        <v>10.4</v>
      </c>
      <c r="CL492" s="848"/>
      <c r="CM492" s="848"/>
      <c r="CN492" s="848"/>
      <c r="CO492" s="848"/>
      <c r="CP492" s="848"/>
      <c r="CQ492" s="848"/>
      <c r="CR492" s="848"/>
      <c r="CS492" s="848"/>
      <c r="CT492" s="848"/>
      <c r="CU492" s="848"/>
      <c r="CV492" s="848"/>
      <c r="CW492" s="848">
        <f t="shared" si="426"/>
        <v>42.458010335917315</v>
      </c>
    </row>
    <row r="493" spans="1:101" ht="45.6" customHeight="1">
      <c r="A493" s="845"/>
      <c r="B493" s="852" t="s">
        <v>834</v>
      </c>
      <c r="C493" s="852" t="s">
        <v>1148</v>
      </c>
      <c r="D493" s="846"/>
      <c r="E493" s="845"/>
      <c r="F493" s="853">
        <v>2017</v>
      </c>
      <c r="G493" s="846" t="s">
        <v>1149</v>
      </c>
      <c r="H493" s="850">
        <f t="shared" si="439"/>
        <v>3552</v>
      </c>
      <c r="I493" s="860"/>
      <c r="J493" s="848"/>
      <c r="K493" s="848"/>
      <c r="L493" s="848"/>
      <c r="M493" s="848"/>
      <c r="N493" s="848"/>
      <c r="O493" s="848"/>
      <c r="P493" s="848"/>
      <c r="Q493" s="848"/>
      <c r="R493" s="848"/>
      <c r="S493" s="860">
        <v>3552</v>
      </c>
      <c r="T493" s="855">
        <f t="shared" si="431"/>
        <v>0</v>
      </c>
      <c r="U493" s="848"/>
      <c r="V493" s="848"/>
      <c r="W493" s="848"/>
      <c r="X493" s="848"/>
      <c r="Y493" s="848"/>
      <c r="Z493" s="848"/>
      <c r="AA493" s="848"/>
      <c r="AB493" s="848"/>
      <c r="AC493" s="848"/>
      <c r="AD493" s="848"/>
      <c r="AE493" s="848"/>
      <c r="AF493" s="848"/>
      <c r="AG493" s="848"/>
      <c r="AH493" s="855"/>
      <c r="AI493" s="855"/>
      <c r="AJ493" s="855"/>
      <c r="AK493" s="855"/>
      <c r="AL493" s="855"/>
      <c r="AM493" s="855"/>
      <c r="AN493" s="855"/>
      <c r="AO493" s="855"/>
      <c r="AP493" s="855"/>
      <c r="AQ493" s="855"/>
      <c r="AR493" s="855"/>
      <c r="AS493" s="855"/>
      <c r="AT493" s="855"/>
      <c r="AU493" s="855"/>
      <c r="AV493" s="855"/>
      <c r="AW493" s="855"/>
      <c r="AX493" s="855"/>
      <c r="AY493" s="855">
        <f t="shared" si="452"/>
        <v>2000</v>
      </c>
      <c r="AZ493" s="855"/>
      <c r="BA493" s="855"/>
      <c r="BB493" s="855"/>
      <c r="BC493" s="855"/>
      <c r="BD493" s="855"/>
      <c r="BE493" s="855"/>
      <c r="BF493" s="855"/>
      <c r="BG493" s="855"/>
      <c r="BH493" s="855"/>
      <c r="BI493" s="855"/>
      <c r="BJ493" s="855"/>
      <c r="BK493" s="855"/>
      <c r="BL493" s="855"/>
      <c r="BM493" s="855"/>
      <c r="BN493" s="855">
        <f>'[10]bieu cu'!H204</f>
        <v>2000</v>
      </c>
      <c r="BO493" s="848">
        <f t="shared" si="421"/>
        <v>1950</v>
      </c>
      <c r="BP493" s="855"/>
      <c r="BQ493" s="855"/>
      <c r="BR493" s="855"/>
      <c r="BS493" s="855"/>
      <c r="BT493" s="855"/>
      <c r="BU493" s="855"/>
      <c r="BV493" s="855"/>
      <c r="BW493" s="855"/>
      <c r="BX493" s="855"/>
      <c r="BY493" s="855"/>
      <c r="BZ493" s="855"/>
      <c r="CA493" s="855"/>
      <c r="CB493" s="855"/>
      <c r="CC493" s="855"/>
      <c r="CD493" s="855"/>
      <c r="CE493" s="855">
        <v>1950</v>
      </c>
      <c r="CF493" s="848"/>
      <c r="CG493" s="848"/>
      <c r="CH493" s="848"/>
      <c r="CI493" s="848"/>
      <c r="CJ493" s="848"/>
      <c r="CK493" s="848"/>
      <c r="CL493" s="848"/>
      <c r="CM493" s="848"/>
      <c r="CN493" s="848"/>
      <c r="CO493" s="848"/>
      <c r="CP493" s="848"/>
      <c r="CQ493" s="848"/>
      <c r="CR493" s="848"/>
      <c r="CS493" s="848"/>
      <c r="CT493" s="848"/>
      <c r="CU493" s="848"/>
      <c r="CV493" s="848"/>
      <c r="CW493" s="848">
        <f t="shared" si="426"/>
        <v>97.5</v>
      </c>
    </row>
    <row r="494" spans="1:101" ht="45.6" customHeight="1">
      <c r="A494" s="845"/>
      <c r="B494" s="852" t="s">
        <v>834</v>
      </c>
      <c r="C494" s="852" t="s">
        <v>1150</v>
      </c>
      <c r="D494" s="846"/>
      <c r="E494" s="845"/>
      <c r="F494" s="853">
        <v>2017</v>
      </c>
      <c r="G494" s="846" t="s">
        <v>1151</v>
      </c>
      <c r="H494" s="850">
        <f t="shared" si="439"/>
        <v>4874.2</v>
      </c>
      <c r="I494" s="860"/>
      <c r="J494" s="848"/>
      <c r="K494" s="848"/>
      <c r="L494" s="848"/>
      <c r="M494" s="848"/>
      <c r="N494" s="848"/>
      <c r="O494" s="848"/>
      <c r="P494" s="848"/>
      <c r="Q494" s="848"/>
      <c r="R494" s="848"/>
      <c r="S494" s="860">
        <v>4874.2</v>
      </c>
      <c r="T494" s="855">
        <f t="shared" si="431"/>
        <v>0</v>
      </c>
      <c r="U494" s="848"/>
      <c r="V494" s="848"/>
      <c r="W494" s="848"/>
      <c r="X494" s="848"/>
      <c r="Y494" s="848"/>
      <c r="Z494" s="848"/>
      <c r="AA494" s="848"/>
      <c r="AB494" s="848"/>
      <c r="AC494" s="848"/>
      <c r="AD494" s="848"/>
      <c r="AE494" s="848"/>
      <c r="AF494" s="848"/>
      <c r="AG494" s="848"/>
      <c r="AH494" s="855"/>
      <c r="AI494" s="855"/>
      <c r="AJ494" s="855"/>
      <c r="AK494" s="855"/>
      <c r="AL494" s="855"/>
      <c r="AM494" s="855"/>
      <c r="AN494" s="855"/>
      <c r="AO494" s="855"/>
      <c r="AP494" s="855"/>
      <c r="AQ494" s="855"/>
      <c r="AR494" s="855"/>
      <c r="AS494" s="855"/>
      <c r="AT494" s="855"/>
      <c r="AU494" s="855"/>
      <c r="AV494" s="855"/>
      <c r="AW494" s="855"/>
      <c r="AX494" s="855"/>
      <c r="AY494" s="855">
        <f t="shared" si="452"/>
        <v>540</v>
      </c>
      <c r="AZ494" s="855"/>
      <c r="BA494" s="855"/>
      <c r="BB494" s="855"/>
      <c r="BC494" s="855"/>
      <c r="BD494" s="855"/>
      <c r="BE494" s="855"/>
      <c r="BF494" s="855"/>
      <c r="BG494" s="855"/>
      <c r="BH494" s="855"/>
      <c r="BI494" s="855"/>
      <c r="BJ494" s="855"/>
      <c r="BK494" s="855"/>
      <c r="BL494" s="855"/>
      <c r="BM494" s="855"/>
      <c r="BN494" s="855">
        <f>'[10]bieu cu'!H208</f>
        <v>540</v>
      </c>
      <c r="BO494" s="848">
        <f t="shared" si="421"/>
        <v>490</v>
      </c>
      <c r="BP494" s="855"/>
      <c r="BQ494" s="855"/>
      <c r="BR494" s="855"/>
      <c r="BS494" s="855"/>
      <c r="BT494" s="855"/>
      <c r="BU494" s="855"/>
      <c r="BV494" s="855"/>
      <c r="BW494" s="855"/>
      <c r="BX494" s="855"/>
      <c r="BY494" s="855"/>
      <c r="BZ494" s="855"/>
      <c r="CA494" s="855"/>
      <c r="CB494" s="855"/>
      <c r="CC494" s="855"/>
      <c r="CD494" s="855"/>
      <c r="CE494" s="855">
        <v>490</v>
      </c>
      <c r="CF494" s="848"/>
      <c r="CG494" s="848"/>
      <c r="CH494" s="848"/>
      <c r="CI494" s="848"/>
      <c r="CJ494" s="848"/>
      <c r="CK494" s="848"/>
      <c r="CL494" s="848"/>
      <c r="CM494" s="848"/>
      <c r="CN494" s="848"/>
      <c r="CO494" s="848"/>
      <c r="CP494" s="848"/>
      <c r="CQ494" s="848"/>
      <c r="CR494" s="848"/>
      <c r="CS494" s="848"/>
      <c r="CT494" s="848"/>
      <c r="CU494" s="848"/>
      <c r="CV494" s="848"/>
      <c r="CW494" s="848">
        <f t="shared" si="426"/>
        <v>90.740740740740748</v>
      </c>
    </row>
    <row r="495" spans="1:101" ht="27" customHeight="1">
      <c r="A495" s="845"/>
      <c r="B495" s="852" t="s">
        <v>834</v>
      </c>
      <c r="C495" s="852" t="s">
        <v>1152</v>
      </c>
      <c r="D495" s="846"/>
      <c r="E495" s="845"/>
      <c r="F495" s="853">
        <v>2017</v>
      </c>
      <c r="G495" s="846" t="s">
        <v>1153</v>
      </c>
      <c r="H495" s="850">
        <f t="shared" si="439"/>
        <v>7500</v>
      </c>
      <c r="I495" s="860"/>
      <c r="J495" s="848"/>
      <c r="K495" s="848"/>
      <c r="L495" s="848"/>
      <c r="M495" s="848"/>
      <c r="N495" s="848"/>
      <c r="O495" s="848"/>
      <c r="P495" s="848"/>
      <c r="Q495" s="848"/>
      <c r="R495" s="848"/>
      <c r="S495" s="860">
        <v>7500</v>
      </c>
      <c r="T495" s="855">
        <f t="shared" si="431"/>
        <v>0</v>
      </c>
      <c r="U495" s="848"/>
      <c r="V495" s="848"/>
      <c r="W495" s="848"/>
      <c r="X495" s="848"/>
      <c r="Y495" s="848"/>
      <c r="Z495" s="848"/>
      <c r="AA495" s="848"/>
      <c r="AB495" s="848"/>
      <c r="AC495" s="848"/>
      <c r="AD495" s="848"/>
      <c r="AE495" s="848"/>
      <c r="AF495" s="848"/>
      <c r="AG495" s="848"/>
      <c r="AH495" s="855"/>
      <c r="AI495" s="855">
        <f>AX495</f>
        <v>0</v>
      </c>
      <c r="AJ495" s="855"/>
      <c r="AK495" s="855"/>
      <c r="AL495" s="855"/>
      <c r="AM495" s="855"/>
      <c r="AN495" s="855"/>
      <c r="AO495" s="855"/>
      <c r="AP495" s="855"/>
      <c r="AQ495" s="855"/>
      <c r="AR495" s="855"/>
      <c r="AS495" s="855"/>
      <c r="AT495" s="855"/>
      <c r="AU495" s="855"/>
      <c r="AV495" s="855"/>
      <c r="AW495" s="855"/>
      <c r="AX495" s="855"/>
      <c r="AY495" s="855">
        <f t="shared" si="452"/>
        <v>3652</v>
      </c>
      <c r="AZ495" s="855"/>
      <c r="BA495" s="855"/>
      <c r="BB495" s="855"/>
      <c r="BC495" s="855"/>
      <c r="BD495" s="855"/>
      <c r="BE495" s="855"/>
      <c r="BF495" s="855"/>
      <c r="BG495" s="855"/>
      <c r="BH495" s="855"/>
      <c r="BI495" s="855"/>
      <c r="BJ495" s="855"/>
      <c r="BK495" s="855"/>
      <c r="BL495" s="855"/>
      <c r="BM495" s="855"/>
      <c r="BN495" s="855">
        <f>'[10]bieu cu'!H226</f>
        <v>3652</v>
      </c>
      <c r="BO495" s="848">
        <f t="shared" si="421"/>
        <v>189</v>
      </c>
      <c r="BP495" s="855"/>
      <c r="BQ495" s="855"/>
      <c r="BR495" s="855"/>
      <c r="BS495" s="855"/>
      <c r="BT495" s="855"/>
      <c r="BU495" s="855"/>
      <c r="BV495" s="855"/>
      <c r="BW495" s="855"/>
      <c r="BX495" s="855"/>
      <c r="BY495" s="855"/>
      <c r="BZ495" s="855"/>
      <c r="CA495" s="855"/>
      <c r="CB495" s="855"/>
      <c r="CC495" s="855"/>
      <c r="CD495" s="855"/>
      <c r="CE495" s="855">
        <v>189</v>
      </c>
      <c r="CF495" s="848"/>
      <c r="CG495" s="848"/>
      <c r="CH495" s="848"/>
      <c r="CI495" s="848"/>
      <c r="CJ495" s="848"/>
      <c r="CK495" s="848"/>
      <c r="CL495" s="848"/>
      <c r="CM495" s="848"/>
      <c r="CN495" s="848"/>
      <c r="CO495" s="848"/>
      <c r="CP495" s="848"/>
      <c r="CQ495" s="848"/>
      <c r="CR495" s="848"/>
      <c r="CS495" s="848"/>
      <c r="CT495" s="848"/>
      <c r="CU495" s="848"/>
      <c r="CV495" s="848"/>
      <c r="CW495" s="848">
        <f t="shared" si="426"/>
        <v>5.1752464403066814</v>
      </c>
    </row>
    <row r="496" spans="1:101" ht="28.9" customHeight="1">
      <c r="A496" s="845"/>
      <c r="B496" s="852" t="s">
        <v>834</v>
      </c>
      <c r="C496" s="852" t="s">
        <v>1154</v>
      </c>
      <c r="D496" s="846"/>
      <c r="E496" s="845"/>
      <c r="F496" s="853">
        <v>2017</v>
      </c>
      <c r="G496" s="846" t="s">
        <v>1155</v>
      </c>
      <c r="H496" s="850">
        <f t="shared" si="439"/>
        <v>1150</v>
      </c>
      <c r="I496" s="860"/>
      <c r="J496" s="848"/>
      <c r="K496" s="848"/>
      <c r="L496" s="848"/>
      <c r="M496" s="848"/>
      <c r="N496" s="848"/>
      <c r="O496" s="848"/>
      <c r="P496" s="848"/>
      <c r="Q496" s="848"/>
      <c r="R496" s="848"/>
      <c r="S496" s="860">
        <v>1150</v>
      </c>
      <c r="T496" s="855">
        <f t="shared" si="431"/>
        <v>0</v>
      </c>
      <c r="U496" s="848"/>
      <c r="V496" s="848"/>
      <c r="W496" s="848"/>
      <c r="X496" s="848"/>
      <c r="Y496" s="848"/>
      <c r="Z496" s="848"/>
      <c r="AA496" s="848"/>
      <c r="AB496" s="848"/>
      <c r="AC496" s="848"/>
      <c r="AD496" s="848"/>
      <c r="AE496" s="848"/>
      <c r="AF496" s="848"/>
      <c r="AG496" s="848"/>
      <c r="AH496" s="855"/>
      <c r="AI496" s="855"/>
      <c r="AJ496" s="855"/>
      <c r="AK496" s="855"/>
      <c r="AL496" s="855"/>
      <c r="AM496" s="855"/>
      <c r="AN496" s="855"/>
      <c r="AO496" s="855"/>
      <c r="AP496" s="855"/>
      <c r="AQ496" s="855"/>
      <c r="AR496" s="855"/>
      <c r="AS496" s="855"/>
      <c r="AT496" s="855"/>
      <c r="AU496" s="855"/>
      <c r="AV496" s="855"/>
      <c r="AW496" s="855"/>
      <c r="AX496" s="855"/>
      <c r="AY496" s="855">
        <f t="shared" si="452"/>
        <v>500</v>
      </c>
      <c r="AZ496" s="855"/>
      <c r="BA496" s="855"/>
      <c r="BB496" s="855"/>
      <c r="BC496" s="855"/>
      <c r="BD496" s="855">
        <f>'[10]bieu cu'!H247</f>
        <v>500</v>
      </c>
      <c r="BE496" s="855"/>
      <c r="BF496" s="855"/>
      <c r="BG496" s="855"/>
      <c r="BH496" s="855"/>
      <c r="BI496" s="855"/>
      <c r="BJ496" s="855"/>
      <c r="BK496" s="855"/>
      <c r="BL496" s="855"/>
      <c r="BM496" s="855"/>
      <c r="BN496" s="855"/>
      <c r="BO496" s="848">
        <f t="shared" si="421"/>
        <v>52</v>
      </c>
      <c r="BP496" s="855"/>
      <c r="BQ496" s="855"/>
      <c r="BR496" s="855"/>
      <c r="BS496" s="855"/>
      <c r="BT496" s="855">
        <v>52</v>
      </c>
      <c r="BU496" s="855"/>
      <c r="BV496" s="855"/>
      <c r="BW496" s="855"/>
      <c r="BX496" s="855"/>
      <c r="BY496" s="855"/>
      <c r="BZ496" s="855"/>
      <c r="CA496" s="855"/>
      <c r="CB496" s="855"/>
      <c r="CC496" s="855"/>
      <c r="CD496" s="855"/>
      <c r="CE496" s="855"/>
      <c r="CF496" s="848"/>
      <c r="CG496" s="848"/>
      <c r="CH496" s="848"/>
      <c r="CI496" s="848"/>
      <c r="CJ496" s="848"/>
      <c r="CK496" s="848">
        <f t="shared" si="423"/>
        <v>10.4</v>
      </c>
      <c r="CL496" s="848"/>
      <c r="CM496" s="848"/>
      <c r="CN496" s="848"/>
      <c r="CO496" s="848"/>
      <c r="CP496" s="848"/>
      <c r="CQ496" s="848"/>
      <c r="CR496" s="848"/>
      <c r="CS496" s="848"/>
      <c r="CT496" s="848"/>
      <c r="CU496" s="848"/>
      <c r="CV496" s="848"/>
      <c r="CW496" s="848"/>
    </row>
    <row r="497" spans="1:101" s="851" customFormat="1" ht="29.45" customHeight="1">
      <c r="A497" s="845" t="s">
        <v>96</v>
      </c>
      <c r="B497" s="845"/>
      <c r="C497" s="857" t="s">
        <v>465</v>
      </c>
      <c r="D497" s="846">
        <f>D498</f>
        <v>0</v>
      </c>
      <c r="E497" s="845">
        <f t="shared" ref="E497:CE497" si="455">E498</f>
        <v>0</v>
      </c>
      <c r="F497" s="847"/>
      <c r="G497" s="845"/>
      <c r="H497" s="850">
        <f t="shared" si="439"/>
        <v>13140</v>
      </c>
      <c r="I497" s="848">
        <f t="shared" si="455"/>
        <v>0</v>
      </c>
      <c r="J497" s="848">
        <f t="shared" si="455"/>
        <v>0</v>
      </c>
      <c r="K497" s="848">
        <f t="shared" si="455"/>
        <v>5000</v>
      </c>
      <c r="L497" s="848">
        <f t="shared" si="455"/>
        <v>0</v>
      </c>
      <c r="M497" s="848">
        <f t="shared" si="455"/>
        <v>0</v>
      </c>
      <c r="N497" s="848">
        <f t="shared" si="455"/>
        <v>0</v>
      </c>
      <c r="O497" s="848">
        <f t="shared" si="455"/>
        <v>0</v>
      </c>
      <c r="P497" s="848">
        <f t="shared" si="455"/>
        <v>0</v>
      </c>
      <c r="Q497" s="848">
        <f t="shared" si="455"/>
        <v>0</v>
      </c>
      <c r="R497" s="848">
        <v>7186</v>
      </c>
      <c r="S497" s="848">
        <f t="shared" si="455"/>
        <v>954</v>
      </c>
      <c r="T497" s="855">
        <f t="shared" si="431"/>
        <v>2214.4740000000002</v>
      </c>
      <c r="U497" s="848">
        <f t="shared" ref="U497:AH497" si="456">U498</f>
        <v>0</v>
      </c>
      <c r="V497" s="848">
        <f t="shared" si="456"/>
        <v>0</v>
      </c>
      <c r="W497" s="848">
        <f t="shared" si="456"/>
        <v>0</v>
      </c>
      <c r="X497" s="848">
        <f t="shared" si="456"/>
        <v>214.47399999999999</v>
      </c>
      <c r="Y497" s="848">
        <f t="shared" si="456"/>
        <v>0</v>
      </c>
      <c r="Z497" s="848">
        <f t="shared" si="456"/>
        <v>0</v>
      </c>
      <c r="AA497" s="848">
        <f t="shared" si="456"/>
        <v>0</v>
      </c>
      <c r="AB497" s="848">
        <f t="shared" si="456"/>
        <v>0</v>
      </c>
      <c r="AC497" s="848">
        <f t="shared" si="456"/>
        <v>0</v>
      </c>
      <c r="AD497" s="848"/>
      <c r="AE497" s="848"/>
      <c r="AF497" s="848">
        <f t="shared" si="456"/>
        <v>0</v>
      </c>
      <c r="AG497" s="848">
        <f t="shared" si="456"/>
        <v>0</v>
      </c>
      <c r="AH497" s="848">
        <f t="shared" si="456"/>
        <v>2000</v>
      </c>
      <c r="AI497" s="848">
        <f t="shared" si="455"/>
        <v>2500</v>
      </c>
      <c r="AJ497" s="848">
        <f t="shared" si="455"/>
        <v>0</v>
      </c>
      <c r="AK497" s="848">
        <f t="shared" si="455"/>
        <v>0</v>
      </c>
      <c r="AL497" s="848">
        <f t="shared" si="455"/>
        <v>0</v>
      </c>
      <c r="AM497" s="848">
        <f t="shared" si="455"/>
        <v>500</v>
      </c>
      <c r="AN497" s="848">
        <f t="shared" si="455"/>
        <v>0</v>
      </c>
      <c r="AO497" s="848">
        <f t="shared" si="455"/>
        <v>0</v>
      </c>
      <c r="AP497" s="848">
        <f t="shared" si="455"/>
        <v>0</v>
      </c>
      <c r="AQ497" s="848">
        <f t="shared" si="455"/>
        <v>0</v>
      </c>
      <c r="AR497" s="848">
        <f t="shared" si="455"/>
        <v>0</v>
      </c>
      <c r="AS497" s="848"/>
      <c r="AT497" s="848">
        <f t="shared" si="455"/>
        <v>0</v>
      </c>
      <c r="AU497" s="848">
        <f t="shared" si="455"/>
        <v>0</v>
      </c>
      <c r="AV497" s="848">
        <f t="shared" si="455"/>
        <v>0</v>
      </c>
      <c r="AW497" s="848">
        <f t="shared" si="455"/>
        <v>0</v>
      </c>
      <c r="AX497" s="848">
        <f t="shared" si="455"/>
        <v>2000</v>
      </c>
      <c r="AY497" s="848">
        <f t="shared" si="455"/>
        <v>2087</v>
      </c>
      <c r="AZ497" s="848">
        <f t="shared" si="455"/>
        <v>0</v>
      </c>
      <c r="BA497" s="848"/>
      <c r="BB497" s="848"/>
      <c r="BC497" s="848">
        <f t="shared" si="455"/>
        <v>0</v>
      </c>
      <c r="BD497" s="848">
        <f t="shared" si="455"/>
        <v>1708</v>
      </c>
      <c r="BE497" s="848"/>
      <c r="BF497" s="848">
        <f t="shared" si="455"/>
        <v>0</v>
      </c>
      <c r="BG497" s="848">
        <f t="shared" si="455"/>
        <v>0</v>
      </c>
      <c r="BH497" s="848">
        <f t="shared" si="455"/>
        <v>0</v>
      </c>
      <c r="BI497" s="848">
        <f t="shared" si="455"/>
        <v>0</v>
      </c>
      <c r="BJ497" s="848">
        <f t="shared" si="455"/>
        <v>0</v>
      </c>
      <c r="BK497" s="848">
        <f t="shared" si="455"/>
        <v>0</v>
      </c>
      <c r="BL497" s="848">
        <f t="shared" si="455"/>
        <v>0</v>
      </c>
      <c r="BM497" s="848">
        <f t="shared" si="455"/>
        <v>0</v>
      </c>
      <c r="BN497" s="848">
        <f t="shared" si="455"/>
        <v>379</v>
      </c>
      <c r="BO497" s="848">
        <f t="shared" si="421"/>
        <v>2084.7539999999999</v>
      </c>
      <c r="BP497" s="848">
        <f t="shared" si="455"/>
        <v>0</v>
      </c>
      <c r="BQ497" s="848"/>
      <c r="BR497" s="848"/>
      <c r="BS497" s="848">
        <f t="shared" si="455"/>
        <v>0</v>
      </c>
      <c r="BT497" s="848">
        <f t="shared" si="455"/>
        <v>1708</v>
      </c>
      <c r="BU497" s="848"/>
      <c r="BV497" s="848">
        <f t="shared" si="455"/>
        <v>0</v>
      </c>
      <c r="BW497" s="848">
        <f t="shared" si="455"/>
        <v>0</v>
      </c>
      <c r="BX497" s="848">
        <f t="shared" si="455"/>
        <v>0</v>
      </c>
      <c r="BY497" s="848">
        <f t="shared" si="455"/>
        <v>0</v>
      </c>
      <c r="BZ497" s="848">
        <f t="shared" si="455"/>
        <v>0</v>
      </c>
      <c r="CA497" s="848">
        <f t="shared" si="455"/>
        <v>0</v>
      </c>
      <c r="CB497" s="848">
        <f t="shared" si="455"/>
        <v>0</v>
      </c>
      <c r="CC497" s="848">
        <f t="shared" si="455"/>
        <v>0</v>
      </c>
      <c r="CD497" s="848">
        <f t="shared" si="455"/>
        <v>0</v>
      </c>
      <c r="CE497" s="848">
        <f t="shared" si="455"/>
        <v>376.75400000000002</v>
      </c>
      <c r="CF497" s="848"/>
      <c r="CG497" s="848"/>
      <c r="CH497" s="848"/>
      <c r="CI497" s="848"/>
      <c r="CJ497" s="848"/>
      <c r="CK497" s="848">
        <f t="shared" si="423"/>
        <v>100</v>
      </c>
      <c r="CL497" s="848"/>
      <c r="CM497" s="848"/>
      <c r="CN497" s="848"/>
      <c r="CO497" s="848"/>
      <c r="CP497" s="848"/>
      <c r="CQ497" s="848"/>
      <c r="CR497" s="848"/>
      <c r="CS497" s="848"/>
      <c r="CT497" s="848"/>
      <c r="CU497" s="848"/>
      <c r="CV497" s="848"/>
      <c r="CW497" s="848">
        <f t="shared" si="426"/>
        <v>99.407387862796838</v>
      </c>
    </row>
    <row r="498" spans="1:101" s="851" customFormat="1" ht="29.45" customHeight="1">
      <c r="A498" s="845"/>
      <c r="B498" s="845"/>
      <c r="C498" s="857" t="s">
        <v>508</v>
      </c>
      <c r="D498" s="846">
        <f>D499+D500+D501</f>
        <v>0</v>
      </c>
      <c r="E498" s="845">
        <f t="shared" ref="E498:CE498" si="457">E499+E500+E501</f>
        <v>0</v>
      </c>
      <c r="F498" s="847"/>
      <c r="G498" s="845"/>
      <c r="H498" s="850">
        <f t="shared" si="439"/>
        <v>13140</v>
      </c>
      <c r="I498" s="848">
        <f t="shared" si="457"/>
        <v>0</v>
      </c>
      <c r="J498" s="848">
        <f t="shared" si="457"/>
        <v>0</v>
      </c>
      <c r="K498" s="848">
        <f t="shared" si="457"/>
        <v>5000</v>
      </c>
      <c r="L498" s="848">
        <f t="shared" si="457"/>
        <v>0</v>
      </c>
      <c r="M498" s="848">
        <f t="shared" si="457"/>
        <v>0</v>
      </c>
      <c r="N498" s="848">
        <f t="shared" si="457"/>
        <v>0</v>
      </c>
      <c r="O498" s="848">
        <f t="shared" si="457"/>
        <v>0</v>
      </c>
      <c r="P498" s="848">
        <f t="shared" si="457"/>
        <v>0</v>
      </c>
      <c r="Q498" s="848">
        <f t="shared" si="457"/>
        <v>0</v>
      </c>
      <c r="R498" s="848">
        <v>7186</v>
      </c>
      <c r="S498" s="848">
        <f t="shared" si="457"/>
        <v>954</v>
      </c>
      <c r="T498" s="855">
        <f t="shared" si="431"/>
        <v>2214.4740000000002</v>
      </c>
      <c r="U498" s="848">
        <f t="shared" ref="U498:AH498" si="458">U499+U500+U501</f>
        <v>0</v>
      </c>
      <c r="V498" s="848">
        <f t="shared" si="458"/>
        <v>0</v>
      </c>
      <c r="W498" s="848">
        <f t="shared" si="458"/>
        <v>0</v>
      </c>
      <c r="X498" s="848">
        <f t="shared" si="458"/>
        <v>214.47399999999999</v>
      </c>
      <c r="Y498" s="848">
        <f t="shared" si="458"/>
        <v>0</v>
      </c>
      <c r="Z498" s="848">
        <f t="shared" si="458"/>
        <v>0</v>
      </c>
      <c r="AA498" s="848">
        <f t="shared" si="458"/>
        <v>0</v>
      </c>
      <c r="AB498" s="848">
        <f t="shared" si="458"/>
        <v>0</v>
      </c>
      <c r="AC498" s="848">
        <f t="shared" si="458"/>
        <v>0</v>
      </c>
      <c r="AD498" s="848"/>
      <c r="AE498" s="848"/>
      <c r="AF498" s="848">
        <f t="shared" si="458"/>
        <v>0</v>
      </c>
      <c r="AG498" s="848">
        <f t="shared" si="458"/>
        <v>0</v>
      </c>
      <c r="AH498" s="848">
        <f t="shared" si="458"/>
        <v>2000</v>
      </c>
      <c r="AI498" s="848">
        <f>AI499+AI500+AI501</f>
        <v>2500</v>
      </c>
      <c r="AJ498" s="848">
        <f t="shared" ref="AJ498:AX498" si="459">AJ499+AJ500+AJ501</f>
        <v>0</v>
      </c>
      <c r="AK498" s="848">
        <f t="shared" si="459"/>
        <v>0</v>
      </c>
      <c r="AL498" s="848">
        <f t="shared" si="459"/>
        <v>0</v>
      </c>
      <c r="AM498" s="848">
        <f t="shared" si="459"/>
        <v>500</v>
      </c>
      <c r="AN498" s="848">
        <f t="shared" si="459"/>
        <v>0</v>
      </c>
      <c r="AO498" s="848">
        <f t="shared" si="459"/>
        <v>0</v>
      </c>
      <c r="AP498" s="848">
        <f t="shared" si="459"/>
        <v>0</v>
      </c>
      <c r="AQ498" s="848">
        <f t="shared" si="459"/>
        <v>0</v>
      </c>
      <c r="AR498" s="848">
        <f t="shared" si="459"/>
        <v>0</v>
      </c>
      <c r="AS498" s="848"/>
      <c r="AT498" s="848">
        <f t="shared" si="459"/>
        <v>0</v>
      </c>
      <c r="AU498" s="848">
        <f t="shared" si="459"/>
        <v>0</v>
      </c>
      <c r="AV498" s="848">
        <f t="shared" si="459"/>
        <v>0</v>
      </c>
      <c r="AW498" s="848">
        <f t="shared" si="459"/>
        <v>0</v>
      </c>
      <c r="AX498" s="848">
        <f t="shared" si="459"/>
        <v>2000</v>
      </c>
      <c r="AY498" s="848">
        <f t="shared" si="457"/>
        <v>2087</v>
      </c>
      <c r="AZ498" s="848">
        <f t="shared" si="457"/>
        <v>0</v>
      </c>
      <c r="BA498" s="848">
        <f t="shared" si="457"/>
        <v>0</v>
      </c>
      <c r="BB498" s="848">
        <f t="shared" si="457"/>
        <v>0</v>
      </c>
      <c r="BC498" s="848">
        <f t="shared" si="457"/>
        <v>0</v>
      </c>
      <c r="BD498" s="848">
        <f t="shared" si="457"/>
        <v>1708</v>
      </c>
      <c r="BE498" s="848">
        <f t="shared" si="457"/>
        <v>0</v>
      </c>
      <c r="BF498" s="848">
        <f t="shared" si="457"/>
        <v>0</v>
      </c>
      <c r="BG498" s="848">
        <f t="shared" si="457"/>
        <v>0</v>
      </c>
      <c r="BH498" s="848">
        <f t="shared" si="457"/>
        <v>0</v>
      </c>
      <c r="BI498" s="848">
        <f t="shared" si="457"/>
        <v>0</v>
      </c>
      <c r="BJ498" s="848">
        <f t="shared" si="457"/>
        <v>0</v>
      </c>
      <c r="BK498" s="848">
        <f t="shared" si="457"/>
        <v>0</v>
      </c>
      <c r="BL498" s="848">
        <f t="shared" si="457"/>
        <v>0</v>
      </c>
      <c r="BM498" s="848">
        <f t="shared" si="457"/>
        <v>0</v>
      </c>
      <c r="BN498" s="848">
        <f t="shared" si="457"/>
        <v>379</v>
      </c>
      <c r="BO498" s="848">
        <f t="shared" si="421"/>
        <v>2084.7539999999999</v>
      </c>
      <c r="BP498" s="848">
        <f t="shared" si="457"/>
        <v>0</v>
      </c>
      <c r="BQ498" s="848">
        <f t="shared" si="457"/>
        <v>0</v>
      </c>
      <c r="BR498" s="848">
        <f t="shared" si="457"/>
        <v>0</v>
      </c>
      <c r="BS498" s="848">
        <f t="shared" si="457"/>
        <v>0</v>
      </c>
      <c r="BT498" s="848">
        <f t="shared" si="457"/>
        <v>1708</v>
      </c>
      <c r="BU498" s="848">
        <f t="shared" si="457"/>
        <v>0</v>
      </c>
      <c r="BV498" s="848">
        <f t="shared" si="457"/>
        <v>0</v>
      </c>
      <c r="BW498" s="848">
        <f t="shared" si="457"/>
        <v>0</v>
      </c>
      <c r="BX498" s="848">
        <f t="shared" si="457"/>
        <v>0</v>
      </c>
      <c r="BY498" s="848">
        <f t="shared" si="457"/>
        <v>0</v>
      </c>
      <c r="BZ498" s="848">
        <f t="shared" si="457"/>
        <v>0</v>
      </c>
      <c r="CA498" s="848">
        <f t="shared" si="457"/>
        <v>0</v>
      </c>
      <c r="CB498" s="848">
        <f t="shared" si="457"/>
        <v>0</v>
      </c>
      <c r="CC498" s="848">
        <f t="shared" si="457"/>
        <v>0</v>
      </c>
      <c r="CD498" s="848">
        <f t="shared" si="457"/>
        <v>0</v>
      </c>
      <c r="CE498" s="848">
        <f t="shared" si="457"/>
        <v>376.75400000000002</v>
      </c>
      <c r="CF498" s="848"/>
      <c r="CG498" s="848"/>
      <c r="CH498" s="848"/>
      <c r="CI498" s="848"/>
      <c r="CJ498" s="848"/>
      <c r="CK498" s="848">
        <f t="shared" si="423"/>
        <v>100</v>
      </c>
      <c r="CL498" s="848"/>
      <c r="CM498" s="848"/>
      <c r="CN498" s="848"/>
      <c r="CO498" s="848"/>
      <c r="CP498" s="848"/>
      <c r="CQ498" s="848"/>
      <c r="CR498" s="848"/>
      <c r="CS498" s="848"/>
      <c r="CT498" s="848"/>
      <c r="CU498" s="848"/>
      <c r="CV498" s="848"/>
      <c r="CW498" s="848">
        <f t="shared" si="426"/>
        <v>99.407387862796838</v>
      </c>
    </row>
    <row r="499" spans="1:101" s="851" customFormat="1" ht="19.149999999999999" customHeight="1">
      <c r="A499" s="845"/>
      <c r="B499" s="852" t="s">
        <v>465</v>
      </c>
      <c r="C499" s="852" t="s">
        <v>1156</v>
      </c>
      <c r="D499" s="846"/>
      <c r="E499" s="845"/>
      <c r="F499" s="853">
        <v>2016</v>
      </c>
      <c r="G499" s="903" t="s">
        <v>1157</v>
      </c>
      <c r="H499" s="850">
        <f t="shared" si="439"/>
        <v>7504</v>
      </c>
      <c r="I499" s="876"/>
      <c r="J499" s="848"/>
      <c r="K499" s="855">
        <v>5000</v>
      </c>
      <c r="L499" s="855"/>
      <c r="M499" s="855"/>
      <c r="N499" s="855"/>
      <c r="O499" s="855"/>
      <c r="P499" s="855"/>
      <c r="Q499" s="855"/>
      <c r="R499" s="855">
        <v>2504</v>
      </c>
      <c r="S499" s="855"/>
      <c r="T499" s="855">
        <f t="shared" si="431"/>
        <v>214.47399999999999</v>
      </c>
      <c r="U499" s="848"/>
      <c r="V499" s="848"/>
      <c r="W499" s="848"/>
      <c r="X499" s="855">
        <v>214.47399999999999</v>
      </c>
      <c r="Y499" s="848"/>
      <c r="Z499" s="848"/>
      <c r="AA499" s="848"/>
      <c r="AB499" s="848"/>
      <c r="AC499" s="848"/>
      <c r="AD499" s="848"/>
      <c r="AE499" s="848"/>
      <c r="AF499" s="848"/>
      <c r="AG499" s="848"/>
      <c r="AH499" s="848"/>
      <c r="AI499" s="848">
        <f>AM499</f>
        <v>500</v>
      </c>
      <c r="AJ499" s="848"/>
      <c r="AK499" s="848"/>
      <c r="AL499" s="848"/>
      <c r="AM499" s="855">
        <v>500</v>
      </c>
      <c r="AN499" s="848"/>
      <c r="AO499" s="848"/>
      <c r="AP499" s="848"/>
      <c r="AQ499" s="848"/>
      <c r="AR499" s="848"/>
      <c r="AS499" s="848"/>
      <c r="AT499" s="848"/>
      <c r="AU499" s="848"/>
      <c r="AV499" s="848"/>
      <c r="AW499" s="848"/>
      <c r="AX499" s="848"/>
      <c r="AY499" s="855">
        <f t="shared" ref="AY499:AY501" si="460">SUM(AZ499:BN499)</f>
        <v>1708</v>
      </c>
      <c r="AZ499" s="848"/>
      <c r="BA499" s="848"/>
      <c r="BB499" s="848"/>
      <c r="BC499" s="848"/>
      <c r="BD499" s="848">
        <f>'[10]bieu cu'!H239</f>
        <v>1708</v>
      </c>
      <c r="BE499" s="848"/>
      <c r="BF499" s="848"/>
      <c r="BG499" s="848"/>
      <c r="BH499" s="848"/>
      <c r="BI499" s="848"/>
      <c r="BJ499" s="848"/>
      <c r="BK499" s="848"/>
      <c r="BL499" s="848"/>
      <c r="BM499" s="848"/>
      <c r="BN499" s="848"/>
      <c r="BO499" s="848">
        <f t="shared" si="421"/>
        <v>1708</v>
      </c>
      <c r="BP499" s="848"/>
      <c r="BQ499" s="848"/>
      <c r="BR499" s="848"/>
      <c r="BS499" s="848"/>
      <c r="BT499" s="855">
        <f>'[10]bieu cu'!M239</f>
        <v>1708</v>
      </c>
      <c r="BU499" s="848"/>
      <c r="BV499" s="848"/>
      <c r="BW499" s="848"/>
      <c r="BX499" s="848"/>
      <c r="BY499" s="848"/>
      <c r="BZ499" s="848"/>
      <c r="CA499" s="848"/>
      <c r="CB499" s="848"/>
      <c r="CC499" s="848"/>
      <c r="CD499" s="848"/>
      <c r="CE499" s="848"/>
      <c r="CF499" s="848"/>
      <c r="CG499" s="848"/>
      <c r="CH499" s="848"/>
      <c r="CI499" s="848"/>
      <c r="CJ499" s="848"/>
      <c r="CK499" s="848">
        <f t="shared" si="423"/>
        <v>100</v>
      </c>
      <c r="CL499" s="848"/>
      <c r="CM499" s="848"/>
      <c r="CN499" s="848"/>
      <c r="CO499" s="848"/>
      <c r="CP499" s="848"/>
      <c r="CQ499" s="848"/>
      <c r="CR499" s="848"/>
      <c r="CS499" s="848"/>
      <c r="CT499" s="848"/>
      <c r="CU499" s="848"/>
      <c r="CV499" s="848"/>
      <c r="CW499" s="848"/>
    </row>
    <row r="500" spans="1:101" ht="45.6" customHeight="1">
      <c r="A500" s="845"/>
      <c r="B500" s="852" t="s">
        <v>465</v>
      </c>
      <c r="C500" s="852" t="s">
        <v>1158</v>
      </c>
      <c r="D500" s="846"/>
      <c r="E500" s="845"/>
      <c r="F500" s="853" t="s">
        <v>1118</v>
      </c>
      <c r="G500" s="846" t="s">
        <v>1159</v>
      </c>
      <c r="H500" s="850">
        <f t="shared" si="439"/>
        <v>954</v>
      </c>
      <c r="I500" s="855"/>
      <c r="J500" s="848"/>
      <c r="K500" s="855"/>
      <c r="L500" s="855"/>
      <c r="M500" s="855"/>
      <c r="N500" s="855"/>
      <c r="O500" s="855"/>
      <c r="P500" s="855"/>
      <c r="Q500" s="855"/>
      <c r="R500" s="855"/>
      <c r="S500" s="855">
        <v>954</v>
      </c>
      <c r="T500" s="855">
        <f t="shared" si="431"/>
        <v>0</v>
      </c>
      <c r="U500" s="848"/>
      <c r="V500" s="848"/>
      <c r="W500" s="848"/>
      <c r="X500" s="848"/>
      <c r="Y500" s="848"/>
      <c r="Z500" s="848"/>
      <c r="AA500" s="848"/>
      <c r="AB500" s="848"/>
      <c r="AC500" s="848"/>
      <c r="AD500" s="848"/>
      <c r="AE500" s="848"/>
      <c r="AF500" s="848"/>
      <c r="AG500" s="848"/>
      <c r="AH500" s="855"/>
      <c r="AI500" s="855"/>
      <c r="AJ500" s="855"/>
      <c r="AK500" s="855"/>
      <c r="AL500" s="855"/>
      <c r="AM500" s="855"/>
      <c r="AN500" s="855"/>
      <c r="AO500" s="855"/>
      <c r="AP500" s="855"/>
      <c r="AQ500" s="855"/>
      <c r="AR500" s="855"/>
      <c r="AS500" s="855"/>
      <c r="AT500" s="855"/>
      <c r="AU500" s="855"/>
      <c r="AV500" s="855"/>
      <c r="AW500" s="855"/>
      <c r="AX500" s="855"/>
      <c r="AY500" s="855">
        <f t="shared" si="460"/>
        <v>379</v>
      </c>
      <c r="AZ500" s="855"/>
      <c r="BA500" s="855"/>
      <c r="BB500" s="855"/>
      <c r="BC500" s="855"/>
      <c r="BD500" s="855"/>
      <c r="BE500" s="855"/>
      <c r="BF500" s="855"/>
      <c r="BG500" s="855"/>
      <c r="BH500" s="855"/>
      <c r="BI500" s="855"/>
      <c r="BJ500" s="855"/>
      <c r="BK500" s="855"/>
      <c r="BL500" s="855"/>
      <c r="BM500" s="855"/>
      <c r="BN500" s="855">
        <f>'[10]bieu cu'!H210</f>
        <v>379</v>
      </c>
      <c r="BO500" s="848">
        <f t="shared" si="421"/>
        <v>76.078000000000003</v>
      </c>
      <c r="BP500" s="855"/>
      <c r="BQ500" s="855"/>
      <c r="BR500" s="855"/>
      <c r="BS500" s="855"/>
      <c r="BT500" s="855"/>
      <c r="BU500" s="855"/>
      <c r="BV500" s="855"/>
      <c r="BW500" s="855"/>
      <c r="BX500" s="855"/>
      <c r="BY500" s="855"/>
      <c r="BZ500" s="855"/>
      <c r="CA500" s="855"/>
      <c r="CB500" s="855"/>
      <c r="CC500" s="855"/>
      <c r="CD500" s="855"/>
      <c r="CE500" s="855">
        <v>76.078000000000003</v>
      </c>
      <c r="CF500" s="848"/>
      <c r="CG500" s="848"/>
      <c r="CH500" s="848"/>
      <c r="CI500" s="848"/>
      <c r="CJ500" s="848"/>
      <c r="CK500" s="848"/>
      <c r="CL500" s="848"/>
      <c r="CM500" s="848"/>
      <c r="CN500" s="848"/>
      <c r="CO500" s="848"/>
      <c r="CP500" s="848"/>
      <c r="CQ500" s="848"/>
      <c r="CR500" s="848"/>
      <c r="CS500" s="848"/>
      <c r="CT500" s="848"/>
      <c r="CU500" s="848"/>
      <c r="CV500" s="848"/>
      <c r="CW500" s="848">
        <f t="shared" si="426"/>
        <v>20.073350923482849</v>
      </c>
    </row>
    <row r="501" spans="1:101" ht="45.6" customHeight="1">
      <c r="A501" s="845"/>
      <c r="B501" s="852" t="s">
        <v>465</v>
      </c>
      <c r="C501" s="852" t="s">
        <v>1160</v>
      </c>
      <c r="D501" s="846"/>
      <c r="E501" s="845"/>
      <c r="F501" s="847"/>
      <c r="G501" s="854" t="s">
        <v>1161</v>
      </c>
      <c r="H501" s="850">
        <f t="shared" si="439"/>
        <v>4682</v>
      </c>
      <c r="I501" s="848"/>
      <c r="J501" s="848"/>
      <c r="K501" s="848"/>
      <c r="L501" s="848"/>
      <c r="M501" s="848"/>
      <c r="N501" s="848"/>
      <c r="O501" s="848"/>
      <c r="P501" s="848"/>
      <c r="Q501" s="848"/>
      <c r="R501" s="855">
        <v>4682</v>
      </c>
      <c r="S501" s="848"/>
      <c r="T501" s="855">
        <f t="shared" si="431"/>
        <v>2000</v>
      </c>
      <c r="U501" s="848"/>
      <c r="V501" s="848"/>
      <c r="W501" s="848"/>
      <c r="X501" s="848"/>
      <c r="Y501" s="848"/>
      <c r="Z501" s="848"/>
      <c r="AA501" s="848"/>
      <c r="AB501" s="848"/>
      <c r="AC501" s="848"/>
      <c r="AD501" s="848"/>
      <c r="AE501" s="848"/>
      <c r="AF501" s="848"/>
      <c r="AG501" s="848"/>
      <c r="AH501" s="855">
        <v>2000</v>
      </c>
      <c r="AI501" s="855">
        <f>AX501</f>
        <v>2000</v>
      </c>
      <c r="AJ501" s="855"/>
      <c r="AK501" s="855"/>
      <c r="AL501" s="855"/>
      <c r="AM501" s="855"/>
      <c r="AN501" s="855"/>
      <c r="AO501" s="855"/>
      <c r="AP501" s="855"/>
      <c r="AQ501" s="855"/>
      <c r="AR501" s="855"/>
      <c r="AS501" s="855"/>
      <c r="AT501" s="855"/>
      <c r="AU501" s="855"/>
      <c r="AV501" s="855"/>
      <c r="AW501" s="855"/>
      <c r="AX501" s="855">
        <v>2000</v>
      </c>
      <c r="AY501" s="855">
        <f t="shared" si="460"/>
        <v>0</v>
      </c>
      <c r="AZ501" s="855"/>
      <c r="BA501" s="855"/>
      <c r="BB501" s="855"/>
      <c r="BC501" s="855"/>
      <c r="BD501" s="855"/>
      <c r="BE501" s="855"/>
      <c r="BF501" s="855"/>
      <c r="BG501" s="855"/>
      <c r="BH501" s="855"/>
      <c r="BI501" s="855"/>
      <c r="BJ501" s="855"/>
      <c r="BK501" s="855"/>
      <c r="BL501" s="855"/>
      <c r="BM501" s="855"/>
      <c r="BN501" s="855"/>
      <c r="BO501" s="848">
        <f t="shared" si="421"/>
        <v>300.67599999999999</v>
      </c>
      <c r="BP501" s="855"/>
      <c r="BQ501" s="855"/>
      <c r="BR501" s="855"/>
      <c r="BS501" s="855"/>
      <c r="BT501" s="855"/>
      <c r="BU501" s="855"/>
      <c r="BV501" s="855"/>
      <c r="BW501" s="855"/>
      <c r="BX501" s="855"/>
      <c r="BY501" s="855"/>
      <c r="BZ501" s="855"/>
      <c r="CA501" s="855"/>
      <c r="CB501" s="855"/>
      <c r="CC501" s="855"/>
      <c r="CD501" s="855"/>
      <c r="CE501" s="855">
        <v>300.67599999999999</v>
      </c>
      <c r="CF501" s="848"/>
      <c r="CG501" s="848"/>
      <c r="CH501" s="848"/>
      <c r="CI501" s="848"/>
      <c r="CJ501" s="848"/>
      <c r="CK501" s="848"/>
      <c r="CL501" s="848"/>
      <c r="CM501" s="848"/>
      <c r="CN501" s="848"/>
      <c r="CO501" s="848"/>
      <c r="CP501" s="848"/>
      <c r="CQ501" s="848"/>
      <c r="CR501" s="848"/>
      <c r="CS501" s="848"/>
      <c r="CT501" s="848"/>
      <c r="CU501" s="848"/>
      <c r="CV501" s="848"/>
      <c r="CW501" s="848"/>
    </row>
    <row r="502" spans="1:101" s="851" customFormat="1" ht="45.6" customHeight="1">
      <c r="A502" s="845" t="s">
        <v>139</v>
      </c>
      <c r="B502" s="845"/>
      <c r="C502" s="857" t="s">
        <v>512</v>
      </c>
      <c r="D502" s="846">
        <f>D503</f>
        <v>0</v>
      </c>
      <c r="E502" s="845">
        <f t="shared" ref="E502:CE502" si="461">E503</f>
        <v>0</v>
      </c>
      <c r="F502" s="847">
        <f t="shared" si="461"/>
        <v>6049</v>
      </c>
      <c r="G502" s="845">
        <f t="shared" si="461"/>
        <v>0</v>
      </c>
      <c r="H502" s="850">
        <f t="shared" si="439"/>
        <v>19888.089051999999</v>
      </c>
      <c r="I502" s="848">
        <f t="shared" si="461"/>
        <v>0</v>
      </c>
      <c r="J502" s="848">
        <f t="shared" si="461"/>
        <v>0</v>
      </c>
      <c r="K502" s="848">
        <f t="shared" si="461"/>
        <v>0</v>
      </c>
      <c r="L502" s="848">
        <f t="shared" si="461"/>
        <v>0</v>
      </c>
      <c r="M502" s="848">
        <f t="shared" si="461"/>
        <v>0</v>
      </c>
      <c r="N502" s="848">
        <f t="shared" si="461"/>
        <v>0</v>
      </c>
      <c r="O502" s="848">
        <f t="shared" si="461"/>
        <v>0</v>
      </c>
      <c r="P502" s="848">
        <f t="shared" si="461"/>
        <v>0</v>
      </c>
      <c r="Q502" s="848">
        <f t="shared" si="461"/>
        <v>0</v>
      </c>
      <c r="R502" s="848">
        <v>11314</v>
      </c>
      <c r="S502" s="848">
        <f t="shared" si="461"/>
        <v>8574.0890519999994</v>
      </c>
      <c r="T502" s="855">
        <f t="shared" si="431"/>
        <v>8400</v>
      </c>
      <c r="U502" s="848">
        <f t="shared" ref="U502:AH502" si="462">U503</f>
        <v>0</v>
      </c>
      <c r="V502" s="848">
        <f t="shared" si="462"/>
        <v>0</v>
      </c>
      <c r="W502" s="848">
        <f t="shared" si="462"/>
        <v>0</v>
      </c>
      <c r="X502" s="848">
        <f t="shared" si="462"/>
        <v>5700</v>
      </c>
      <c r="Y502" s="848">
        <f t="shared" si="462"/>
        <v>0</v>
      </c>
      <c r="Z502" s="848">
        <f t="shared" si="462"/>
        <v>0</v>
      </c>
      <c r="AA502" s="848">
        <f t="shared" si="462"/>
        <v>0</v>
      </c>
      <c r="AB502" s="848">
        <f t="shared" si="462"/>
        <v>0</v>
      </c>
      <c r="AC502" s="848">
        <f t="shared" si="462"/>
        <v>0</v>
      </c>
      <c r="AD502" s="848"/>
      <c r="AE502" s="848"/>
      <c r="AF502" s="848">
        <f t="shared" si="462"/>
        <v>0</v>
      </c>
      <c r="AG502" s="848">
        <f t="shared" si="462"/>
        <v>0</v>
      </c>
      <c r="AH502" s="848">
        <f t="shared" si="462"/>
        <v>2700</v>
      </c>
      <c r="AI502" s="848">
        <f>AI503</f>
        <v>3700</v>
      </c>
      <c r="AJ502" s="848">
        <f t="shared" ref="AJ502:AX502" si="463">AJ503</f>
        <v>0</v>
      </c>
      <c r="AK502" s="848">
        <f t="shared" si="463"/>
        <v>0</v>
      </c>
      <c r="AL502" s="848">
        <f t="shared" si="463"/>
        <v>0</v>
      </c>
      <c r="AM502" s="848">
        <f t="shared" si="463"/>
        <v>1700</v>
      </c>
      <c r="AN502" s="848">
        <f t="shared" si="463"/>
        <v>0</v>
      </c>
      <c r="AO502" s="848">
        <f t="shared" si="463"/>
        <v>0</v>
      </c>
      <c r="AP502" s="848">
        <f t="shared" si="463"/>
        <v>0</v>
      </c>
      <c r="AQ502" s="848">
        <f t="shared" si="463"/>
        <v>0</v>
      </c>
      <c r="AR502" s="848">
        <f t="shared" si="463"/>
        <v>0</v>
      </c>
      <c r="AS502" s="848"/>
      <c r="AT502" s="848">
        <f t="shared" si="463"/>
        <v>0</v>
      </c>
      <c r="AU502" s="848">
        <f t="shared" si="463"/>
        <v>0</v>
      </c>
      <c r="AV502" s="848">
        <f t="shared" si="463"/>
        <v>0</v>
      </c>
      <c r="AW502" s="848">
        <f t="shared" si="463"/>
        <v>0</v>
      </c>
      <c r="AX502" s="848">
        <f t="shared" si="463"/>
        <v>2000</v>
      </c>
      <c r="AY502" s="848">
        <f t="shared" si="461"/>
        <v>3102</v>
      </c>
      <c r="AZ502" s="848">
        <f t="shared" si="461"/>
        <v>0</v>
      </c>
      <c r="BA502" s="848">
        <f t="shared" si="461"/>
        <v>0</v>
      </c>
      <c r="BB502" s="848">
        <f t="shared" si="461"/>
        <v>0</v>
      </c>
      <c r="BC502" s="848">
        <f t="shared" si="461"/>
        <v>0</v>
      </c>
      <c r="BD502" s="848">
        <f t="shared" si="461"/>
        <v>800</v>
      </c>
      <c r="BE502" s="848">
        <f t="shared" si="461"/>
        <v>0</v>
      </c>
      <c r="BF502" s="848">
        <f t="shared" si="461"/>
        <v>0</v>
      </c>
      <c r="BG502" s="848">
        <f t="shared" si="461"/>
        <v>0</v>
      </c>
      <c r="BH502" s="848">
        <f t="shared" si="461"/>
        <v>0</v>
      </c>
      <c r="BI502" s="848">
        <f t="shared" si="461"/>
        <v>0</v>
      </c>
      <c r="BJ502" s="848">
        <f t="shared" si="461"/>
        <v>0</v>
      </c>
      <c r="BK502" s="848">
        <f t="shared" si="461"/>
        <v>0</v>
      </c>
      <c r="BL502" s="848">
        <f t="shared" si="461"/>
        <v>0</v>
      </c>
      <c r="BM502" s="848">
        <f t="shared" si="461"/>
        <v>0</v>
      </c>
      <c r="BN502" s="848">
        <f t="shared" si="461"/>
        <v>2302</v>
      </c>
      <c r="BO502" s="848">
        <f t="shared" si="421"/>
        <v>3084.13</v>
      </c>
      <c r="BP502" s="848">
        <f t="shared" si="461"/>
        <v>0</v>
      </c>
      <c r="BQ502" s="848">
        <f t="shared" si="461"/>
        <v>0</v>
      </c>
      <c r="BR502" s="848">
        <f t="shared" si="461"/>
        <v>0</v>
      </c>
      <c r="BS502" s="848">
        <f t="shared" si="461"/>
        <v>0</v>
      </c>
      <c r="BT502" s="848">
        <f t="shared" si="461"/>
        <v>678.13</v>
      </c>
      <c r="BU502" s="848">
        <f t="shared" si="461"/>
        <v>0</v>
      </c>
      <c r="BV502" s="848">
        <f t="shared" si="461"/>
        <v>0</v>
      </c>
      <c r="BW502" s="848">
        <f t="shared" si="461"/>
        <v>0</v>
      </c>
      <c r="BX502" s="848">
        <f t="shared" si="461"/>
        <v>0</v>
      </c>
      <c r="BY502" s="848">
        <f t="shared" si="461"/>
        <v>0</v>
      </c>
      <c r="BZ502" s="848">
        <f t="shared" si="461"/>
        <v>0</v>
      </c>
      <c r="CA502" s="848">
        <f t="shared" si="461"/>
        <v>0</v>
      </c>
      <c r="CB502" s="848">
        <f t="shared" si="461"/>
        <v>0</v>
      </c>
      <c r="CC502" s="848">
        <f t="shared" si="461"/>
        <v>0</v>
      </c>
      <c r="CD502" s="848">
        <f t="shared" si="461"/>
        <v>0</v>
      </c>
      <c r="CE502" s="848">
        <f t="shared" si="461"/>
        <v>2406</v>
      </c>
      <c r="CF502" s="848"/>
      <c r="CG502" s="848"/>
      <c r="CH502" s="848"/>
      <c r="CI502" s="848"/>
      <c r="CJ502" s="848"/>
      <c r="CK502" s="848">
        <f t="shared" si="423"/>
        <v>84.766249999999999</v>
      </c>
      <c r="CL502" s="848"/>
      <c r="CM502" s="848"/>
      <c r="CN502" s="848"/>
      <c r="CO502" s="848"/>
      <c r="CP502" s="848"/>
      <c r="CQ502" s="848"/>
      <c r="CR502" s="848"/>
      <c r="CS502" s="848"/>
      <c r="CT502" s="848"/>
      <c r="CU502" s="848"/>
      <c r="CV502" s="848"/>
      <c r="CW502" s="848">
        <f t="shared" si="426"/>
        <v>104.51781059947871</v>
      </c>
    </row>
    <row r="503" spans="1:101" s="851" customFormat="1" ht="45.6" customHeight="1">
      <c r="A503" s="845"/>
      <c r="B503" s="845"/>
      <c r="C503" s="857" t="s">
        <v>508</v>
      </c>
      <c r="D503" s="846">
        <f>SUM(D504:D511)</f>
        <v>0</v>
      </c>
      <c r="E503" s="845">
        <f t="shared" ref="E503:CE503" si="464">SUM(E504:E511)</f>
        <v>0</v>
      </c>
      <c r="F503" s="847">
        <f t="shared" si="464"/>
        <v>6049</v>
      </c>
      <c r="G503" s="845">
        <f t="shared" si="464"/>
        <v>0</v>
      </c>
      <c r="H503" s="850">
        <f t="shared" si="439"/>
        <v>19888.089051999999</v>
      </c>
      <c r="I503" s="848">
        <f t="shared" ref="I503:S503" si="465">SUM(I504:I511)</f>
        <v>0</v>
      </c>
      <c r="J503" s="848">
        <f t="shared" si="465"/>
        <v>0</v>
      </c>
      <c r="K503" s="848">
        <f t="shared" si="465"/>
        <v>0</v>
      </c>
      <c r="L503" s="848">
        <f t="shared" si="465"/>
        <v>0</v>
      </c>
      <c r="M503" s="848">
        <f t="shared" si="465"/>
        <v>0</v>
      </c>
      <c r="N503" s="848">
        <f t="shared" si="465"/>
        <v>0</v>
      </c>
      <c r="O503" s="848">
        <f t="shared" si="465"/>
        <v>0</v>
      </c>
      <c r="P503" s="848">
        <f t="shared" si="465"/>
        <v>0</v>
      </c>
      <c r="Q503" s="848">
        <f t="shared" si="465"/>
        <v>0</v>
      </c>
      <c r="R503" s="848">
        <v>11314</v>
      </c>
      <c r="S503" s="848">
        <f t="shared" si="465"/>
        <v>8574.0890519999994</v>
      </c>
      <c r="T503" s="855">
        <f t="shared" si="431"/>
        <v>8400</v>
      </c>
      <c r="U503" s="848">
        <f t="shared" ref="U503:AH503" si="466">SUM(U504:U511)</f>
        <v>0</v>
      </c>
      <c r="V503" s="848">
        <f t="shared" si="466"/>
        <v>0</v>
      </c>
      <c r="W503" s="848">
        <f t="shared" si="466"/>
        <v>0</v>
      </c>
      <c r="X503" s="848">
        <f t="shared" si="466"/>
        <v>5700</v>
      </c>
      <c r="Y503" s="848">
        <f t="shared" si="466"/>
        <v>0</v>
      </c>
      <c r="Z503" s="848">
        <f t="shared" si="466"/>
        <v>0</v>
      </c>
      <c r="AA503" s="848">
        <f t="shared" si="466"/>
        <v>0</v>
      </c>
      <c r="AB503" s="848">
        <f t="shared" si="466"/>
        <v>0</v>
      </c>
      <c r="AC503" s="848">
        <f t="shared" si="466"/>
        <v>0</v>
      </c>
      <c r="AD503" s="848"/>
      <c r="AE503" s="848"/>
      <c r="AF503" s="848">
        <f t="shared" si="466"/>
        <v>0</v>
      </c>
      <c r="AG503" s="848">
        <f t="shared" si="466"/>
        <v>0</v>
      </c>
      <c r="AH503" s="848">
        <f t="shared" si="466"/>
        <v>2700</v>
      </c>
      <c r="AI503" s="848">
        <f t="shared" si="464"/>
        <v>3700</v>
      </c>
      <c r="AJ503" s="848">
        <f t="shared" si="464"/>
        <v>0</v>
      </c>
      <c r="AK503" s="848">
        <f t="shared" si="464"/>
        <v>0</v>
      </c>
      <c r="AL503" s="848">
        <f t="shared" si="464"/>
        <v>0</v>
      </c>
      <c r="AM503" s="848">
        <f t="shared" si="464"/>
        <v>1700</v>
      </c>
      <c r="AN503" s="848">
        <f t="shared" si="464"/>
        <v>0</v>
      </c>
      <c r="AO503" s="848">
        <f t="shared" si="464"/>
        <v>0</v>
      </c>
      <c r="AP503" s="848">
        <f t="shared" si="464"/>
        <v>0</v>
      </c>
      <c r="AQ503" s="848">
        <f t="shared" si="464"/>
        <v>0</v>
      </c>
      <c r="AR503" s="848">
        <f t="shared" si="464"/>
        <v>0</v>
      </c>
      <c r="AS503" s="848"/>
      <c r="AT503" s="848">
        <f t="shared" si="464"/>
        <v>0</v>
      </c>
      <c r="AU503" s="848">
        <f t="shared" si="464"/>
        <v>0</v>
      </c>
      <c r="AV503" s="848">
        <f t="shared" si="464"/>
        <v>0</v>
      </c>
      <c r="AW503" s="848">
        <f t="shared" si="464"/>
        <v>0</v>
      </c>
      <c r="AX503" s="848">
        <f t="shared" si="464"/>
        <v>2000</v>
      </c>
      <c r="AY503" s="848">
        <f t="shared" si="464"/>
        <v>3102</v>
      </c>
      <c r="AZ503" s="848">
        <f t="shared" si="464"/>
        <v>0</v>
      </c>
      <c r="BA503" s="848">
        <f t="shared" si="464"/>
        <v>0</v>
      </c>
      <c r="BB503" s="848">
        <f t="shared" si="464"/>
        <v>0</v>
      </c>
      <c r="BC503" s="848">
        <f t="shared" si="464"/>
        <v>0</v>
      </c>
      <c r="BD503" s="848">
        <f t="shared" si="464"/>
        <v>800</v>
      </c>
      <c r="BE503" s="848">
        <f t="shared" si="464"/>
        <v>0</v>
      </c>
      <c r="BF503" s="848">
        <f t="shared" si="464"/>
        <v>0</v>
      </c>
      <c r="BG503" s="848">
        <f t="shared" si="464"/>
        <v>0</v>
      </c>
      <c r="BH503" s="848">
        <f t="shared" si="464"/>
        <v>0</v>
      </c>
      <c r="BI503" s="848">
        <f t="shared" si="464"/>
        <v>0</v>
      </c>
      <c r="BJ503" s="848">
        <f t="shared" si="464"/>
        <v>0</v>
      </c>
      <c r="BK503" s="848">
        <f t="shared" si="464"/>
        <v>0</v>
      </c>
      <c r="BL503" s="848">
        <f t="shared" si="464"/>
        <v>0</v>
      </c>
      <c r="BM503" s="848">
        <f t="shared" si="464"/>
        <v>0</v>
      </c>
      <c r="BN503" s="848">
        <f t="shared" si="464"/>
        <v>2302</v>
      </c>
      <c r="BO503" s="848">
        <f t="shared" si="421"/>
        <v>3084.13</v>
      </c>
      <c r="BP503" s="848">
        <f t="shared" si="464"/>
        <v>0</v>
      </c>
      <c r="BQ503" s="848">
        <f t="shared" si="464"/>
        <v>0</v>
      </c>
      <c r="BR503" s="848">
        <f t="shared" si="464"/>
        <v>0</v>
      </c>
      <c r="BS503" s="848">
        <f t="shared" si="464"/>
        <v>0</v>
      </c>
      <c r="BT503" s="848">
        <f>SUM(BT504:BT511)</f>
        <v>678.13</v>
      </c>
      <c r="BU503" s="848">
        <f t="shared" si="464"/>
        <v>0</v>
      </c>
      <c r="BV503" s="848">
        <f t="shared" si="464"/>
        <v>0</v>
      </c>
      <c r="BW503" s="848">
        <f t="shared" si="464"/>
        <v>0</v>
      </c>
      <c r="BX503" s="848">
        <f t="shared" si="464"/>
        <v>0</v>
      </c>
      <c r="BY503" s="848">
        <f t="shared" si="464"/>
        <v>0</v>
      </c>
      <c r="BZ503" s="848">
        <f t="shared" si="464"/>
        <v>0</v>
      </c>
      <c r="CA503" s="848">
        <f t="shared" si="464"/>
        <v>0</v>
      </c>
      <c r="CB503" s="848">
        <f t="shared" si="464"/>
        <v>0</v>
      </c>
      <c r="CC503" s="848">
        <f t="shared" si="464"/>
        <v>0</v>
      </c>
      <c r="CD503" s="848">
        <f t="shared" si="464"/>
        <v>0</v>
      </c>
      <c r="CE503" s="848">
        <f t="shared" si="464"/>
        <v>2406</v>
      </c>
      <c r="CF503" s="848"/>
      <c r="CG503" s="848"/>
      <c r="CH503" s="848"/>
      <c r="CI503" s="848"/>
      <c r="CJ503" s="848"/>
      <c r="CK503" s="848">
        <f t="shared" si="423"/>
        <v>84.766249999999999</v>
      </c>
      <c r="CL503" s="848"/>
      <c r="CM503" s="848"/>
      <c r="CN503" s="848"/>
      <c r="CO503" s="848"/>
      <c r="CP503" s="848"/>
      <c r="CQ503" s="848"/>
      <c r="CR503" s="848"/>
      <c r="CS503" s="848"/>
      <c r="CT503" s="848"/>
      <c r="CU503" s="848"/>
      <c r="CV503" s="848"/>
      <c r="CW503" s="848">
        <f t="shared" si="426"/>
        <v>104.51781059947871</v>
      </c>
    </row>
    <row r="504" spans="1:101" s="851" customFormat="1" ht="45.6" customHeight="1">
      <c r="A504" s="845"/>
      <c r="B504" s="852" t="s">
        <v>512</v>
      </c>
      <c r="C504" s="852" t="s">
        <v>1162</v>
      </c>
      <c r="D504" s="846"/>
      <c r="E504" s="845"/>
      <c r="F504" s="847"/>
      <c r="G504" s="845"/>
      <c r="H504" s="850">
        <f t="shared" si="439"/>
        <v>0</v>
      </c>
      <c r="I504" s="848"/>
      <c r="J504" s="848"/>
      <c r="K504" s="848"/>
      <c r="L504" s="848"/>
      <c r="M504" s="848"/>
      <c r="N504" s="848"/>
      <c r="O504" s="848"/>
      <c r="P504" s="848"/>
      <c r="Q504" s="848"/>
      <c r="R504" s="848"/>
      <c r="S504" s="848"/>
      <c r="T504" s="855">
        <f t="shared" si="431"/>
        <v>700</v>
      </c>
      <c r="U504" s="848"/>
      <c r="V504" s="848"/>
      <c r="W504" s="848"/>
      <c r="X504" s="848"/>
      <c r="Y504" s="848"/>
      <c r="Z504" s="848"/>
      <c r="AA504" s="848"/>
      <c r="AB504" s="848"/>
      <c r="AC504" s="848"/>
      <c r="AD504" s="848"/>
      <c r="AE504" s="848"/>
      <c r="AF504" s="848"/>
      <c r="AG504" s="848"/>
      <c r="AH504" s="855">
        <v>700</v>
      </c>
      <c r="AI504" s="848"/>
      <c r="AJ504" s="848"/>
      <c r="AK504" s="848"/>
      <c r="AL504" s="848"/>
      <c r="AM504" s="848"/>
      <c r="AN504" s="848"/>
      <c r="AO504" s="848"/>
      <c r="AP504" s="848"/>
      <c r="AQ504" s="848"/>
      <c r="AR504" s="848"/>
      <c r="AS504" s="848"/>
      <c r="AT504" s="848"/>
      <c r="AU504" s="848"/>
      <c r="AV504" s="848"/>
      <c r="AW504" s="848"/>
      <c r="AX504" s="848"/>
      <c r="AY504" s="855">
        <f t="shared" ref="AY504:AY511" si="467">SUM(AZ504:BN504)</f>
        <v>0</v>
      </c>
      <c r="AZ504" s="848"/>
      <c r="BA504" s="848"/>
      <c r="BB504" s="848"/>
      <c r="BC504" s="848"/>
      <c r="BD504" s="848"/>
      <c r="BE504" s="848"/>
      <c r="BF504" s="848"/>
      <c r="BG504" s="848"/>
      <c r="BH504" s="848"/>
      <c r="BI504" s="848"/>
      <c r="BJ504" s="848"/>
      <c r="BK504" s="848"/>
      <c r="BL504" s="848"/>
      <c r="BM504" s="848"/>
      <c r="BN504" s="848"/>
      <c r="BO504" s="848">
        <f t="shared" si="421"/>
        <v>30</v>
      </c>
      <c r="BP504" s="848"/>
      <c r="BQ504" s="848"/>
      <c r="BR504" s="848"/>
      <c r="BS504" s="848"/>
      <c r="BT504" s="848"/>
      <c r="BU504" s="848"/>
      <c r="BV504" s="848"/>
      <c r="BW504" s="848"/>
      <c r="BX504" s="848"/>
      <c r="BY504" s="848"/>
      <c r="BZ504" s="848"/>
      <c r="CA504" s="848"/>
      <c r="CB504" s="848"/>
      <c r="CC504" s="848"/>
      <c r="CD504" s="848"/>
      <c r="CE504" s="855">
        <v>30</v>
      </c>
      <c r="CF504" s="848"/>
      <c r="CG504" s="848"/>
      <c r="CH504" s="848"/>
      <c r="CI504" s="848"/>
      <c r="CJ504" s="848"/>
      <c r="CK504" s="848"/>
      <c r="CL504" s="848"/>
      <c r="CM504" s="848"/>
      <c r="CN504" s="848"/>
      <c r="CO504" s="848"/>
      <c r="CP504" s="848"/>
      <c r="CQ504" s="848"/>
      <c r="CR504" s="848"/>
      <c r="CS504" s="848"/>
      <c r="CT504" s="848"/>
      <c r="CU504" s="848"/>
      <c r="CV504" s="848"/>
      <c r="CW504" s="848"/>
    </row>
    <row r="505" spans="1:101" s="851" customFormat="1" ht="45.6" customHeight="1">
      <c r="A505" s="845"/>
      <c r="B505" s="852" t="s">
        <v>512</v>
      </c>
      <c r="C505" s="852" t="s">
        <v>1163</v>
      </c>
      <c r="D505" s="846"/>
      <c r="E505" s="845"/>
      <c r="F505" s="847"/>
      <c r="G505" s="902" t="s">
        <v>1164</v>
      </c>
      <c r="H505" s="850">
        <f t="shared" si="439"/>
        <v>8117</v>
      </c>
      <c r="I505" s="848"/>
      <c r="J505" s="848"/>
      <c r="K505" s="848"/>
      <c r="L505" s="848"/>
      <c r="M505" s="848"/>
      <c r="N505" s="848"/>
      <c r="O505" s="848"/>
      <c r="P505" s="848"/>
      <c r="Q505" s="848"/>
      <c r="R505" s="855">
        <v>6117</v>
      </c>
      <c r="S505" s="855">
        <v>2000</v>
      </c>
      <c r="T505" s="855">
        <f t="shared" si="431"/>
        <v>2000</v>
      </c>
      <c r="U505" s="848"/>
      <c r="V505" s="848"/>
      <c r="W505" s="848"/>
      <c r="X505" s="848"/>
      <c r="Y505" s="848"/>
      <c r="Z505" s="848"/>
      <c r="AA505" s="848"/>
      <c r="AB505" s="848"/>
      <c r="AC505" s="848"/>
      <c r="AD505" s="848"/>
      <c r="AE505" s="848"/>
      <c r="AF505" s="848"/>
      <c r="AG505" s="848"/>
      <c r="AH505" s="855">
        <v>2000</v>
      </c>
      <c r="AI505" s="855">
        <f>AX505</f>
        <v>2000</v>
      </c>
      <c r="AJ505" s="848"/>
      <c r="AK505" s="848"/>
      <c r="AL505" s="848"/>
      <c r="AM505" s="848"/>
      <c r="AN505" s="848"/>
      <c r="AO505" s="848"/>
      <c r="AP505" s="848"/>
      <c r="AQ505" s="848"/>
      <c r="AR505" s="848"/>
      <c r="AS505" s="848"/>
      <c r="AT505" s="848"/>
      <c r="AU505" s="848"/>
      <c r="AV505" s="848"/>
      <c r="AW505" s="848"/>
      <c r="AX505" s="855">
        <v>2000</v>
      </c>
      <c r="AY505" s="855">
        <f t="shared" si="467"/>
        <v>0</v>
      </c>
      <c r="AZ505" s="848"/>
      <c r="BA505" s="848"/>
      <c r="BB505" s="848"/>
      <c r="BC505" s="848"/>
      <c r="BD505" s="848"/>
      <c r="BE505" s="848"/>
      <c r="BF505" s="848"/>
      <c r="BG505" s="848"/>
      <c r="BH505" s="848"/>
      <c r="BI505" s="848"/>
      <c r="BJ505" s="848"/>
      <c r="BK505" s="848"/>
      <c r="BL505" s="848"/>
      <c r="BM505" s="848"/>
      <c r="BN505" s="848"/>
      <c r="BO505" s="848">
        <f t="shared" si="421"/>
        <v>1700</v>
      </c>
      <c r="BP505" s="848"/>
      <c r="BQ505" s="848"/>
      <c r="BR505" s="848"/>
      <c r="BS505" s="848"/>
      <c r="BT505" s="848"/>
      <c r="BU505" s="848"/>
      <c r="BV505" s="848"/>
      <c r="BW505" s="848"/>
      <c r="BX505" s="848"/>
      <c r="BY505" s="848"/>
      <c r="BZ505" s="848"/>
      <c r="CA505" s="848"/>
      <c r="CB505" s="848"/>
      <c r="CC505" s="848"/>
      <c r="CD505" s="848"/>
      <c r="CE505" s="855">
        <v>1700</v>
      </c>
      <c r="CF505" s="848"/>
      <c r="CG505" s="848"/>
      <c r="CH505" s="848"/>
      <c r="CI505" s="848"/>
      <c r="CJ505" s="848"/>
      <c r="CK505" s="848"/>
      <c r="CL505" s="848"/>
      <c r="CM505" s="848"/>
      <c r="CN505" s="848"/>
      <c r="CO505" s="848"/>
      <c r="CP505" s="848"/>
      <c r="CQ505" s="848"/>
      <c r="CR505" s="848"/>
      <c r="CS505" s="848"/>
      <c r="CT505" s="848"/>
      <c r="CU505" s="848"/>
      <c r="CV505" s="848"/>
      <c r="CW505" s="848"/>
    </row>
    <row r="506" spans="1:101" ht="45.6" customHeight="1">
      <c r="A506" s="845"/>
      <c r="B506" s="852" t="s">
        <v>512</v>
      </c>
      <c r="C506" s="852" t="s">
        <v>1165</v>
      </c>
      <c r="D506" s="846"/>
      <c r="E506" s="845"/>
      <c r="F506" s="853" t="s">
        <v>544</v>
      </c>
      <c r="G506" s="846" t="s">
        <v>1166</v>
      </c>
      <c r="H506" s="850">
        <f t="shared" si="439"/>
        <v>753.39017999999999</v>
      </c>
      <c r="I506" s="901"/>
      <c r="J506" s="848"/>
      <c r="K506" s="848"/>
      <c r="L506" s="848"/>
      <c r="M506" s="848"/>
      <c r="N506" s="848"/>
      <c r="O506" s="848"/>
      <c r="P506" s="848"/>
      <c r="Q506" s="848"/>
      <c r="R506" s="848"/>
      <c r="S506" s="901">
        <v>753.39017999999999</v>
      </c>
      <c r="T506" s="855">
        <f t="shared" si="431"/>
        <v>0</v>
      </c>
      <c r="U506" s="848"/>
      <c r="V506" s="848"/>
      <c r="W506" s="848"/>
      <c r="X506" s="848"/>
      <c r="Y506" s="848"/>
      <c r="Z506" s="848"/>
      <c r="AA506" s="848"/>
      <c r="AB506" s="848"/>
      <c r="AC506" s="848"/>
      <c r="AD506" s="848"/>
      <c r="AE506" s="848"/>
      <c r="AF506" s="848"/>
      <c r="AG506" s="848"/>
      <c r="AH506" s="855"/>
      <c r="AI506" s="855"/>
      <c r="AJ506" s="855"/>
      <c r="AK506" s="855"/>
      <c r="AL506" s="855"/>
      <c r="AM506" s="855"/>
      <c r="AN506" s="855"/>
      <c r="AO506" s="855"/>
      <c r="AP506" s="855"/>
      <c r="AQ506" s="855"/>
      <c r="AR506" s="855"/>
      <c r="AS506" s="855"/>
      <c r="AT506" s="855"/>
      <c r="AU506" s="855"/>
      <c r="AV506" s="855"/>
      <c r="AW506" s="855"/>
      <c r="AX506" s="855"/>
      <c r="AY506" s="855">
        <f t="shared" si="467"/>
        <v>302</v>
      </c>
      <c r="AZ506" s="855"/>
      <c r="BA506" s="855"/>
      <c r="BB506" s="855"/>
      <c r="BC506" s="855"/>
      <c r="BD506" s="855"/>
      <c r="BE506" s="855"/>
      <c r="BF506" s="855"/>
      <c r="BG506" s="855"/>
      <c r="BH506" s="855"/>
      <c r="BI506" s="855"/>
      <c r="BJ506" s="855"/>
      <c r="BK506" s="855"/>
      <c r="BL506" s="855"/>
      <c r="BM506" s="855"/>
      <c r="BN506" s="855">
        <f>'[10]bieu cu'!H211</f>
        <v>302</v>
      </c>
      <c r="BO506" s="848">
        <f t="shared" si="421"/>
        <v>67</v>
      </c>
      <c r="BP506" s="855"/>
      <c r="BQ506" s="855"/>
      <c r="BR506" s="855"/>
      <c r="BS506" s="855"/>
      <c r="BT506" s="855"/>
      <c r="BU506" s="855"/>
      <c r="BV506" s="855"/>
      <c r="BW506" s="855"/>
      <c r="BX506" s="855"/>
      <c r="BY506" s="855"/>
      <c r="BZ506" s="855"/>
      <c r="CA506" s="855"/>
      <c r="CB506" s="855"/>
      <c r="CC506" s="855"/>
      <c r="CD506" s="855"/>
      <c r="CE506" s="855">
        <v>67</v>
      </c>
      <c r="CF506" s="848"/>
      <c r="CG506" s="848"/>
      <c r="CH506" s="848"/>
      <c r="CI506" s="848"/>
      <c r="CJ506" s="848"/>
      <c r="CK506" s="848"/>
      <c r="CL506" s="848"/>
      <c r="CM506" s="848"/>
      <c r="CN506" s="848"/>
      <c r="CO506" s="848"/>
      <c r="CP506" s="848"/>
      <c r="CQ506" s="848"/>
      <c r="CR506" s="848"/>
      <c r="CS506" s="848"/>
      <c r="CT506" s="848"/>
      <c r="CU506" s="848"/>
      <c r="CV506" s="848"/>
      <c r="CW506" s="848">
        <f t="shared" si="426"/>
        <v>22.185430463576157</v>
      </c>
    </row>
    <row r="507" spans="1:101" ht="45.6" customHeight="1">
      <c r="A507" s="845"/>
      <c r="B507" s="852" t="s">
        <v>512</v>
      </c>
      <c r="C507" s="852" t="s">
        <v>1167</v>
      </c>
      <c r="D507" s="846"/>
      <c r="E507" s="845"/>
      <c r="F507" s="853" t="s">
        <v>544</v>
      </c>
      <c r="G507" s="846" t="s">
        <v>1168</v>
      </c>
      <c r="H507" s="850">
        <f t="shared" si="439"/>
        <v>8538</v>
      </c>
      <c r="I507" s="850"/>
      <c r="J507" s="848"/>
      <c r="K507" s="848"/>
      <c r="L507" s="848"/>
      <c r="M507" s="848"/>
      <c r="N507" s="848"/>
      <c r="O507" s="848"/>
      <c r="P507" s="848"/>
      <c r="Q507" s="848"/>
      <c r="R507" s="855">
        <v>5197</v>
      </c>
      <c r="S507" s="850">
        <v>3341</v>
      </c>
      <c r="T507" s="855">
        <f t="shared" si="431"/>
        <v>0</v>
      </c>
      <c r="U507" s="848"/>
      <c r="V507" s="848"/>
      <c r="W507" s="848"/>
      <c r="X507" s="848"/>
      <c r="Y507" s="848"/>
      <c r="Z507" s="848"/>
      <c r="AA507" s="848"/>
      <c r="AB507" s="848"/>
      <c r="AC507" s="848"/>
      <c r="AD507" s="848"/>
      <c r="AE507" s="848"/>
      <c r="AF507" s="848"/>
      <c r="AG507" s="848"/>
      <c r="AH507" s="855"/>
      <c r="AI507" s="855"/>
      <c r="AJ507" s="855"/>
      <c r="AK507" s="855"/>
      <c r="AL507" s="855"/>
      <c r="AM507" s="855"/>
      <c r="AN507" s="855"/>
      <c r="AO507" s="855"/>
      <c r="AP507" s="855"/>
      <c r="AQ507" s="855"/>
      <c r="AR507" s="855"/>
      <c r="AS507" s="855"/>
      <c r="AT507" s="855"/>
      <c r="AU507" s="855"/>
      <c r="AV507" s="855"/>
      <c r="AW507" s="855"/>
      <c r="AX507" s="855"/>
      <c r="AY507" s="855">
        <f t="shared" si="467"/>
        <v>2000</v>
      </c>
      <c r="AZ507" s="855"/>
      <c r="BA507" s="855"/>
      <c r="BB507" s="855"/>
      <c r="BC507" s="855"/>
      <c r="BD507" s="855"/>
      <c r="BE507" s="855"/>
      <c r="BF507" s="855"/>
      <c r="BG507" s="855"/>
      <c r="BH507" s="855"/>
      <c r="BI507" s="855"/>
      <c r="BJ507" s="855"/>
      <c r="BK507" s="855"/>
      <c r="BL507" s="855"/>
      <c r="BM507" s="855"/>
      <c r="BN507" s="855">
        <f>'[10]bieu cu'!H222</f>
        <v>2000</v>
      </c>
      <c r="BO507" s="848">
        <f t="shared" si="421"/>
        <v>609</v>
      </c>
      <c r="BP507" s="855"/>
      <c r="BQ507" s="855"/>
      <c r="BR507" s="855"/>
      <c r="BS507" s="855"/>
      <c r="BT507" s="855"/>
      <c r="BU507" s="855"/>
      <c r="BV507" s="855"/>
      <c r="BW507" s="855"/>
      <c r="BX507" s="855"/>
      <c r="BY507" s="855"/>
      <c r="BZ507" s="855"/>
      <c r="CA507" s="855"/>
      <c r="CB507" s="855"/>
      <c r="CC507" s="855"/>
      <c r="CD507" s="855"/>
      <c r="CE507" s="855">
        <v>609</v>
      </c>
      <c r="CF507" s="848"/>
      <c r="CG507" s="848"/>
      <c r="CH507" s="848"/>
      <c r="CI507" s="848"/>
      <c r="CJ507" s="848"/>
      <c r="CK507" s="848"/>
      <c r="CL507" s="848"/>
      <c r="CM507" s="848"/>
      <c r="CN507" s="848"/>
      <c r="CO507" s="848"/>
      <c r="CP507" s="848"/>
      <c r="CQ507" s="848"/>
      <c r="CR507" s="848"/>
      <c r="CS507" s="848"/>
      <c r="CT507" s="848"/>
      <c r="CU507" s="848"/>
      <c r="CV507" s="848"/>
      <c r="CW507" s="848">
        <f t="shared" si="426"/>
        <v>30.45</v>
      </c>
    </row>
    <row r="508" spans="1:101" ht="45.6" customHeight="1">
      <c r="A508" s="845"/>
      <c r="B508" s="852" t="s">
        <v>512</v>
      </c>
      <c r="C508" s="852" t="s">
        <v>1169</v>
      </c>
      <c r="D508" s="846"/>
      <c r="E508" s="845"/>
      <c r="F508" s="853">
        <v>2016</v>
      </c>
      <c r="G508" s="846" t="s">
        <v>1170</v>
      </c>
      <c r="H508" s="850">
        <f t="shared" si="439"/>
        <v>742.52501800000005</v>
      </c>
      <c r="I508" s="901"/>
      <c r="J508" s="848"/>
      <c r="K508" s="848"/>
      <c r="L508" s="848"/>
      <c r="M508" s="848"/>
      <c r="N508" s="848"/>
      <c r="O508" s="848"/>
      <c r="P508" s="848"/>
      <c r="Q508" s="848"/>
      <c r="R508" s="848"/>
      <c r="S508" s="901">
        <v>742.52501800000005</v>
      </c>
      <c r="T508" s="855">
        <f t="shared" si="431"/>
        <v>500</v>
      </c>
      <c r="U508" s="848"/>
      <c r="V508" s="848"/>
      <c r="W508" s="848"/>
      <c r="X508" s="855">
        <v>500</v>
      </c>
      <c r="Y508" s="848"/>
      <c r="Z508" s="848"/>
      <c r="AA508" s="848"/>
      <c r="AB508" s="848"/>
      <c r="AC508" s="848"/>
      <c r="AD508" s="848"/>
      <c r="AE508" s="848"/>
      <c r="AF508" s="848"/>
      <c r="AG508" s="848"/>
      <c r="AH508" s="855"/>
      <c r="AI508" s="855">
        <f>AM508</f>
        <v>500</v>
      </c>
      <c r="AJ508" s="855"/>
      <c r="AK508" s="855"/>
      <c r="AL508" s="855"/>
      <c r="AM508" s="855">
        <v>500</v>
      </c>
      <c r="AN508" s="855"/>
      <c r="AO508" s="855"/>
      <c r="AP508" s="855"/>
      <c r="AQ508" s="855"/>
      <c r="AR508" s="855"/>
      <c r="AS508" s="855"/>
      <c r="AT508" s="855"/>
      <c r="AU508" s="855"/>
      <c r="AV508" s="855"/>
      <c r="AW508" s="855"/>
      <c r="AX508" s="855"/>
      <c r="AY508" s="855">
        <f t="shared" si="467"/>
        <v>150</v>
      </c>
      <c r="AZ508" s="855"/>
      <c r="BA508" s="855"/>
      <c r="BB508" s="855"/>
      <c r="BC508" s="855"/>
      <c r="BD508" s="855">
        <f>'[10]bieu cu'!H244</f>
        <v>150</v>
      </c>
      <c r="BE508" s="855"/>
      <c r="BF508" s="855"/>
      <c r="BG508" s="855"/>
      <c r="BH508" s="855"/>
      <c r="BI508" s="855"/>
      <c r="BJ508" s="855"/>
      <c r="BK508" s="855"/>
      <c r="BL508" s="855"/>
      <c r="BM508" s="855"/>
      <c r="BN508" s="855"/>
      <c r="BO508" s="848">
        <f t="shared" si="421"/>
        <v>72.308999999999997</v>
      </c>
      <c r="BP508" s="855"/>
      <c r="BQ508" s="855"/>
      <c r="BR508" s="855"/>
      <c r="BS508" s="855"/>
      <c r="BT508" s="855">
        <v>72.308999999999997</v>
      </c>
      <c r="BU508" s="855"/>
      <c r="BV508" s="855"/>
      <c r="BW508" s="855"/>
      <c r="BX508" s="855"/>
      <c r="BY508" s="855"/>
      <c r="BZ508" s="855"/>
      <c r="CA508" s="855"/>
      <c r="CB508" s="855"/>
      <c r="CC508" s="855"/>
      <c r="CD508" s="855"/>
      <c r="CE508" s="855"/>
      <c r="CF508" s="848"/>
      <c r="CG508" s="848"/>
      <c r="CH508" s="848"/>
      <c r="CI508" s="848"/>
      <c r="CJ508" s="848"/>
      <c r="CK508" s="848">
        <f t="shared" si="423"/>
        <v>48.205999999999996</v>
      </c>
      <c r="CL508" s="848"/>
      <c r="CM508" s="848"/>
      <c r="CN508" s="848"/>
      <c r="CO508" s="848"/>
      <c r="CP508" s="848"/>
      <c r="CQ508" s="848"/>
      <c r="CR508" s="848"/>
      <c r="CS508" s="848"/>
      <c r="CT508" s="848"/>
      <c r="CU508" s="848"/>
      <c r="CV508" s="848"/>
      <c r="CW508" s="848"/>
    </row>
    <row r="509" spans="1:101" ht="30" customHeight="1">
      <c r="A509" s="845"/>
      <c r="B509" s="852" t="s">
        <v>512</v>
      </c>
      <c r="C509" s="865" t="s">
        <v>1171</v>
      </c>
      <c r="D509" s="846"/>
      <c r="E509" s="845"/>
      <c r="F509" s="847"/>
      <c r="G509" s="845"/>
      <c r="H509" s="850">
        <f t="shared" si="439"/>
        <v>0</v>
      </c>
      <c r="I509" s="848"/>
      <c r="J509" s="848"/>
      <c r="K509" s="848"/>
      <c r="L509" s="848"/>
      <c r="M509" s="848"/>
      <c r="N509" s="848"/>
      <c r="O509" s="848"/>
      <c r="P509" s="848"/>
      <c r="Q509" s="848"/>
      <c r="R509" s="848"/>
      <c r="S509" s="848"/>
      <c r="T509" s="855">
        <f t="shared" si="431"/>
        <v>4700</v>
      </c>
      <c r="U509" s="848"/>
      <c r="V509" s="848"/>
      <c r="W509" s="848"/>
      <c r="X509" s="855">
        <v>4700</v>
      </c>
      <c r="Y509" s="848"/>
      <c r="Z509" s="848"/>
      <c r="AA509" s="848"/>
      <c r="AB509" s="848"/>
      <c r="AC509" s="848"/>
      <c r="AD509" s="848"/>
      <c r="AE509" s="848"/>
      <c r="AF509" s="848"/>
      <c r="AG509" s="848"/>
      <c r="AH509" s="855"/>
      <c r="AI509" s="855">
        <f>AM509</f>
        <v>700</v>
      </c>
      <c r="AJ509" s="855"/>
      <c r="AK509" s="855"/>
      <c r="AL509" s="855"/>
      <c r="AM509" s="855">
        <v>700</v>
      </c>
      <c r="AN509" s="855"/>
      <c r="AO509" s="855"/>
      <c r="AP509" s="855"/>
      <c r="AQ509" s="855"/>
      <c r="AR509" s="855"/>
      <c r="AS509" s="855"/>
      <c r="AT509" s="855"/>
      <c r="AU509" s="855"/>
      <c r="AV509" s="855"/>
      <c r="AW509" s="855"/>
      <c r="AX509" s="855"/>
      <c r="AY509" s="855">
        <f t="shared" si="467"/>
        <v>0</v>
      </c>
      <c r="AZ509" s="855"/>
      <c r="BA509" s="855"/>
      <c r="BB509" s="855"/>
      <c r="BC509" s="855"/>
      <c r="BD509" s="855"/>
      <c r="BE509" s="855"/>
      <c r="BF509" s="855"/>
      <c r="BG509" s="855"/>
      <c r="BH509" s="855"/>
      <c r="BI509" s="855"/>
      <c r="BJ509" s="855"/>
      <c r="BK509" s="855"/>
      <c r="BL509" s="855"/>
      <c r="BM509" s="855"/>
      <c r="BN509" s="855"/>
      <c r="BO509" s="848">
        <f t="shared" si="421"/>
        <v>23.454000000000001</v>
      </c>
      <c r="BP509" s="855"/>
      <c r="BQ509" s="855"/>
      <c r="BR509" s="855"/>
      <c r="BS509" s="855"/>
      <c r="BT509" s="855">
        <v>23.454000000000001</v>
      </c>
      <c r="BU509" s="855"/>
      <c r="BV509" s="855"/>
      <c r="BW509" s="855"/>
      <c r="BX509" s="855"/>
      <c r="BY509" s="855"/>
      <c r="BZ509" s="855"/>
      <c r="CA509" s="855"/>
      <c r="CB509" s="855"/>
      <c r="CC509" s="855"/>
      <c r="CD509" s="855"/>
      <c r="CE509" s="855"/>
      <c r="CF509" s="848"/>
      <c r="CG509" s="848"/>
      <c r="CH509" s="848"/>
      <c r="CI509" s="848"/>
      <c r="CJ509" s="848"/>
      <c r="CK509" s="848"/>
      <c r="CL509" s="848"/>
      <c r="CM509" s="848"/>
      <c r="CN509" s="848"/>
      <c r="CO509" s="848"/>
      <c r="CP509" s="848"/>
      <c r="CQ509" s="848"/>
      <c r="CR509" s="848"/>
      <c r="CS509" s="848"/>
      <c r="CT509" s="848"/>
      <c r="CU509" s="848"/>
      <c r="CV509" s="848"/>
      <c r="CW509" s="848"/>
    </row>
    <row r="510" spans="1:101" ht="31.9" customHeight="1">
      <c r="A510" s="845"/>
      <c r="B510" s="852" t="s">
        <v>512</v>
      </c>
      <c r="C510" s="852" t="s">
        <v>1172</v>
      </c>
      <c r="D510" s="846"/>
      <c r="E510" s="845"/>
      <c r="F510" s="853">
        <v>2016</v>
      </c>
      <c r="G510" s="846" t="s">
        <v>1173</v>
      </c>
      <c r="H510" s="850">
        <f t="shared" si="439"/>
        <v>799.17385400000001</v>
      </c>
      <c r="I510" s="901"/>
      <c r="J510" s="848"/>
      <c r="K510" s="848"/>
      <c r="L510" s="848"/>
      <c r="M510" s="848"/>
      <c r="N510" s="848"/>
      <c r="O510" s="848"/>
      <c r="P510" s="848"/>
      <c r="Q510" s="848"/>
      <c r="R510" s="848"/>
      <c r="S510" s="901">
        <v>799.17385400000001</v>
      </c>
      <c r="T510" s="855">
        <f t="shared" si="431"/>
        <v>500</v>
      </c>
      <c r="U510" s="848"/>
      <c r="V510" s="848"/>
      <c r="W510" s="848"/>
      <c r="X510" s="855">
        <v>500</v>
      </c>
      <c r="Y510" s="848"/>
      <c r="Z510" s="848"/>
      <c r="AA510" s="848"/>
      <c r="AB510" s="848"/>
      <c r="AC510" s="848"/>
      <c r="AD510" s="848"/>
      <c r="AE510" s="848"/>
      <c r="AF510" s="848"/>
      <c r="AG510" s="848"/>
      <c r="AH510" s="855"/>
      <c r="AI510" s="855">
        <f>AM510</f>
        <v>500</v>
      </c>
      <c r="AJ510" s="855"/>
      <c r="AK510" s="855"/>
      <c r="AL510" s="855"/>
      <c r="AM510" s="855">
        <v>500</v>
      </c>
      <c r="AN510" s="855"/>
      <c r="AO510" s="855"/>
      <c r="AP510" s="855"/>
      <c r="AQ510" s="855"/>
      <c r="AR510" s="855"/>
      <c r="AS510" s="855"/>
      <c r="AT510" s="855"/>
      <c r="AU510" s="855"/>
      <c r="AV510" s="855"/>
      <c r="AW510" s="855"/>
      <c r="AX510" s="855"/>
      <c r="AY510" s="855">
        <f t="shared" si="467"/>
        <v>150</v>
      </c>
      <c r="AZ510" s="855"/>
      <c r="BA510" s="855"/>
      <c r="BB510" s="855"/>
      <c r="BC510" s="855"/>
      <c r="BD510" s="855">
        <f>'[10]bieu cu'!H245</f>
        <v>150</v>
      </c>
      <c r="BE510" s="855"/>
      <c r="BF510" s="855"/>
      <c r="BG510" s="855"/>
      <c r="BH510" s="855"/>
      <c r="BI510" s="855"/>
      <c r="BJ510" s="855"/>
      <c r="BK510" s="855"/>
      <c r="BL510" s="855"/>
      <c r="BM510" s="855"/>
      <c r="BN510" s="855"/>
      <c r="BO510" s="848">
        <f t="shared" si="421"/>
        <v>153.36699999999999</v>
      </c>
      <c r="BP510" s="855"/>
      <c r="BQ510" s="855"/>
      <c r="BR510" s="855"/>
      <c r="BS510" s="855"/>
      <c r="BT510" s="855">
        <v>153.36699999999999</v>
      </c>
      <c r="BU510" s="855"/>
      <c r="BV510" s="855"/>
      <c r="BW510" s="855"/>
      <c r="BX510" s="855"/>
      <c r="BY510" s="855"/>
      <c r="BZ510" s="855"/>
      <c r="CA510" s="855"/>
      <c r="CB510" s="855"/>
      <c r="CC510" s="855"/>
      <c r="CD510" s="855"/>
      <c r="CE510" s="855"/>
      <c r="CF510" s="848">
        <f t="shared" ref="CF510:CF517" si="468">BO510/AY510%</f>
        <v>102.24466666666666</v>
      </c>
      <c r="CG510" s="848"/>
      <c r="CH510" s="848"/>
      <c r="CI510" s="848"/>
      <c r="CJ510" s="848"/>
      <c r="CK510" s="848">
        <f t="shared" si="423"/>
        <v>102.24466666666665</v>
      </c>
      <c r="CL510" s="848"/>
      <c r="CM510" s="848"/>
      <c r="CN510" s="848"/>
      <c r="CO510" s="848"/>
      <c r="CP510" s="848"/>
      <c r="CQ510" s="848"/>
      <c r="CR510" s="848"/>
      <c r="CS510" s="848"/>
      <c r="CT510" s="848"/>
      <c r="CU510" s="848"/>
      <c r="CV510" s="848"/>
      <c r="CW510" s="848"/>
    </row>
    <row r="511" spans="1:101" ht="30.6" customHeight="1">
      <c r="A511" s="845"/>
      <c r="B511" s="852" t="s">
        <v>512</v>
      </c>
      <c r="C511" s="852" t="s">
        <v>1174</v>
      </c>
      <c r="D511" s="846"/>
      <c r="E511" s="845"/>
      <c r="F511" s="853">
        <v>2017</v>
      </c>
      <c r="G511" s="846" t="s">
        <v>1175</v>
      </c>
      <c r="H511" s="850">
        <f t="shared" si="439"/>
        <v>938</v>
      </c>
      <c r="I511" s="901"/>
      <c r="J511" s="848"/>
      <c r="K511" s="848"/>
      <c r="L511" s="848"/>
      <c r="M511" s="848"/>
      <c r="N511" s="848"/>
      <c r="O511" s="848"/>
      <c r="P511" s="848"/>
      <c r="Q511" s="848"/>
      <c r="R511" s="848"/>
      <c r="S511" s="901">
        <v>938</v>
      </c>
      <c r="T511" s="855">
        <f t="shared" si="431"/>
        <v>0</v>
      </c>
      <c r="U511" s="848"/>
      <c r="V511" s="848"/>
      <c r="W511" s="848"/>
      <c r="X511" s="848"/>
      <c r="Y511" s="848"/>
      <c r="Z511" s="848"/>
      <c r="AA511" s="848"/>
      <c r="AB511" s="848"/>
      <c r="AC511" s="848"/>
      <c r="AD511" s="848"/>
      <c r="AE511" s="848"/>
      <c r="AF511" s="848"/>
      <c r="AG511" s="848"/>
      <c r="AH511" s="855"/>
      <c r="AI511" s="855">
        <f>AX511</f>
        <v>0</v>
      </c>
      <c r="AJ511" s="855"/>
      <c r="AK511" s="855"/>
      <c r="AL511" s="855"/>
      <c r="AM511" s="855"/>
      <c r="AN511" s="855"/>
      <c r="AO511" s="855"/>
      <c r="AP511" s="855"/>
      <c r="AQ511" s="855"/>
      <c r="AR511" s="855"/>
      <c r="AS511" s="855"/>
      <c r="AT511" s="855"/>
      <c r="AU511" s="855"/>
      <c r="AV511" s="855"/>
      <c r="AW511" s="855"/>
      <c r="AX511" s="855"/>
      <c r="AY511" s="855">
        <f t="shared" si="467"/>
        <v>500</v>
      </c>
      <c r="AZ511" s="855"/>
      <c r="BA511" s="855"/>
      <c r="BB511" s="855"/>
      <c r="BC511" s="855"/>
      <c r="BD511" s="855">
        <f>'[10]bieu cu'!H249</f>
        <v>500</v>
      </c>
      <c r="BE511" s="855"/>
      <c r="BF511" s="855"/>
      <c r="BG511" s="855"/>
      <c r="BH511" s="855"/>
      <c r="BI511" s="855"/>
      <c r="BJ511" s="855"/>
      <c r="BK511" s="855"/>
      <c r="BL511" s="855"/>
      <c r="BM511" s="855"/>
      <c r="BN511" s="855"/>
      <c r="BO511" s="848">
        <f t="shared" si="421"/>
        <v>429</v>
      </c>
      <c r="BP511" s="855"/>
      <c r="BQ511" s="855"/>
      <c r="BR511" s="855"/>
      <c r="BS511" s="855"/>
      <c r="BT511" s="855">
        <v>429</v>
      </c>
      <c r="BU511" s="855"/>
      <c r="BV511" s="855"/>
      <c r="BW511" s="855"/>
      <c r="BX511" s="855"/>
      <c r="BY511" s="855"/>
      <c r="BZ511" s="855"/>
      <c r="CA511" s="855"/>
      <c r="CB511" s="855"/>
      <c r="CC511" s="855"/>
      <c r="CD511" s="855"/>
      <c r="CE511" s="855"/>
      <c r="CF511" s="848">
        <f t="shared" si="468"/>
        <v>85.8</v>
      </c>
      <c r="CG511" s="848"/>
      <c r="CH511" s="848"/>
      <c r="CI511" s="848"/>
      <c r="CJ511" s="848"/>
      <c r="CK511" s="848">
        <f t="shared" si="423"/>
        <v>85.8</v>
      </c>
      <c r="CL511" s="848"/>
      <c r="CM511" s="848"/>
      <c r="CN511" s="848"/>
      <c r="CO511" s="848"/>
      <c r="CP511" s="848"/>
      <c r="CQ511" s="848"/>
      <c r="CR511" s="848"/>
      <c r="CS511" s="848"/>
      <c r="CT511" s="848"/>
      <c r="CU511" s="848"/>
      <c r="CV511" s="848"/>
      <c r="CW511" s="848"/>
    </row>
    <row r="512" spans="1:101" s="851" customFormat="1" ht="17.45" customHeight="1">
      <c r="A512" s="845" t="s">
        <v>504</v>
      </c>
      <c r="B512" s="845"/>
      <c r="C512" s="857" t="s">
        <v>594</v>
      </c>
      <c r="D512" s="846">
        <f>D513+D515</f>
        <v>0</v>
      </c>
      <c r="E512" s="845">
        <f t="shared" ref="E512:CA512" si="469">E513+E515</f>
        <v>0</v>
      </c>
      <c r="F512" s="847"/>
      <c r="G512" s="845"/>
      <c r="H512" s="850">
        <f t="shared" si="439"/>
        <v>15157</v>
      </c>
      <c r="I512" s="848">
        <f t="shared" si="469"/>
        <v>0</v>
      </c>
      <c r="J512" s="848">
        <f t="shared" si="469"/>
        <v>0</v>
      </c>
      <c r="K512" s="848">
        <f t="shared" si="469"/>
        <v>5858</v>
      </c>
      <c r="L512" s="848">
        <f t="shared" si="469"/>
        <v>0</v>
      </c>
      <c r="M512" s="848">
        <f t="shared" si="469"/>
        <v>0</v>
      </c>
      <c r="N512" s="848">
        <f t="shared" si="469"/>
        <v>0</v>
      </c>
      <c r="O512" s="848">
        <f t="shared" si="469"/>
        <v>0</v>
      </c>
      <c r="P512" s="848">
        <f t="shared" si="469"/>
        <v>0</v>
      </c>
      <c r="Q512" s="848">
        <f t="shared" si="469"/>
        <v>0</v>
      </c>
      <c r="R512" s="848">
        <v>1086</v>
      </c>
      <c r="S512" s="848">
        <f t="shared" si="469"/>
        <v>8213</v>
      </c>
      <c r="T512" s="855">
        <f t="shared" si="431"/>
        <v>4800</v>
      </c>
      <c r="U512" s="848">
        <f t="shared" ref="U512:AH512" si="470">U513+U515</f>
        <v>0</v>
      </c>
      <c r="V512" s="848">
        <f t="shared" si="470"/>
        <v>0</v>
      </c>
      <c r="W512" s="848">
        <f t="shared" si="470"/>
        <v>0</v>
      </c>
      <c r="X512" s="848">
        <f t="shared" si="470"/>
        <v>4800</v>
      </c>
      <c r="Y512" s="848">
        <f t="shared" si="470"/>
        <v>0</v>
      </c>
      <c r="Z512" s="848">
        <f t="shared" si="470"/>
        <v>0</v>
      </c>
      <c r="AA512" s="848">
        <f t="shared" si="470"/>
        <v>0</v>
      </c>
      <c r="AB512" s="848">
        <f t="shared" si="470"/>
        <v>0</v>
      </c>
      <c r="AC512" s="848">
        <f t="shared" si="470"/>
        <v>0</v>
      </c>
      <c r="AD512" s="848">
        <f t="shared" si="470"/>
        <v>0</v>
      </c>
      <c r="AE512" s="848"/>
      <c r="AF512" s="848">
        <f t="shared" si="470"/>
        <v>0</v>
      </c>
      <c r="AG512" s="848">
        <f t="shared" si="470"/>
        <v>0</v>
      </c>
      <c r="AH512" s="848">
        <f t="shared" si="470"/>
        <v>0</v>
      </c>
      <c r="AI512" s="848">
        <f t="shared" si="469"/>
        <v>4800</v>
      </c>
      <c r="AJ512" s="848">
        <f t="shared" si="469"/>
        <v>0</v>
      </c>
      <c r="AK512" s="848">
        <f t="shared" si="469"/>
        <v>0</v>
      </c>
      <c r="AL512" s="848">
        <f t="shared" si="469"/>
        <v>0</v>
      </c>
      <c r="AM512" s="848">
        <f t="shared" si="469"/>
        <v>4800</v>
      </c>
      <c r="AN512" s="848">
        <f t="shared" si="469"/>
        <v>0</v>
      </c>
      <c r="AO512" s="848">
        <f t="shared" si="469"/>
        <v>0</v>
      </c>
      <c r="AP512" s="848">
        <f t="shared" si="469"/>
        <v>0</v>
      </c>
      <c r="AQ512" s="848">
        <f t="shared" si="469"/>
        <v>0</v>
      </c>
      <c r="AR512" s="848">
        <f t="shared" si="469"/>
        <v>0</v>
      </c>
      <c r="AS512" s="848"/>
      <c r="AT512" s="848">
        <f t="shared" si="469"/>
        <v>0</v>
      </c>
      <c r="AU512" s="848">
        <f t="shared" si="469"/>
        <v>0</v>
      </c>
      <c r="AV512" s="848">
        <f t="shared" si="469"/>
        <v>0</v>
      </c>
      <c r="AW512" s="848">
        <f t="shared" si="469"/>
        <v>0</v>
      </c>
      <c r="AX512" s="848">
        <f>AX513+AX515</f>
        <v>0</v>
      </c>
      <c r="AY512" s="848">
        <f t="shared" si="469"/>
        <v>5408</v>
      </c>
      <c r="AZ512" s="848">
        <f t="shared" si="469"/>
        <v>0</v>
      </c>
      <c r="BA512" s="848"/>
      <c r="BB512" s="848"/>
      <c r="BC512" s="848">
        <f t="shared" si="469"/>
        <v>0</v>
      </c>
      <c r="BD512" s="848">
        <f t="shared" si="469"/>
        <v>1160</v>
      </c>
      <c r="BE512" s="848"/>
      <c r="BF512" s="848">
        <f t="shared" si="469"/>
        <v>0</v>
      </c>
      <c r="BG512" s="848">
        <f t="shared" si="469"/>
        <v>0</v>
      </c>
      <c r="BH512" s="848">
        <f t="shared" si="469"/>
        <v>0</v>
      </c>
      <c r="BI512" s="848">
        <f t="shared" si="469"/>
        <v>0</v>
      </c>
      <c r="BJ512" s="848">
        <f t="shared" si="469"/>
        <v>0</v>
      </c>
      <c r="BK512" s="848">
        <f t="shared" si="469"/>
        <v>0</v>
      </c>
      <c r="BL512" s="848">
        <f t="shared" si="469"/>
        <v>0</v>
      </c>
      <c r="BM512" s="848">
        <f t="shared" si="469"/>
        <v>0</v>
      </c>
      <c r="BN512" s="848">
        <f t="shared" si="469"/>
        <v>4248</v>
      </c>
      <c r="BO512" s="848">
        <f t="shared" si="421"/>
        <v>4430.3297999999995</v>
      </c>
      <c r="BP512" s="848">
        <f t="shared" si="469"/>
        <v>0</v>
      </c>
      <c r="BQ512" s="848"/>
      <c r="BR512" s="848"/>
      <c r="BS512" s="848">
        <f t="shared" si="469"/>
        <v>0</v>
      </c>
      <c r="BT512" s="848">
        <f t="shared" si="469"/>
        <v>770.24580000000003</v>
      </c>
      <c r="BU512" s="848"/>
      <c r="BV512" s="848">
        <f t="shared" si="469"/>
        <v>0</v>
      </c>
      <c r="BW512" s="848">
        <f t="shared" si="469"/>
        <v>0</v>
      </c>
      <c r="BX512" s="848">
        <f t="shared" si="469"/>
        <v>0</v>
      </c>
      <c r="BY512" s="848">
        <f t="shared" si="469"/>
        <v>0</v>
      </c>
      <c r="BZ512" s="848">
        <f t="shared" si="469"/>
        <v>0</v>
      </c>
      <c r="CA512" s="848">
        <f t="shared" si="469"/>
        <v>0</v>
      </c>
      <c r="CB512" s="848">
        <f t="shared" ref="CB512:CE512" si="471">CB513+CB515</f>
        <v>0</v>
      </c>
      <c r="CC512" s="848">
        <f t="shared" si="471"/>
        <v>0</v>
      </c>
      <c r="CD512" s="848">
        <f t="shared" si="471"/>
        <v>0</v>
      </c>
      <c r="CE512" s="848">
        <f t="shared" si="471"/>
        <v>3660.0839999999998</v>
      </c>
      <c r="CF512" s="848">
        <f t="shared" si="468"/>
        <v>81.921778846153842</v>
      </c>
      <c r="CG512" s="848"/>
      <c r="CH512" s="848"/>
      <c r="CI512" s="848"/>
      <c r="CJ512" s="848"/>
      <c r="CK512" s="848">
        <f t="shared" si="423"/>
        <v>66.400500000000008</v>
      </c>
      <c r="CL512" s="848"/>
      <c r="CM512" s="848"/>
      <c r="CN512" s="848"/>
      <c r="CO512" s="848"/>
      <c r="CP512" s="848"/>
      <c r="CQ512" s="848"/>
      <c r="CR512" s="848"/>
      <c r="CS512" s="848"/>
      <c r="CT512" s="848"/>
      <c r="CU512" s="848"/>
      <c r="CV512" s="848"/>
      <c r="CW512" s="848">
        <f t="shared" si="426"/>
        <v>86.160169491525423</v>
      </c>
    </row>
    <row r="513" spans="1:101" s="851" customFormat="1" ht="35.450000000000003" customHeight="1">
      <c r="A513" s="845"/>
      <c r="B513" s="845"/>
      <c r="C513" s="857" t="s">
        <v>1076</v>
      </c>
      <c r="D513" s="846">
        <f>D514</f>
        <v>0</v>
      </c>
      <c r="E513" s="845">
        <f t="shared" ref="E513:AX513" si="472">E514</f>
        <v>0</v>
      </c>
      <c r="F513" s="847"/>
      <c r="G513" s="845"/>
      <c r="H513" s="850">
        <f t="shared" si="439"/>
        <v>5441</v>
      </c>
      <c r="I513" s="848">
        <f t="shared" si="472"/>
        <v>0</v>
      </c>
      <c r="J513" s="848">
        <f t="shared" si="472"/>
        <v>0</v>
      </c>
      <c r="K513" s="848">
        <f t="shared" si="472"/>
        <v>4355</v>
      </c>
      <c r="L513" s="848">
        <f t="shared" si="472"/>
        <v>0</v>
      </c>
      <c r="M513" s="848">
        <f t="shared" si="472"/>
        <v>0</v>
      </c>
      <c r="N513" s="848">
        <f t="shared" si="472"/>
        <v>0</v>
      </c>
      <c r="O513" s="848">
        <f t="shared" si="472"/>
        <v>0</v>
      </c>
      <c r="P513" s="848">
        <f t="shared" si="472"/>
        <v>0</v>
      </c>
      <c r="Q513" s="848">
        <f t="shared" si="472"/>
        <v>0</v>
      </c>
      <c r="R513" s="848">
        <v>1086</v>
      </c>
      <c r="S513" s="848">
        <f t="shared" si="472"/>
        <v>0</v>
      </c>
      <c r="T513" s="855">
        <f t="shared" si="431"/>
        <v>4800</v>
      </c>
      <c r="U513" s="848">
        <f t="shared" ref="U513:AH513" si="473">U514</f>
        <v>0</v>
      </c>
      <c r="V513" s="848">
        <f t="shared" si="473"/>
        <v>0</v>
      </c>
      <c r="W513" s="848">
        <f t="shared" si="473"/>
        <v>0</v>
      </c>
      <c r="X513" s="848">
        <f t="shared" si="473"/>
        <v>4800</v>
      </c>
      <c r="Y513" s="848">
        <f t="shared" si="473"/>
        <v>0</v>
      </c>
      <c r="Z513" s="848">
        <f t="shared" si="473"/>
        <v>0</v>
      </c>
      <c r="AA513" s="848">
        <f t="shared" si="473"/>
        <v>0</v>
      </c>
      <c r="AB513" s="848">
        <f t="shared" si="473"/>
        <v>0</v>
      </c>
      <c r="AC513" s="848">
        <f t="shared" si="473"/>
        <v>0</v>
      </c>
      <c r="AD513" s="848">
        <f t="shared" si="473"/>
        <v>0</v>
      </c>
      <c r="AE513" s="848"/>
      <c r="AF513" s="848">
        <f t="shared" si="473"/>
        <v>0</v>
      </c>
      <c r="AG513" s="848">
        <f t="shared" si="473"/>
        <v>0</v>
      </c>
      <c r="AH513" s="848">
        <f t="shared" si="473"/>
        <v>0</v>
      </c>
      <c r="AI513" s="848">
        <f t="shared" si="472"/>
        <v>4800</v>
      </c>
      <c r="AJ513" s="848">
        <f t="shared" si="472"/>
        <v>0</v>
      </c>
      <c r="AK513" s="848">
        <f t="shared" si="472"/>
        <v>0</v>
      </c>
      <c r="AL513" s="848">
        <f t="shared" si="472"/>
        <v>0</v>
      </c>
      <c r="AM513" s="848">
        <f t="shared" si="472"/>
        <v>4800</v>
      </c>
      <c r="AN513" s="848">
        <f t="shared" si="472"/>
        <v>0</v>
      </c>
      <c r="AO513" s="848">
        <f t="shared" si="472"/>
        <v>0</v>
      </c>
      <c r="AP513" s="848">
        <f t="shared" si="472"/>
        <v>0</v>
      </c>
      <c r="AQ513" s="848">
        <f t="shared" si="472"/>
        <v>0</v>
      </c>
      <c r="AR513" s="848">
        <f t="shared" si="472"/>
        <v>0</v>
      </c>
      <c r="AS513" s="848"/>
      <c r="AT513" s="848">
        <f t="shared" si="472"/>
        <v>0</v>
      </c>
      <c r="AU513" s="848">
        <f t="shared" si="472"/>
        <v>0</v>
      </c>
      <c r="AV513" s="848">
        <f t="shared" si="472"/>
        <v>0</v>
      </c>
      <c r="AW513" s="848">
        <f t="shared" si="472"/>
        <v>0</v>
      </c>
      <c r="AX513" s="848">
        <f t="shared" si="472"/>
        <v>0</v>
      </c>
      <c r="AY513" s="848">
        <f>AY514</f>
        <v>160</v>
      </c>
      <c r="AZ513" s="848">
        <f t="shared" ref="AZ513:CE513" si="474">AZ514</f>
        <v>0</v>
      </c>
      <c r="BA513" s="848"/>
      <c r="BB513" s="848"/>
      <c r="BC513" s="848">
        <f t="shared" si="474"/>
        <v>0</v>
      </c>
      <c r="BD513" s="848">
        <f t="shared" si="474"/>
        <v>160</v>
      </c>
      <c r="BE513" s="848"/>
      <c r="BF513" s="848">
        <f t="shared" si="474"/>
        <v>0</v>
      </c>
      <c r="BG513" s="848">
        <f t="shared" si="474"/>
        <v>0</v>
      </c>
      <c r="BH513" s="848">
        <f t="shared" si="474"/>
        <v>0</v>
      </c>
      <c r="BI513" s="848">
        <f t="shared" si="474"/>
        <v>0</v>
      </c>
      <c r="BJ513" s="848">
        <f t="shared" si="474"/>
        <v>0</v>
      </c>
      <c r="BK513" s="848">
        <f t="shared" si="474"/>
        <v>0</v>
      </c>
      <c r="BL513" s="848">
        <f t="shared" si="474"/>
        <v>0</v>
      </c>
      <c r="BM513" s="848">
        <f t="shared" si="474"/>
        <v>0</v>
      </c>
      <c r="BN513" s="848">
        <f t="shared" si="474"/>
        <v>0</v>
      </c>
      <c r="BO513" s="848">
        <f t="shared" si="421"/>
        <v>158.12870000000001</v>
      </c>
      <c r="BP513" s="848">
        <f t="shared" si="474"/>
        <v>0</v>
      </c>
      <c r="BQ513" s="848"/>
      <c r="BR513" s="848"/>
      <c r="BS513" s="848">
        <f t="shared" si="474"/>
        <v>0</v>
      </c>
      <c r="BT513" s="848">
        <f t="shared" si="474"/>
        <v>158.12870000000001</v>
      </c>
      <c r="BU513" s="848"/>
      <c r="BV513" s="848">
        <f t="shared" si="474"/>
        <v>0</v>
      </c>
      <c r="BW513" s="848">
        <f t="shared" si="474"/>
        <v>0</v>
      </c>
      <c r="BX513" s="848">
        <f t="shared" si="474"/>
        <v>0</v>
      </c>
      <c r="BY513" s="848">
        <f t="shared" si="474"/>
        <v>0</v>
      </c>
      <c r="BZ513" s="848">
        <f t="shared" si="474"/>
        <v>0</v>
      </c>
      <c r="CA513" s="848">
        <f t="shared" si="474"/>
        <v>0</v>
      </c>
      <c r="CB513" s="848">
        <f t="shared" si="474"/>
        <v>0</v>
      </c>
      <c r="CC513" s="848">
        <f t="shared" si="474"/>
        <v>0</v>
      </c>
      <c r="CD513" s="848">
        <f t="shared" si="474"/>
        <v>0</v>
      </c>
      <c r="CE513" s="848">
        <f t="shared" si="474"/>
        <v>0</v>
      </c>
      <c r="CF513" s="848">
        <f t="shared" si="468"/>
        <v>98.830437500000002</v>
      </c>
      <c r="CG513" s="848"/>
      <c r="CH513" s="848"/>
      <c r="CI513" s="848"/>
      <c r="CJ513" s="848"/>
      <c r="CK513" s="848">
        <f t="shared" si="423"/>
        <v>98.830437500000002</v>
      </c>
      <c r="CL513" s="848"/>
      <c r="CM513" s="848"/>
      <c r="CN513" s="848"/>
      <c r="CO513" s="848"/>
      <c r="CP513" s="848"/>
      <c r="CQ513" s="848"/>
      <c r="CR513" s="848"/>
      <c r="CS513" s="848"/>
      <c r="CT513" s="848"/>
      <c r="CU513" s="848"/>
      <c r="CV513" s="848"/>
      <c r="CW513" s="848"/>
    </row>
    <row r="514" spans="1:101" s="851" customFormat="1" ht="25.15" customHeight="1">
      <c r="A514" s="845"/>
      <c r="B514" s="852" t="s">
        <v>594</v>
      </c>
      <c r="C514" s="852" t="s">
        <v>1176</v>
      </c>
      <c r="D514" s="846"/>
      <c r="E514" s="845"/>
      <c r="F514" s="853" t="s">
        <v>1177</v>
      </c>
      <c r="G514" s="846" t="s">
        <v>1178</v>
      </c>
      <c r="H514" s="850">
        <f t="shared" si="439"/>
        <v>5441</v>
      </c>
      <c r="I514" s="855"/>
      <c r="J514" s="848"/>
      <c r="K514" s="855">
        <v>4355</v>
      </c>
      <c r="L514" s="848"/>
      <c r="M514" s="848"/>
      <c r="N514" s="848"/>
      <c r="O514" s="848"/>
      <c r="P514" s="848"/>
      <c r="Q514" s="848"/>
      <c r="R514" s="855">
        <v>1086</v>
      </c>
      <c r="S514" s="848"/>
      <c r="T514" s="855">
        <f t="shared" si="431"/>
        <v>4800</v>
      </c>
      <c r="U514" s="848"/>
      <c r="V514" s="848"/>
      <c r="W514" s="848"/>
      <c r="X514" s="848">
        <v>4800</v>
      </c>
      <c r="Y514" s="848"/>
      <c r="Z514" s="848"/>
      <c r="AA514" s="848"/>
      <c r="AB514" s="848"/>
      <c r="AC514" s="848"/>
      <c r="AD514" s="848"/>
      <c r="AE514" s="848"/>
      <c r="AF514" s="848"/>
      <c r="AG514" s="848"/>
      <c r="AH514" s="848"/>
      <c r="AI514" s="855">
        <f>AM514</f>
        <v>4800</v>
      </c>
      <c r="AJ514" s="848"/>
      <c r="AK514" s="848"/>
      <c r="AL514" s="848"/>
      <c r="AM514" s="855">
        <v>4800</v>
      </c>
      <c r="AN514" s="848"/>
      <c r="AO514" s="848"/>
      <c r="AP514" s="848"/>
      <c r="AQ514" s="848"/>
      <c r="AR514" s="848"/>
      <c r="AS514" s="848"/>
      <c r="AT514" s="848"/>
      <c r="AU514" s="848"/>
      <c r="AV514" s="848"/>
      <c r="AW514" s="848"/>
      <c r="AX514" s="855"/>
      <c r="AY514" s="855">
        <f t="shared" ref="AY514" si="475">SUM(AZ514:BN514)</f>
        <v>160</v>
      </c>
      <c r="AZ514" s="848"/>
      <c r="BA514" s="848"/>
      <c r="BB514" s="848"/>
      <c r="BC514" s="848"/>
      <c r="BD514" s="848">
        <f>'[10]bieu cu'!H233</f>
        <v>160</v>
      </c>
      <c r="BE514" s="848"/>
      <c r="BF514" s="848"/>
      <c r="BG514" s="848"/>
      <c r="BH514" s="848"/>
      <c r="BI514" s="848"/>
      <c r="BJ514" s="848"/>
      <c r="BK514" s="848"/>
      <c r="BL514" s="848"/>
      <c r="BM514" s="848"/>
      <c r="BN514" s="848"/>
      <c r="BO514" s="848">
        <f t="shared" si="421"/>
        <v>158.12870000000001</v>
      </c>
      <c r="BP514" s="848"/>
      <c r="BQ514" s="848"/>
      <c r="BR514" s="848"/>
      <c r="BS514" s="848"/>
      <c r="BT514" s="855">
        <v>158.12870000000001</v>
      </c>
      <c r="BU514" s="848"/>
      <c r="BV514" s="848"/>
      <c r="BW514" s="848"/>
      <c r="BX514" s="848"/>
      <c r="BY514" s="848"/>
      <c r="BZ514" s="848"/>
      <c r="CA514" s="848"/>
      <c r="CB514" s="848"/>
      <c r="CC514" s="848"/>
      <c r="CD514" s="848"/>
      <c r="CE514" s="848"/>
      <c r="CF514" s="848">
        <f t="shared" si="468"/>
        <v>98.830437500000002</v>
      </c>
      <c r="CG514" s="848"/>
      <c r="CH514" s="848"/>
      <c r="CI514" s="848"/>
      <c r="CJ514" s="848"/>
      <c r="CK514" s="848">
        <f t="shared" si="423"/>
        <v>98.830437500000002</v>
      </c>
      <c r="CL514" s="848"/>
      <c r="CM514" s="848"/>
      <c r="CN514" s="848"/>
      <c r="CO514" s="848"/>
      <c r="CP514" s="848"/>
      <c r="CQ514" s="848"/>
      <c r="CR514" s="848"/>
      <c r="CS514" s="848"/>
      <c r="CT514" s="848"/>
      <c r="CU514" s="848"/>
      <c r="CV514" s="848"/>
      <c r="CW514" s="848"/>
    </row>
    <row r="515" spans="1:101" s="851" customFormat="1" ht="45.6" customHeight="1">
      <c r="A515" s="845"/>
      <c r="B515" s="845"/>
      <c r="C515" s="857" t="s">
        <v>508</v>
      </c>
      <c r="D515" s="846">
        <f>D516+D517+D518</f>
        <v>0</v>
      </c>
      <c r="E515" s="845">
        <f t="shared" ref="E515:CE515" si="476">E516+E517+E518</f>
        <v>0</v>
      </c>
      <c r="F515" s="847"/>
      <c r="G515" s="845"/>
      <c r="H515" s="850">
        <f t="shared" si="439"/>
        <v>9716</v>
      </c>
      <c r="I515" s="848">
        <f t="shared" si="476"/>
        <v>0</v>
      </c>
      <c r="J515" s="848">
        <f t="shared" si="476"/>
        <v>0</v>
      </c>
      <c r="K515" s="848">
        <f t="shared" si="476"/>
        <v>1503</v>
      </c>
      <c r="L515" s="848">
        <f t="shared" si="476"/>
        <v>0</v>
      </c>
      <c r="M515" s="848">
        <f t="shared" si="476"/>
        <v>0</v>
      </c>
      <c r="N515" s="848">
        <f t="shared" si="476"/>
        <v>0</v>
      </c>
      <c r="O515" s="848">
        <f t="shared" si="476"/>
        <v>0</v>
      </c>
      <c r="P515" s="848">
        <f t="shared" si="476"/>
        <v>0</v>
      </c>
      <c r="Q515" s="848">
        <f t="shared" si="476"/>
        <v>0</v>
      </c>
      <c r="R515" s="848">
        <v>0</v>
      </c>
      <c r="S515" s="848">
        <f t="shared" si="476"/>
        <v>8213</v>
      </c>
      <c r="T515" s="855">
        <f t="shared" si="431"/>
        <v>0</v>
      </c>
      <c r="U515" s="848">
        <f t="shared" ref="U515:AH515" si="477">U516+U517+U518</f>
        <v>0</v>
      </c>
      <c r="V515" s="848">
        <f t="shared" si="477"/>
        <v>0</v>
      </c>
      <c r="W515" s="848">
        <f t="shared" si="477"/>
        <v>0</v>
      </c>
      <c r="X515" s="848">
        <f t="shared" si="477"/>
        <v>0</v>
      </c>
      <c r="Y515" s="848">
        <f t="shared" si="477"/>
        <v>0</v>
      </c>
      <c r="Z515" s="848">
        <f t="shared" si="477"/>
        <v>0</v>
      </c>
      <c r="AA515" s="848">
        <f t="shared" si="477"/>
        <v>0</v>
      </c>
      <c r="AB515" s="848">
        <f t="shared" si="477"/>
        <v>0</v>
      </c>
      <c r="AC515" s="848">
        <f t="shared" si="477"/>
        <v>0</v>
      </c>
      <c r="AD515" s="848"/>
      <c r="AE515" s="848"/>
      <c r="AF515" s="848">
        <f t="shared" si="477"/>
        <v>0</v>
      </c>
      <c r="AG515" s="848">
        <f t="shared" si="477"/>
        <v>0</v>
      </c>
      <c r="AH515" s="848">
        <f t="shared" si="477"/>
        <v>0</v>
      </c>
      <c r="AI515" s="848">
        <f t="shared" si="476"/>
        <v>0</v>
      </c>
      <c r="AJ515" s="848">
        <f t="shared" si="476"/>
        <v>0</v>
      </c>
      <c r="AK515" s="848">
        <f t="shared" si="476"/>
        <v>0</v>
      </c>
      <c r="AL515" s="848">
        <f t="shared" si="476"/>
        <v>0</v>
      </c>
      <c r="AM515" s="848">
        <f t="shared" si="476"/>
        <v>0</v>
      </c>
      <c r="AN515" s="848">
        <f t="shared" si="476"/>
        <v>0</v>
      </c>
      <c r="AO515" s="848">
        <f t="shared" si="476"/>
        <v>0</v>
      </c>
      <c r="AP515" s="848">
        <f t="shared" si="476"/>
        <v>0</v>
      </c>
      <c r="AQ515" s="848">
        <f t="shared" si="476"/>
        <v>0</v>
      </c>
      <c r="AR515" s="848">
        <f t="shared" si="476"/>
        <v>0</v>
      </c>
      <c r="AS515" s="848"/>
      <c r="AT515" s="848">
        <f t="shared" si="476"/>
        <v>0</v>
      </c>
      <c r="AU515" s="848">
        <f t="shared" si="476"/>
        <v>0</v>
      </c>
      <c r="AV515" s="848"/>
      <c r="AW515" s="848"/>
      <c r="AX515" s="848">
        <f>AX516+AX517+AX518</f>
        <v>0</v>
      </c>
      <c r="AY515" s="848">
        <f t="shared" si="476"/>
        <v>5248</v>
      </c>
      <c r="AZ515" s="848">
        <f t="shared" si="476"/>
        <v>0</v>
      </c>
      <c r="BA515" s="848"/>
      <c r="BB515" s="848"/>
      <c r="BC515" s="848">
        <f t="shared" si="476"/>
        <v>0</v>
      </c>
      <c r="BD515" s="848">
        <f t="shared" si="476"/>
        <v>1000</v>
      </c>
      <c r="BE515" s="848"/>
      <c r="BF515" s="848">
        <f t="shared" si="476"/>
        <v>0</v>
      </c>
      <c r="BG515" s="848">
        <f t="shared" si="476"/>
        <v>0</v>
      </c>
      <c r="BH515" s="848">
        <f t="shared" si="476"/>
        <v>0</v>
      </c>
      <c r="BI515" s="848">
        <f t="shared" si="476"/>
        <v>0</v>
      </c>
      <c r="BJ515" s="848">
        <f t="shared" si="476"/>
        <v>0</v>
      </c>
      <c r="BK515" s="848">
        <f t="shared" si="476"/>
        <v>0</v>
      </c>
      <c r="BL515" s="848">
        <f t="shared" si="476"/>
        <v>0</v>
      </c>
      <c r="BM515" s="848">
        <f t="shared" si="476"/>
        <v>0</v>
      </c>
      <c r="BN515" s="848">
        <f t="shared" si="476"/>
        <v>4248</v>
      </c>
      <c r="BO515" s="848">
        <f t="shared" si="421"/>
        <v>4272.2011000000002</v>
      </c>
      <c r="BP515" s="848">
        <f t="shared" si="476"/>
        <v>0</v>
      </c>
      <c r="BQ515" s="848"/>
      <c r="BR515" s="848"/>
      <c r="BS515" s="848">
        <f t="shared" si="476"/>
        <v>0</v>
      </c>
      <c r="BT515" s="848">
        <f t="shared" si="476"/>
        <v>612.11710000000005</v>
      </c>
      <c r="BU515" s="848"/>
      <c r="BV515" s="848">
        <f t="shared" si="476"/>
        <v>0</v>
      </c>
      <c r="BW515" s="848">
        <f t="shared" si="476"/>
        <v>0</v>
      </c>
      <c r="BX515" s="848">
        <f t="shared" si="476"/>
        <v>0</v>
      </c>
      <c r="BY515" s="848">
        <f t="shared" si="476"/>
        <v>0</v>
      </c>
      <c r="BZ515" s="848">
        <f t="shared" si="476"/>
        <v>0</v>
      </c>
      <c r="CA515" s="848">
        <f t="shared" si="476"/>
        <v>0</v>
      </c>
      <c r="CB515" s="848">
        <f t="shared" si="476"/>
        <v>0</v>
      </c>
      <c r="CC515" s="848">
        <f t="shared" si="476"/>
        <v>0</v>
      </c>
      <c r="CD515" s="848">
        <f t="shared" si="476"/>
        <v>0</v>
      </c>
      <c r="CE515" s="848">
        <f t="shared" si="476"/>
        <v>3660.0839999999998</v>
      </c>
      <c r="CF515" s="848">
        <f t="shared" si="468"/>
        <v>81.406270960365859</v>
      </c>
      <c r="CG515" s="848"/>
      <c r="CH515" s="848"/>
      <c r="CI515" s="848"/>
      <c r="CJ515" s="848"/>
      <c r="CK515" s="848">
        <f t="shared" si="423"/>
        <v>61.211710000000011</v>
      </c>
      <c r="CL515" s="848"/>
      <c r="CM515" s="848"/>
      <c r="CN515" s="848"/>
      <c r="CO515" s="848"/>
      <c r="CP515" s="848"/>
      <c r="CQ515" s="848"/>
      <c r="CR515" s="848"/>
      <c r="CS515" s="848"/>
      <c r="CT515" s="848"/>
      <c r="CU515" s="848"/>
      <c r="CV515" s="848"/>
      <c r="CW515" s="848">
        <f t="shared" si="426"/>
        <v>86.160169491525423</v>
      </c>
    </row>
    <row r="516" spans="1:101" s="851" customFormat="1" ht="45.6" customHeight="1">
      <c r="A516" s="845"/>
      <c r="B516" s="852" t="s">
        <v>594</v>
      </c>
      <c r="C516" s="852" t="s">
        <v>1179</v>
      </c>
      <c r="D516" s="846"/>
      <c r="E516" s="845"/>
      <c r="F516" s="853" t="s">
        <v>382</v>
      </c>
      <c r="G516" s="846" t="s">
        <v>1180</v>
      </c>
      <c r="H516" s="850">
        <f t="shared" si="439"/>
        <v>1503</v>
      </c>
      <c r="I516" s="855"/>
      <c r="J516" s="848"/>
      <c r="K516" s="855">
        <v>1503</v>
      </c>
      <c r="L516" s="855"/>
      <c r="M516" s="855"/>
      <c r="N516" s="855"/>
      <c r="O516" s="855"/>
      <c r="P516" s="855"/>
      <c r="Q516" s="855"/>
      <c r="R516" s="855"/>
      <c r="S516" s="855"/>
      <c r="T516" s="855">
        <f t="shared" si="431"/>
        <v>0</v>
      </c>
      <c r="U516" s="848"/>
      <c r="V516" s="848"/>
      <c r="W516" s="848"/>
      <c r="X516" s="848"/>
      <c r="Y516" s="848"/>
      <c r="Z516" s="848"/>
      <c r="AA516" s="848"/>
      <c r="AB516" s="848"/>
      <c r="AC516" s="848"/>
      <c r="AD516" s="848"/>
      <c r="AE516" s="848"/>
      <c r="AF516" s="848"/>
      <c r="AG516" s="848"/>
      <c r="AH516" s="848"/>
      <c r="AI516" s="848"/>
      <c r="AJ516" s="848"/>
      <c r="AK516" s="848"/>
      <c r="AL516" s="848"/>
      <c r="AM516" s="848"/>
      <c r="AN516" s="848"/>
      <c r="AO516" s="848"/>
      <c r="AP516" s="848"/>
      <c r="AQ516" s="848"/>
      <c r="AR516" s="848"/>
      <c r="AS516" s="848"/>
      <c r="AT516" s="848"/>
      <c r="AU516" s="848"/>
      <c r="AV516" s="848"/>
      <c r="AW516" s="848"/>
      <c r="AX516" s="855"/>
      <c r="AY516" s="855">
        <f t="shared" ref="AY516:AY518" si="478">SUM(AZ516:BN516)</f>
        <v>1000</v>
      </c>
      <c r="AZ516" s="848"/>
      <c r="BA516" s="848"/>
      <c r="BB516" s="848"/>
      <c r="BC516" s="848"/>
      <c r="BD516" s="848">
        <f>'[10]bieu cu'!H240</f>
        <v>1000</v>
      </c>
      <c r="BE516" s="848"/>
      <c r="BF516" s="848"/>
      <c r="BG516" s="848"/>
      <c r="BH516" s="848"/>
      <c r="BI516" s="848"/>
      <c r="BJ516" s="848"/>
      <c r="BK516" s="848"/>
      <c r="BL516" s="848"/>
      <c r="BM516" s="848"/>
      <c r="BN516" s="848"/>
      <c r="BO516" s="848">
        <f t="shared" si="421"/>
        <v>612.11710000000005</v>
      </c>
      <c r="BP516" s="848"/>
      <c r="BQ516" s="848"/>
      <c r="BR516" s="848"/>
      <c r="BS516" s="848"/>
      <c r="BT516" s="855">
        <v>612.11710000000005</v>
      </c>
      <c r="BU516" s="848"/>
      <c r="BV516" s="848"/>
      <c r="BW516" s="848"/>
      <c r="BX516" s="848"/>
      <c r="BY516" s="848"/>
      <c r="BZ516" s="848"/>
      <c r="CA516" s="848"/>
      <c r="CB516" s="848"/>
      <c r="CC516" s="848"/>
      <c r="CD516" s="848"/>
      <c r="CE516" s="848"/>
      <c r="CF516" s="848">
        <f t="shared" si="468"/>
        <v>61.211710000000004</v>
      </c>
      <c r="CG516" s="848"/>
      <c r="CH516" s="848"/>
      <c r="CI516" s="848"/>
      <c r="CJ516" s="848"/>
      <c r="CK516" s="848">
        <f t="shared" si="423"/>
        <v>61.211710000000011</v>
      </c>
      <c r="CL516" s="848"/>
      <c r="CM516" s="848"/>
      <c r="CN516" s="848"/>
      <c r="CO516" s="848"/>
      <c r="CP516" s="848"/>
      <c r="CQ516" s="848"/>
      <c r="CR516" s="848"/>
      <c r="CS516" s="848"/>
      <c r="CT516" s="848"/>
      <c r="CU516" s="848"/>
      <c r="CV516" s="848"/>
      <c r="CW516" s="848"/>
    </row>
    <row r="517" spans="1:101" ht="45.6" customHeight="1">
      <c r="A517" s="845"/>
      <c r="B517" s="852" t="s">
        <v>594</v>
      </c>
      <c r="C517" s="852" t="s">
        <v>1181</v>
      </c>
      <c r="D517" s="846"/>
      <c r="E517" s="845"/>
      <c r="F517" s="853" t="s">
        <v>382</v>
      </c>
      <c r="G517" s="846" t="s">
        <v>1182</v>
      </c>
      <c r="H517" s="850">
        <f t="shared" si="439"/>
        <v>3050</v>
      </c>
      <c r="I517" s="855"/>
      <c r="J517" s="848"/>
      <c r="K517" s="855"/>
      <c r="L517" s="855"/>
      <c r="M517" s="855"/>
      <c r="N517" s="855"/>
      <c r="O517" s="855"/>
      <c r="P517" s="855"/>
      <c r="Q517" s="855"/>
      <c r="R517" s="855"/>
      <c r="S517" s="855">
        <v>3050</v>
      </c>
      <c r="T517" s="855">
        <f t="shared" si="431"/>
        <v>0</v>
      </c>
      <c r="U517" s="848"/>
      <c r="V517" s="848"/>
      <c r="W517" s="848"/>
      <c r="X517" s="848"/>
      <c r="Y517" s="848"/>
      <c r="Z517" s="848"/>
      <c r="AA517" s="848"/>
      <c r="AB517" s="848"/>
      <c r="AC517" s="848"/>
      <c r="AD517" s="848"/>
      <c r="AE517" s="848"/>
      <c r="AF517" s="848"/>
      <c r="AG517" s="848"/>
      <c r="AH517" s="855"/>
      <c r="AI517" s="855"/>
      <c r="AJ517" s="855"/>
      <c r="AK517" s="855"/>
      <c r="AL517" s="855"/>
      <c r="AM517" s="855"/>
      <c r="AN517" s="855"/>
      <c r="AO517" s="855"/>
      <c r="AP517" s="855"/>
      <c r="AQ517" s="855"/>
      <c r="AR517" s="855"/>
      <c r="AS517" s="855"/>
      <c r="AT517" s="855"/>
      <c r="AU517" s="855"/>
      <c r="AV517" s="855"/>
      <c r="AW517" s="855"/>
      <c r="AX517" s="855"/>
      <c r="AY517" s="855">
        <f t="shared" si="478"/>
        <v>1000</v>
      </c>
      <c r="AZ517" s="855"/>
      <c r="BA517" s="855"/>
      <c r="BB517" s="855"/>
      <c r="BC517" s="855"/>
      <c r="BD517" s="855"/>
      <c r="BE517" s="855"/>
      <c r="BF517" s="855"/>
      <c r="BG517" s="855"/>
      <c r="BH517" s="855"/>
      <c r="BI517" s="855"/>
      <c r="BJ517" s="855"/>
      <c r="BK517" s="855"/>
      <c r="BL517" s="855"/>
      <c r="BM517" s="855"/>
      <c r="BN517" s="855">
        <f>'[10]bieu cu'!H212</f>
        <v>1000</v>
      </c>
      <c r="BO517" s="848">
        <f t="shared" si="421"/>
        <v>412.084</v>
      </c>
      <c r="BP517" s="855"/>
      <c r="BQ517" s="855"/>
      <c r="BR517" s="855"/>
      <c r="BS517" s="855"/>
      <c r="BT517" s="855"/>
      <c r="BU517" s="855"/>
      <c r="BV517" s="855"/>
      <c r="BW517" s="855"/>
      <c r="BX517" s="855"/>
      <c r="BY517" s="855"/>
      <c r="BZ517" s="855"/>
      <c r="CA517" s="855"/>
      <c r="CB517" s="855"/>
      <c r="CC517" s="855"/>
      <c r="CD517" s="855"/>
      <c r="CE517" s="855">
        <v>412.084</v>
      </c>
      <c r="CF517" s="848">
        <f t="shared" si="468"/>
        <v>41.208399999999997</v>
      </c>
      <c r="CG517" s="848"/>
      <c r="CH517" s="848"/>
      <c r="CI517" s="848"/>
      <c r="CJ517" s="848"/>
      <c r="CK517" s="848"/>
      <c r="CL517" s="848"/>
      <c r="CM517" s="848"/>
      <c r="CN517" s="848"/>
      <c r="CO517" s="848"/>
      <c r="CP517" s="848"/>
      <c r="CQ517" s="848"/>
      <c r="CR517" s="848"/>
      <c r="CS517" s="848"/>
      <c r="CT517" s="848"/>
      <c r="CU517" s="848"/>
      <c r="CV517" s="848"/>
      <c r="CW517" s="848">
        <f t="shared" si="426"/>
        <v>41.208399999999997</v>
      </c>
    </row>
    <row r="518" spans="1:101" ht="33" customHeight="1">
      <c r="A518" s="845"/>
      <c r="B518" s="852" t="s">
        <v>594</v>
      </c>
      <c r="C518" s="852" t="s">
        <v>1183</v>
      </c>
      <c r="D518" s="846"/>
      <c r="E518" s="845"/>
      <c r="F518" s="853" t="s">
        <v>382</v>
      </c>
      <c r="G518" s="846" t="s">
        <v>1184</v>
      </c>
      <c r="H518" s="850">
        <f t="shared" si="439"/>
        <v>5163</v>
      </c>
      <c r="I518" s="855"/>
      <c r="J518" s="848"/>
      <c r="K518" s="855"/>
      <c r="L518" s="855"/>
      <c r="M518" s="855"/>
      <c r="N518" s="855"/>
      <c r="O518" s="855"/>
      <c r="P518" s="855"/>
      <c r="Q518" s="855"/>
      <c r="R518" s="855"/>
      <c r="S518" s="855">
        <v>5163</v>
      </c>
      <c r="T518" s="855">
        <f t="shared" si="431"/>
        <v>0</v>
      </c>
      <c r="U518" s="848"/>
      <c r="V518" s="848"/>
      <c r="W518" s="848"/>
      <c r="X518" s="848"/>
      <c r="Y518" s="848"/>
      <c r="Z518" s="848"/>
      <c r="AA518" s="848"/>
      <c r="AB518" s="848"/>
      <c r="AC518" s="848"/>
      <c r="AD518" s="848"/>
      <c r="AE518" s="848"/>
      <c r="AF518" s="848"/>
      <c r="AG518" s="848"/>
      <c r="AH518" s="855"/>
      <c r="AI518" s="855"/>
      <c r="AJ518" s="855"/>
      <c r="AK518" s="855"/>
      <c r="AL518" s="855"/>
      <c r="AM518" s="855"/>
      <c r="AN518" s="855"/>
      <c r="AO518" s="855"/>
      <c r="AP518" s="855"/>
      <c r="AQ518" s="855"/>
      <c r="AR518" s="855"/>
      <c r="AS518" s="855"/>
      <c r="AT518" s="855"/>
      <c r="AU518" s="855"/>
      <c r="AV518" s="855"/>
      <c r="AW518" s="855"/>
      <c r="AX518" s="855"/>
      <c r="AY518" s="855">
        <f t="shared" si="478"/>
        <v>3248</v>
      </c>
      <c r="AZ518" s="855"/>
      <c r="BA518" s="855"/>
      <c r="BB518" s="855"/>
      <c r="BC518" s="855"/>
      <c r="BD518" s="855"/>
      <c r="BE518" s="855"/>
      <c r="BF518" s="855"/>
      <c r="BG518" s="855"/>
      <c r="BH518" s="855"/>
      <c r="BI518" s="855"/>
      <c r="BJ518" s="855"/>
      <c r="BK518" s="855"/>
      <c r="BL518" s="855"/>
      <c r="BM518" s="855"/>
      <c r="BN518" s="855">
        <v>3248</v>
      </c>
      <c r="BO518" s="848">
        <f t="shared" si="421"/>
        <v>3248</v>
      </c>
      <c r="BP518" s="855"/>
      <c r="BQ518" s="855"/>
      <c r="BR518" s="855"/>
      <c r="BS518" s="855"/>
      <c r="BT518" s="855"/>
      <c r="BU518" s="855"/>
      <c r="BV518" s="855"/>
      <c r="BW518" s="855"/>
      <c r="BX518" s="855"/>
      <c r="BY518" s="855"/>
      <c r="BZ518" s="855"/>
      <c r="CA518" s="855"/>
      <c r="CB518" s="855"/>
      <c r="CC518" s="855"/>
      <c r="CD518" s="855"/>
      <c r="CE518" s="855">
        <f>'[10]bieu cu'!M223</f>
        <v>3248</v>
      </c>
      <c r="CF518" s="848"/>
      <c r="CG518" s="848"/>
      <c r="CH518" s="848"/>
      <c r="CI518" s="848"/>
      <c r="CJ518" s="848"/>
      <c r="CK518" s="848"/>
      <c r="CL518" s="848"/>
      <c r="CM518" s="848"/>
      <c r="CN518" s="848"/>
      <c r="CO518" s="848"/>
      <c r="CP518" s="848"/>
      <c r="CQ518" s="848"/>
      <c r="CR518" s="848"/>
      <c r="CS518" s="848"/>
      <c r="CT518" s="848"/>
      <c r="CU518" s="848"/>
      <c r="CV518" s="848"/>
      <c r="CW518" s="848">
        <f t="shared" si="426"/>
        <v>100</v>
      </c>
    </row>
    <row r="519" spans="1:101" s="851" customFormat="1" ht="29.45" customHeight="1">
      <c r="A519" s="845" t="s">
        <v>577</v>
      </c>
      <c r="B519" s="845"/>
      <c r="C519" s="857" t="s">
        <v>693</v>
      </c>
      <c r="D519" s="846">
        <f>D520+D522</f>
        <v>0</v>
      </c>
      <c r="E519" s="845">
        <f t="shared" ref="E519:CD519" si="479">E520+E522</f>
        <v>0</v>
      </c>
      <c r="F519" s="847"/>
      <c r="G519" s="845"/>
      <c r="H519" s="850">
        <f t="shared" si="439"/>
        <v>9710</v>
      </c>
      <c r="I519" s="848">
        <f>I520+I522</f>
        <v>0</v>
      </c>
      <c r="J519" s="848">
        <f t="shared" ref="J519:S519" si="480">J520+J522</f>
        <v>0</v>
      </c>
      <c r="K519" s="848">
        <f t="shared" si="480"/>
        <v>825</v>
      </c>
      <c r="L519" s="848">
        <f t="shared" si="480"/>
        <v>0</v>
      </c>
      <c r="M519" s="848">
        <f t="shared" si="480"/>
        <v>0</v>
      </c>
      <c r="N519" s="848">
        <f t="shared" si="480"/>
        <v>0</v>
      </c>
      <c r="O519" s="848">
        <f t="shared" si="480"/>
        <v>0</v>
      </c>
      <c r="P519" s="848">
        <f t="shared" si="480"/>
        <v>0</v>
      </c>
      <c r="Q519" s="848">
        <f t="shared" si="480"/>
        <v>0</v>
      </c>
      <c r="R519" s="848">
        <v>1180</v>
      </c>
      <c r="S519" s="848">
        <f t="shared" si="480"/>
        <v>7705</v>
      </c>
      <c r="T519" s="855">
        <f t="shared" si="431"/>
        <v>812</v>
      </c>
      <c r="U519" s="848">
        <f t="shared" ref="U519:AH519" si="481">U520+U522</f>
        <v>0</v>
      </c>
      <c r="V519" s="848"/>
      <c r="W519" s="848">
        <f t="shared" si="481"/>
        <v>0</v>
      </c>
      <c r="X519" s="848">
        <f t="shared" si="481"/>
        <v>812</v>
      </c>
      <c r="Y519" s="848">
        <f t="shared" si="481"/>
        <v>0</v>
      </c>
      <c r="Z519" s="848">
        <f t="shared" si="481"/>
        <v>0</v>
      </c>
      <c r="AA519" s="848">
        <f t="shared" si="481"/>
        <v>0</v>
      </c>
      <c r="AB519" s="848">
        <f t="shared" si="481"/>
        <v>0</v>
      </c>
      <c r="AC519" s="848">
        <f t="shared" si="481"/>
        <v>0</v>
      </c>
      <c r="AD519" s="848">
        <f t="shared" si="481"/>
        <v>0</v>
      </c>
      <c r="AE519" s="848"/>
      <c r="AF519" s="848">
        <f t="shared" si="481"/>
        <v>0</v>
      </c>
      <c r="AG519" s="848">
        <f t="shared" si="481"/>
        <v>0</v>
      </c>
      <c r="AH519" s="848">
        <f t="shared" si="481"/>
        <v>0</v>
      </c>
      <c r="AI519" s="848">
        <f t="shared" si="479"/>
        <v>900</v>
      </c>
      <c r="AJ519" s="848">
        <f t="shared" si="479"/>
        <v>0</v>
      </c>
      <c r="AK519" s="848">
        <f t="shared" si="479"/>
        <v>0</v>
      </c>
      <c r="AL519" s="848">
        <f t="shared" si="479"/>
        <v>0</v>
      </c>
      <c r="AM519" s="848">
        <f t="shared" si="479"/>
        <v>900</v>
      </c>
      <c r="AN519" s="848">
        <f t="shared" si="479"/>
        <v>0</v>
      </c>
      <c r="AO519" s="848">
        <f t="shared" si="479"/>
        <v>0</v>
      </c>
      <c r="AP519" s="848">
        <f t="shared" si="479"/>
        <v>0</v>
      </c>
      <c r="AQ519" s="848">
        <f t="shared" si="479"/>
        <v>0</v>
      </c>
      <c r="AR519" s="848">
        <f t="shared" si="479"/>
        <v>0</v>
      </c>
      <c r="AS519" s="848"/>
      <c r="AT519" s="848">
        <f t="shared" si="479"/>
        <v>0</v>
      </c>
      <c r="AU519" s="848">
        <f t="shared" si="479"/>
        <v>0</v>
      </c>
      <c r="AV519" s="848">
        <f t="shared" si="479"/>
        <v>0</v>
      </c>
      <c r="AW519" s="848">
        <f t="shared" si="479"/>
        <v>0</v>
      </c>
      <c r="AX519" s="848">
        <f>AX520+AX522</f>
        <v>0</v>
      </c>
      <c r="AY519" s="848">
        <f t="shared" si="479"/>
        <v>13276</v>
      </c>
      <c r="AZ519" s="848">
        <f t="shared" si="479"/>
        <v>0</v>
      </c>
      <c r="BA519" s="848"/>
      <c r="BB519" s="848"/>
      <c r="BC519" s="848">
        <f t="shared" si="479"/>
        <v>0</v>
      </c>
      <c r="BD519" s="848">
        <f t="shared" si="479"/>
        <v>1656</v>
      </c>
      <c r="BE519" s="848"/>
      <c r="BF519" s="848">
        <f t="shared" si="479"/>
        <v>0</v>
      </c>
      <c r="BG519" s="848">
        <f t="shared" si="479"/>
        <v>10000</v>
      </c>
      <c r="BH519" s="848">
        <f t="shared" si="479"/>
        <v>0</v>
      </c>
      <c r="BI519" s="848">
        <f t="shared" si="479"/>
        <v>0</v>
      </c>
      <c r="BJ519" s="848">
        <f t="shared" si="479"/>
        <v>0</v>
      </c>
      <c r="BK519" s="848">
        <f t="shared" si="479"/>
        <v>0</v>
      </c>
      <c r="BL519" s="848">
        <f t="shared" si="479"/>
        <v>0</v>
      </c>
      <c r="BM519" s="848">
        <f t="shared" si="479"/>
        <v>0</v>
      </c>
      <c r="BN519" s="848">
        <f t="shared" si="479"/>
        <v>1620</v>
      </c>
      <c r="BO519" s="848">
        <f t="shared" si="421"/>
        <v>3399.0140000000001</v>
      </c>
      <c r="BP519" s="848">
        <f t="shared" si="479"/>
        <v>0</v>
      </c>
      <c r="BQ519" s="848"/>
      <c r="BR519" s="848"/>
      <c r="BS519" s="848">
        <f t="shared" si="479"/>
        <v>0</v>
      </c>
      <c r="BT519" s="848">
        <f t="shared" si="479"/>
        <v>1081.8969999999999</v>
      </c>
      <c r="BU519" s="848"/>
      <c r="BV519" s="848">
        <f t="shared" si="479"/>
        <v>0</v>
      </c>
      <c r="BW519" s="848">
        <f t="shared" si="479"/>
        <v>0</v>
      </c>
      <c r="BX519" s="848">
        <f t="shared" si="479"/>
        <v>0</v>
      </c>
      <c r="BY519" s="848">
        <f t="shared" si="479"/>
        <v>441.19099999999997</v>
      </c>
      <c r="BZ519" s="848">
        <f t="shared" si="479"/>
        <v>0</v>
      </c>
      <c r="CA519" s="848">
        <f t="shared" si="479"/>
        <v>0</v>
      </c>
      <c r="CB519" s="848">
        <f t="shared" si="479"/>
        <v>0</v>
      </c>
      <c r="CC519" s="848">
        <f t="shared" si="479"/>
        <v>0</v>
      </c>
      <c r="CD519" s="848">
        <f t="shared" si="479"/>
        <v>0</v>
      </c>
      <c r="CE519" s="848">
        <f>CE520+CE522</f>
        <v>1875.9259999999999</v>
      </c>
      <c r="CF519" s="848">
        <f t="shared" ref="CF519:CF524" si="482">BO519/AY519%</f>
        <v>25.602696595360051</v>
      </c>
      <c r="CG519" s="848"/>
      <c r="CH519" s="848"/>
      <c r="CI519" s="848"/>
      <c r="CJ519" s="848"/>
      <c r="CK519" s="848">
        <f t="shared" si="423"/>
        <v>65.331944444444446</v>
      </c>
      <c r="CL519" s="848"/>
      <c r="CM519" s="848"/>
      <c r="CN519" s="848"/>
      <c r="CO519" s="848"/>
      <c r="CP519" s="848"/>
      <c r="CQ519" s="848"/>
      <c r="CR519" s="848"/>
      <c r="CS519" s="848"/>
      <c r="CT519" s="848"/>
      <c r="CU519" s="848"/>
      <c r="CV519" s="848"/>
      <c r="CW519" s="848">
        <f t="shared" si="426"/>
        <v>115.7979012345679</v>
      </c>
    </row>
    <row r="520" spans="1:101" s="851" customFormat="1" ht="21.6" customHeight="1">
      <c r="A520" s="845"/>
      <c r="B520" s="845"/>
      <c r="C520" s="857" t="s">
        <v>1185</v>
      </c>
      <c r="D520" s="846">
        <f>D521</f>
        <v>0</v>
      </c>
      <c r="E520" s="845">
        <f t="shared" ref="E520:CE520" si="483">E521</f>
        <v>0</v>
      </c>
      <c r="F520" s="847"/>
      <c r="G520" s="845"/>
      <c r="H520" s="850">
        <f t="shared" si="439"/>
        <v>825</v>
      </c>
      <c r="I520" s="848">
        <f t="shared" si="483"/>
        <v>0</v>
      </c>
      <c r="J520" s="848">
        <f t="shared" si="483"/>
        <v>0</v>
      </c>
      <c r="K520" s="848">
        <f t="shared" si="483"/>
        <v>825</v>
      </c>
      <c r="L520" s="848">
        <f t="shared" si="483"/>
        <v>0</v>
      </c>
      <c r="M520" s="848">
        <f t="shared" si="483"/>
        <v>0</v>
      </c>
      <c r="N520" s="848">
        <f t="shared" si="483"/>
        <v>0</v>
      </c>
      <c r="O520" s="848">
        <f t="shared" si="483"/>
        <v>0</v>
      </c>
      <c r="P520" s="848">
        <f t="shared" si="483"/>
        <v>0</v>
      </c>
      <c r="Q520" s="848">
        <f t="shared" si="483"/>
        <v>0</v>
      </c>
      <c r="R520" s="848">
        <v>0</v>
      </c>
      <c r="S520" s="848">
        <f t="shared" si="483"/>
        <v>0</v>
      </c>
      <c r="T520" s="855">
        <f t="shared" si="431"/>
        <v>750</v>
      </c>
      <c r="U520" s="848">
        <f t="shared" ref="U520:AH520" si="484">U521</f>
        <v>0</v>
      </c>
      <c r="V520" s="848">
        <f t="shared" si="484"/>
        <v>0</v>
      </c>
      <c r="W520" s="848">
        <f t="shared" si="484"/>
        <v>0</v>
      </c>
      <c r="X520" s="848">
        <f t="shared" si="484"/>
        <v>750</v>
      </c>
      <c r="Y520" s="848">
        <f t="shared" si="484"/>
        <v>0</v>
      </c>
      <c r="Z520" s="848">
        <f t="shared" si="484"/>
        <v>0</v>
      </c>
      <c r="AA520" s="848">
        <f t="shared" si="484"/>
        <v>0</v>
      </c>
      <c r="AB520" s="848">
        <f t="shared" si="484"/>
        <v>0</v>
      </c>
      <c r="AC520" s="848">
        <f t="shared" si="484"/>
        <v>0</v>
      </c>
      <c r="AD520" s="848"/>
      <c r="AE520" s="848"/>
      <c r="AF520" s="848">
        <f t="shared" si="484"/>
        <v>0</v>
      </c>
      <c r="AG520" s="848">
        <f t="shared" si="484"/>
        <v>0</v>
      </c>
      <c r="AH520" s="848">
        <f t="shared" si="484"/>
        <v>0</v>
      </c>
      <c r="AI520" s="848">
        <f t="shared" si="483"/>
        <v>400</v>
      </c>
      <c r="AJ520" s="848">
        <f t="shared" si="483"/>
        <v>0</v>
      </c>
      <c r="AK520" s="848">
        <f t="shared" si="483"/>
        <v>0</v>
      </c>
      <c r="AL520" s="848">
        <f t="shared" si="483"/>
        <v>0</v>
      </c>
      <c r="AM520" s="848">
        <f t="shared" si="483"/>
        <v>400</v>
      </c>
      <c r="AN520" s="848">
        <f t="shared" si="483"/>
        <v>0</v>
      </c>
      <c r="AO520" s="848">
        <f t="shared" si="483"/>
        <v>0</v>
      </c>
      <c r="AP520" s="848">
        <f t="shared" si="483"/>
        <v>0</v>
      </c>
      <c r="AQ520" s="848">
        <f t="shared" si="483"/>
        <v>0</v>
      </c>
      <c r="AR520" s="848">
        <f t="shared" si="483"/>
        <v>0</v>
      </c>
      <c r="AS520" s="848"/>
      <c r="AT520" s="848">
        <f t="shared" si="483"/>
        <v>0</v>
      </c>
      <c r="AU520" s="848">
        <f t="shared" si="483"/>
        <v>0</v>
      </c>
      <c r="AV520" s="848">
        <f t="shared" si="483"/>
        <v>0</v>
      </c>
      <c r="AW520" s="848">
        <f t="shared" si="483"/>
        <v>0</v>
      </c>
      <c r="AX520" s="848">
        <f>AX521</f>
        <v>0</v>
      </c>
      <c r="AY520" s="848">
        <f t="shared" si="483"/>
        <v>27</v>
      </c>
      <c r="AZ520" s="848">
        <f t="shared" si="483"/>
        <v>0</v>
      </c>
      <c r="BA520" s="848"/>
      <c r="BB520" s="848"/>
      <c r="BC520" s="848">
        <f t="shared" si="483"/>
        <v>0</v>
      </c>
      <c r="BD520" s="848">
        <f t="shared" si="483"/>
        <v>27</v>
      </c>
      <c r="BE520" s="848"/>
      <c r="BF520" s="848">
        <f t="shared" si="483"/>
        <v>0</v>
      </c>
      <c r="BG520" s="848">
        <f t="shared" si="483"/>
        <v>0</v>
      </c>
      <c r="BH520" s="848">
        <f t="shared" si="483"/>
        <v>0</v>
      </c>
      <c r="BI520" s="848">
        <f t="shared" si="483"/>
        <v>0</v>
      </c>
      <c r="BJ520" s="848">
        <f t="shared" si="483"/>
        <v>0</v>
      </c>
      <c r="BK520" s="848">
        <f t="shared" si="483"/>
        <v>0</v>
      </c>
      <c r="BL520" s="848">
        <f t="shared" si="483"/>
        <v>0</v>
      </c>
      <c r="BM520" s="848">
        <f t="shared" si="483"/>
        <v>0</v>
      </c>
      <c r="BN520" s="848">
        <f t="shared" si="483"/>
        <v>0</v>
      </c>
      <c r="BO520" s="848">
        <f t="shared" si="421"/>
        <v>27</v>
      </c>
      <c r="BP520" s="848">
        <f t="shared" si="483"/>
        <v>0</v>
      </c>
      <c r="BQ520" s="848"/>
      <c r="BR520" s="848"/>
      <c r="BS520" s="848">
        <f t="shared" si="483"/>
        <v>0</v>
      </c>
      <c r="BT520" s="848">
        <f t="shared" si="483"/>
        <v>27</v>
      </c>
      <c r="BU520" s="848"/>
      <c r="BV520" s="848">
        <f t="shared" si="483"/>
        <v>0</v>
      </c>
      <c r="BW520" s="848">
        <f t="shared" si="483"/>
        <v>0</v>
      </c>
      <c r="BX520" s="848">
        <f t="shared" si="483"/>
        <v>0</v>
      </c>
      <c r="BY520" s="848">
        <f t="shared" si="483"/>
        <v>0</v>
      </c>
      <c r="BZ520" s="848">
        <f t="shared" si="483"/>
        <v>0</v>
      </c>
      <c r="CA520" s="848">
        <f t="shared" si="483"/>
        <v>0</v>
      </c>
      <c r="CB520" s="848">
        <f t="shared" si="483"/>
        <v>0</v>
      </c>
      <c r="CC520" s="848">
        <f t="shared" si="483"/>
        <v>0</v>
      </c>
      <c r="CD520" s="848">
        <f t="shared" si="483"/>
        <v>0</v>
      </c>
      <c r="CE520" s="848">
        <f t="shared" si="483"/>
        <v>0</v>
      </c>
      <c r="CF520" s="848">
        <f t="shared" si="482"/>
        <v>100</v>
      </c>
      <c r="CG520" s="848"/>
      <c r="CH520" s="848"/>
      <c r="CI520" s="848"/>
      <c r="CJ520" s="848"/>
      <c r="CK520" s="848">
        <f t="shared" si="423"/>
        <v>100</v>
      </c>
      <c r="CL520" s="848"/>
      <c r="CM520" s="848"/>
      <c r="CN520" s="848"/>
      <c r="CO520" s="848"/>
      <c r="CP520" s="848"/>
      <c r="CQ520" s="848"/>
      <c r="CR520" s="848"/>
      <c r="CS520" s="848"/>
      <c r="CT520" s="848"/>
      <c r="CU520" s="848"/>
      <c r="CV520" s="848"/>
      <c r="CW520" s="848"/>
    </row>
    <row r="521" spans="1:101" s="851" customFormat="1" ht="23.45" customHeight="1">
      <c r="A521" s="845"/>
      <c r="B521" s="852" t="s">
        <v>693</v>
      </c>
      <c r="C521" s="852" t="s">
        <v>1186</v>
      </c>
      <c r="D521" s="846"/>
      <c r="E521" s="845"/>
      <c r="F521" s="847"/>
      <c r="G521" s="845"/>
      <c r="H521" s="850">
        <f t="shared" si="439"/>
        <v>825</v>
      </c>
      <c r="I521" s="855"/>
      <c r="J521" s="855"/>
      <c r="K521" s="855">
        <v>825</v>
      </c>
      <c r="L521" s="848"/>
      <c r="M521" s="848"/>
      <c r="N521" s="848"/>
      <c r="O521" s="848"/>
      <c r="P521" s="848"/>
      <c r="Q521" s="848"/>
      <c r="R521" s="848"/>
      <c r="S521" s="848"/>
      <c r="T521" s="855">
        <f t="shared" si="431"/>
        <v>750</v>
      </c>
      <c r="U521" s="848"/>
      <c r="V521" s="848"/>
      <c r="W521" s="848"/>
      <c r="X521" s="855">
        <v>750</v>
      </c>
      <c r="Y521" s="848"/>
      <c r="Z521" s="848"/>
      <c r="AA521" s="848"/>
      <c r="AB521" s="848"/>
      <c r="AC521" s="848"/>
      <c r="AD521" s="848"/>
      <c r="AE521" s="848"/>
      <c r="AF521" s="848"/>
      <c r="AG521" s="848"/>
      <c r="AH521" s="848"/>
      <c r="AI521" s="848">
        <f>AM521</f>
        <v>400</v>
      </c>
      <c r="AJ521" s="848"/>
      <c r="AK521" s="848"/>
      <c r="AL521" s="848"/>
      <c r="AM521" s="848">
        <v>400</v>
      </c>
      <c r="AN521" s="848"/>
      <c r="AO521" s="848"/>
      <c r="AP521" s="848"/>
      <c r="AQ521" s="848"/>
      <c r="AR521" s="848"/>
      <c r="AS521" s="848"/>
      <c r="AT521" s="848"/>
      <c r="AU521" s="848"/>
      <c r="AV521" s="848"/>
      <c r="AW521" s="848"/>
      <c r="AX521" s="855"/>
      <c r="AY521" s="855">
        <f t="shared" ref="AY521" si="485">SUM(AZ521:BN521)</f>
        <v>27</v>
      </c>
      <c r="AZ521" s="848"/>
      <c r="BA521" s="848"/>
      <c r="BB521" s="848"/>
      <c r="BC521" s="848"/>
      <c r="BD521" s="848">
        <f>'[10]bieu cu'!H234</f>
        <v>27</v>
      </c>
      <c r="BE521" s="848"/>
      <c r="BF521" s="848"/>
      <c r="BG521" s="848"/>
      <c r="BH521" s="848"/>
      <c r="BI521" s="848"/>
      <c r="BJ521" s="848"/>
      <c r="BK521" s="848"/>
      <c r="BL521" s="848"/>
      <c r="BM521" s="848"/>
      <c r="BN521" s="848"/>
      <c r="BO521" s="848">
        <f t="shared" si="421"/>
        <v>27</v>
      </c>
      <c r="BP521" s="848"/>
      <c r="BQ521" s="848"/>
      <c r="BR521" s="848"/>
      <c r="BS521" s="848"/>
      <c r="BT521" s="855">
        <f>'[10]bieu cu'!M234</f>
        <v>27</v>
      </c>
      <c r="BU521" s="848"/>
      <c r="BV521" s="848"/>
      <c r="BW521" s="848"/>
      <c r="BX521" s="848"/>
      <c r="BY521" s="848"/>
      <c r="BZ521" s="848"/>
      <c r="CA521" s="848"/>
      <c r="CB521" s="848"/>
      <c r="CC521" s="848"/>
      <c r="CD521" s="848"/>
      <c r="CE521" s="848"/>
      <c r="CF521" s="848">
        <f t="shared" si="482"/>
        <v>100</v>
      </c>
      <c r="CG521" s="848"/>
      <c r="CH521" s="848"/>
      <c r="CI521" s="848"/>
      <c r="CJ521" s="848"/>
      <c r="CK521" s="848">
        <f t="shared" si="423"/>
        <v>100</v>
      </c>
      <c r="CL521" s="848"/>
      <c r="CM521" s="848"/>
      <c r="CN521" s="848"/>
      <c r="CO521" s="848"/>
      <c r="CP521" s="848"/>
      <c r="CQ521" s="848"/>
      <c r="CR521" s="848"/>
      <c r="CS521" s="848"/>
      <c r="CT521" s="848"/>
      <c r="CU521" s="848"/>
      <c r="CV521" s="848"/>
      <c r="CW521" s="848"/>
    </row>
    <row r="522" spans="1:101" s="851" customFormat="1" ht="24.6" customHeight="1">
      <c r="A522" s="845"/>
      <c r="B522" s="845"/>
      <c r="C522" s="857" t="s">
        <v>508</v>
      </c>
      <c r="D522" s="846">
        <f>D523+D524+D526</f>
        <v>0</v>
      </c>
      <c r="E522" s="845">
        <f t="shared" ref="E522:CD522" si="486">E523+E524+E526</f>
        <v>0</v>
      </c>
      <c r="F522" s="847"/>
      <c r="G522" s="845"/>
      <c r="H522" s="850">
        <f t="shared" si="439"/>
        <v>8885</v>
      </c>
      <c r="I522" s="848">
        <f t="shared" ref="I522:AW522" si="487">I523+I524+I526</f>
        <v>0</v>
      </c>
      <c r="J522" s="848">
        <f t="shared" si="487"/>
        <v>0</v>
      </c>
      <c r="K522" s="848">
        <f t="shared" si="487"/>
        <v>0</v>
      </c>
      <c r="L522" s="848">
        <f t="shared" si="487"/>
        <v>0</v>
      </c>
      <c r="M522" s="848">
        <f t="shared" si="487"/>
        <v>0</v>
      </c>
      <c r="N522" s="848">
        <f t="shared" si="487"/>
        <v>0</v>
      </c>
      <c r="O522" s="848">
        <f t="shared" si="487"/>
        <v>0</v>
      </c>
      <c r="P522" s="848">
        <f t="shared" si="487"/>
        <v>0</v>
      </c>
      <c r="Q522" s="848">
        <f t="shared" si="487"/>
        <v>0</v>
      </c>
      <c r="R522" s="848">
        <v>1180</v>
      </c>
      <c r="S522" s="848">
        <f t="shared" si="487"/>
        <v>7705</v>
      </c>
      <c r="T522" s="855">
        <f t="shared" si="431"/>
        <v>62</v>
      </c>
      <c r="U522" s="848">
        <f t="shared" ref="U522:AH522" si="488">U523+U524+U526</f>
        <v>0</v>
      </c>
      <c r="V522" s="848">
        <f t="shared" si="488"/>
        <v>0</v>
      </c>
      <c r="W522" s="848">
        <f t="shared" si="488"/>
        <v>0</v>
      </c>
      <c r="X522" s="848">
        <f t="shared" si="488"/>
        <v>62</v>
      </c>
      <c r="Y522" s="848">
        <f t="shared" si="488"/>
        <v>0</v>
      </c>
      <c r="Z522" s="848">
        <f t="shared" si="488"/>
        <v>0</v>
      </c>
      <c r="AA522" s="848">
        <f t="shared" si="488"/>
        <v>0</v>
      </c>
      <c r="AB522" s="848">
        <f t="shared" si="488"/>
        <v>0</v>
      </c>
      <c r="AC522" s="848">
        <f t="shared" si="488"/>
        <v>0</v>
      </c>
      <c r="AD522" s="848"/>
      <c r="AE522" s="848"/>
      <c r="AF522" s="848">
        <f t="shared" si="488"/>
        <v>0</v>
      </c>
      <c r="AG522" s="848">
        <f t="shared" si="488"/>
        <v>0</v>
      </c>
      <c r="AH522" s="848">
        <f t="shared" si="488"/>
        <v>0</v>
      </c>
      <c r="AI522" s="848">
        <f t="shared" si="487"/>
        <v>500</v>
      </c>
      <c r="AJ522" s="848">
        <f t="shared" si="487"/>
        <v>0</v>
      </c>
      <c r="AK522" s="848">
        <f t="shared" si="487"/>
        <v>0</v>
      </c>
      <c r="AL522" s="848">
        <f t="shared" si="487"/>
        <v>0</v>
      </c>
      <c r="AM522" s="848">
        <f t="shared" si="487"/>
        <v>500</v>
      </c>
      <c r="AN522" s="848">
        <f t="shared" si="487"/>
        <v>0</v>
      </c>
      <c r="AO522" s="848">
        <f t="shared" si="487"/>
        <v>0</v>
      </c>
      <c r="AP522" s="848">
        <f t="shared" si="487"/>
        <v>0</v>
      </c>
      <c r="AQ522" s="848">
        <f t="shared" si="487"/>
        <v>0</v>
      </c>
      <c r="AR522" s="848">
        <f t="shared" si="487"/>
        <v>0</v>
      </c>
      <c r="AS522" s="848"/>
      <c r="AT522" s="848">
        <f t="shared" si="487"/>
        <v>0</v>
      </c>
      <c r="AU522" s="848">
        <f t="shared" si="487"/>
        <v>0</v>
      </c>
      <c r="AV522" s="848">
        <f t="shared" si="487"/>
        <v>0</v>
      </c>
      <c r="AW522" s="848">
        <f t="shared" si="487"/>
        <v>0</v>
      </c>
      <c r="AX522" s="848">
        <f>AX523+AX524+AX526</f>
        <v>0</v>
      </c>
      <c r="AY522" s="848">
        <f t="shared" si="486"/>
        <v>13249</v>
      </c>
      <c r="AZ522" s="848">
        <f t="shared" si="486"/>
        <v>0</v>
      </c>
      <c r="BA522" s="848">
        <f t="shared" si="486"/>
        <v>0</v>
      </c>
      <c r="BB522" s="848">
        <f t="shared" si="486"/>
        <v>0</v>
      </c>
      <c r="BC522" s="848">
        <f t="shared" si="486"/>
        <v>0</v>
      </c>
      <c r="BD522" s="848">
        <f t="shared" si="486"/>
        <v>1629</v>
      </c>
      <c r="BE522" s="848">
        <f t="shared" si="486"/>
        <v>0</v>
      </c>
      <c r="BF522" s="848">
        <f t="shared" si="486"/>
        <v>0</v>
      </c>
      <c r="BG522" s="848">
        <f t="shared" si="486"/>
        <v>10000</v>
      </c>
      <c r="BH522" s="848">
        <f t="shared" si="486"/>
        <v>0</v>
      </c>
      <c r="BI522" s="848">
        <f t="shared" si="486"/>
        <v>0</v>
      </c>
      <c r="BJ522" s="848">
        <f t="shared" si="486"/>
        <v>0</v>
      </c>
      <c r="BK522" s="848">
        <f t="shared" si="486"/>
        <v>0</v>
      </c>
      <c r="BL522" s="848">
        <f t="shared" si="486"/>
        <v>0</v>
      </c>
      <c r="BM522" s="848">
        <f t="shared" si="486"/>
        <v>0</v>
      </c>
      <c r="BN522" s="848">
        <f t="shared" si="486"/>
        <v>1620</v>
      </c>
      <c r="BO522" s="848">
        <f t="shared" si="421"/>
        <v>3372.0140000000001</v>
      </c>
      <c r="BP522" s="848">
        <f t="shared" si="486"/>
        <v>0</v>
      </c>
      <c r="BQ522" s="848">
        <f t="shared" si="486"/>
        <v>0</v>
      </c>
      <c r="BR522" s="848">
        <f t="shared" si="486"/>
        <v>0</v>
      </c>
      <c r="BS522" s="848">
        <f t="shared" si="486"/>
        <v>0</v>
      </c>
      <c r="BT522" s="848">
        <f t="shared" si="486"/>
        <v>1054.8969999999999</v>
      </c>
      <c r="BU522" s="848">
        <f t="shared" si="486"/>
        <v>0</v>
      </c>
      <c r="BV522" s="848">
        <f t="shared" si="486"/>
        <v>0</v>
      </c>
      <c r="BW522" s="848">
        <f t="shared" si="486"/>
        <v>0</v>
      </c>
      <c r="BX522" s="848">
        <f t="shared" si="486"/>
        <v>0</v>
      </c>
      <c r="BY522" s="848">
        <f t="shared" si="486"/>
        <v>441.19099999999997</v>
      </c>
      <c r="BZ522" s="848">
        <f t="shared" si="486"/>
        <v>0</v>
      </c>
      <c r="CA522" s="848">
        <f t="shared" si="486"/>
        <v>0</v>
      </c>
      <c r="CB522" s="848">
        <f t="shared" si="486"/>
        <v>0</v>
      </c>
      <c r="CC522" s="848">
        <f t="shared" si="486"/>
        <v>0</v>
      </c>
      <c r="CD522" s="848">
        <f t="shared" si="486"/>
        <v>0</v>
      </c>
      <c r="CE522" s="848">
        <f>CE523+CE524+CE526+CE525</f>
        <v>1875.9259999999999</v>
      </c>
      <c r="CF522" s="848">
        <f t="shared" si="482"/>
        <v>25.451083100611367</v>
      </c>
      <c r="CG522" s="848"/>
      <c r="CH522" s="848"/>
      <c r="CI522" s="848"/>
      <c r="CJ522" s="848"/>
      <c r="CK522" s="848">
        <f t="shared" si="423"/>
        <v>64.757335788827504</v>
      </c>
      <c r="CL522" s="848"/>
      <c r="CM522" s="848"/>
      <c r="CN522" s="848">
        <f t="shared" si="423"/>
        <v>0</v>
      </c>
      <c r="CO522" s="848"/>
      <c r="CP522" s="848"/>
      <c r="CQ522" s="848"/>
      <c r="CR522" s="848"/>
      <c r="CS522" s="848"/>
      <c r="CT522" s="848"/>
      <c r="CU522" s="848"/>
      <c r="CV522" s="848"/>
      <c r="CW522" s="848">
        <f t="shared" si="426"/>
        <v>115.7979012345679</v>
      </c>
    </row>
    <row r="523" spans="1:101" ht="22.15" customHeight="1">
      <c r="A523" s="845"/>
      <c r="B523" s="852" t="s">
        <v>693</v>
      </c>
      <c r="C523" s="852" t="s">
        <v>1187</v>
      </c>
      <c r="D523" s="846"/>
      <c r="E523" s="845"/>
      <c r="F523" s="853" t="s">
        <v>1188</v>
      </c>
      <c r="G523" s="846" t="s">
        <v>1189</v>
      </c>
      <c r="H523" s="850">
        <f t="shared" si="439"/>
        <v>1870</v>
      </c>
      <c r="I523" s="860"/>
      <c r="J523" s="848"/>
      <c r="K523" s="848"/>
      <c r="L523" s="848"/>
      <c r="M523" s="848"/>
      <c r="N523" s="848"/>
      <c r="O523" s="848"/>
      <c r="P523" s="848"/>
      <c r="Q523" s="848"/>
      <c r="R523" s="848"/>
      <c r="S523" s="855">
        <v>1870</v>
      </c>
      <c r="T523" s="855">
        <f t="shared" si="431"/>
        <v>62</v>
      </c>
      <c r="U523" s="848"/>
      <c r="V523" s="848"/>
      <c r="W523" s="848"/>
      <c r="X523" s="855">
        <v>62</v>
      </c>
      <c r="Y523" s="848"/>
      <c r="Z523" s="848"/>
      <c r="AA523" s="848"/>
      <c r="AB523" s="848"/>
      <c r="AC523" s="848"/>
      <c r="AD523" s="848"/>
      <c r="AE523" s="848"/>
      <c r="AF523" s="848"/>
      <c r="AG523" s="848"/>
      <c r="AH523" s="855"/>
      <c r="AI523" s="855">
        <f>AM523</f>
        <v>500</v>
      </c>
      <c r="AJ523" s="855"/>
      <c r="AK523" s="855"/>
      <c r="AL523" s="855"/>
      <c r="AM523" s="855">
        <v>500</v>
      </c>
      <c r="AN523" s="855"/>
      <c r="AO523" s="855"/>
      <c r="AP523" s="855"/>
      <c r="AQ523" s="855"/>
      <c r="AR523" s="855"/>
      <c r="AS523" s="855"/>
      <c r="AT523" s="855"/>
      <c r="AU523" s="855"/>
      <c r="AV523" s="855"/>
      <c r="AW523" s="855"/>
      <c r="AX523" s="855"/>
      <c r="AY523" s="855">
        <f t="shared" ref="AY523:AY526" si="489">SUM(AZ523:BN523)</f>
        <v>11000</v>
      </c>
      <c r="AZ523" s="855"/>
      <c r="BA523" s="855"/>
      <c r="BB523" s="855"/>
      <c r="BC523" s="855"/>
      <c r="BD523" s="855">
        <f>'[10]bieu cu'!H238</f>
        <v>1000</v>
      </c>
      <c r="BE523" s="855"/>
      <c r="BF523" s="855"/>
      <c r="BG523" s="855">
        <v>10000</v>
      </c>
      <c r="BH523" s="855"/>
      <c r="BI523" s="855"/>
      <c r="BJ523" s="855"/>
      <c r="BK523" s="855"/>
      <c r="BL523" s="855"/>
      <c r="BM523" s="855"/>
      <c r="BN523" s="855"/>
      <c r="BO523" s="848">
        <f t="shared" ref="BO523:BO578" si="490">SUM(BP523:CE523)</f>
        <v>1441.191</v>
      </c>
      <c r="BP523" s="855"/>
      <c r="BQ523" s="855"/>
      <c r="BR523" s="855"/>
      <c r="BS523" s="855"/>
      <c r="BT523" s="855">
        <f>'[10]bieu cu'!M238</f>
        <v>1000</v>
      </c>
      <c r="BU523" s="855"/>
      <c r="BV523" s="855"/>
      <c r="BW523" s="855"/>
      <c r="BX523" s="855"/>
      <c r="BY523" s="855">
        <v>441.19099999999997</v>
      </c>
      <c r="BZ523" s="855"/>
      <c r="CA523" s="855"/>
      <c r="CB523" s="855"/>
      <c r="CC523" s="855"/>
      <c r="CD523" s="855"/>
      <c r="CE523" s="855"/>
      <c r="CF523" s="848">
        <f t="shared" si="482"/>
        <v>13.101736363636364</v>
      </c>
      <c r="CG523" s="848"/>
      <c r="CH523" s="848"/>
      <c r="CI523" s="848"/>
      <c r="CJ523" s="848"/>
      <c r="CK523" s="848">
        <f t="shared" ref="CK523:CN523" si="491">BT523/BD523*100</f>
        <v>100</v>
      </c>
      <c r="CL523" s="848"/>
      <c r="CM523" s="848"/>
      <c r="CN523" s="848">
        <f t="shared" si="491"/>
        <v>0</v>
      </c>
      <c r="CO523" s="848"/>
      <c r="CP523" s="848"/>
      <c r="CQ523" s="848"/>
      <c r="CR523" s="848"/>
      <c r="CS523" s="848"/>
      <c r="CT523" s="848"/>
      <c r="CU523" s="848"/>
      <c r="CV523" s="848"/>
      <c r="CW523" s="848"/>
    </row>
    <row r="524" spans="1:101" ht="45.6" customHeight="1">
      <c r="A524" s="845"/>
      <c r="B524" s="852" t="s">
        <v>693</v>
      </c>
      <c r="C524" s="852" t="s">
        <v>1190</v>
      </c>
      <c r="D524" s="846"/>
      <c r="E524" s="845"/>
      <c r="F524" s="853" t="s">
        <v>544</v>
      </c>
      <c r="G524" s="846" t="s">
        <v>1166</v>
      </c>
      <c r="H524" s="850">
        <f t="shared" si="439"/>
        <v>5819</v>
      </c>
      <c r="I524" s="850"/>
      <c r="J524" s="848"/>
      <c r="K524" s="848"/>
      <c r="L524" s="848"/>
      <c r="M524" s="848"/>
      <c r="N524" s="848"/>
      <c r="O524" s="848"/>
      <c r="P524" s="848"/>
      <c r="Q524" s="848"/>
      <c r="R524" s="855">
        <v>1180</v>
      </c>
      <c r="S524" s="855">
        <v>4639</v>
      </c>
      <c r="T524" s="855">
        <f t="shared" si="431"/>
        <v>0</v>
      </c>
      <c r="U524" s="848"/>
      <c r="V524" s="848"/>
      <c r="W524" s="848"/>
      <c r="X524" s="848"/>
      <c r="Y524" s="848"/>
      <c r="Z524" s="848"/>
      <c r="AA524" s="848"/>
      <c r="AB524" s="848"/>
      <c r="AC524" s="848"/>
      <c r="AD524" s="848"/>
      <c r="AE524" s="848"/>
      <c r="AF524" s="848"/>
      <c r="AG524" s="848"/>
      <c r="AH524" s="855"/>
      <c r="AI524" s="855"/>
      <c r="AJ524" s="855"/>
      <c r="AK524" s="855"/>
      <c r="AL524" s="855"/>
      <c r="AM524" s="855"/>
      <c r="AN524" s="855"/>
      <c r="AO524" s="855"/>
      <c r="AP524" s="855"/>
      <c r="AQ524" s="855"/>
      <c r="AR524" s="855"/>
      <c r="AS524" s="855"/>
      <c r="AT524" s="855"/>
      <c r="AU524" s="855"/>
      <c r="AV524" s="855"/>
      <c r="AW524" s="855"/>
      <c r="AX524" s="855"/>
      <c r="AY524" s="855">
        <f t="shared" si="489"/>
        <v>1620</v>
      </c>
      <c r="AZ524" s="855"/>
      <c r="BA524" s="855"/>
      <c r="BB524" s="855"/>
      <c r="BC524" s="855"/>
      <c r="BD524" s="855"/>
      <c r="BE524" s="855"/>
      <c r="BF524" s="855"/>
      <c r="BG524" s="855"/>
      <c r="BH524" s="855"/>
      <c r="BI524" s="855"/>
      <c r="BJ524" s="855"/>
      <c r="BK524" s="855"/>
      <c r="BL524" s="855"/>
      <c r="BM524" s="855"/>
      <c r="BN524" s="855">
        <v>1620</v>
      </c>
      <c r="BO524" s="848">
        <f t="shared" si="490"/>
        <v>940.92600000000004</v>
      </c>
      <c r="BP524" s="855"/>
      <c r="BQ524" s="855"/>
      <c r="BR524" s="855"/>
      <c r="BS524" s="855"/>
      <c r="BT524" s="855"/>
      <c r="BU524" s="855"/>
      <c r="BV524" s="855"/>
      <c r="BW524" s="855"/>
      <c r="BX524" s="855"/>
      <c r="BY524" s="855"/>
      <c r="BZ524" s="855"/>
      <c r="CA524" s="855"/>
      <c r="CB524" s="855"/>
      <c r="CC524" s="855"/>
      <c r="CD524" s="855"/>
      <c r="CE524" s="855">
        <v>940.92600000000004</v>
      </c>
      <c r="CF524" s="848">
        <f t="shared" si="482"/>
        <v>58.081851851851859</v>
      </c>
      <c r="CG524" s="848"/>
      <c r="CH524" s="848"/>
      <c r="CI524" s="848"/>
      <c r="CJ524" s="848"/>
      <c r="CK524" s="848"/>
      <c r="CL524" s="848"/>
      <c r="CM524" s="848"/>
      <c r="CN524" s="848"/>
      <c r="CO524" s="848"/>
      <c r="CP524" s="848"/>
      <c r="CQ524" s="848"/>
      <c r="CR524" s="848"/>
      <c r="CS524" s="848"/>
      <c r="CT524" s="848"/>
      <c r="CU524" s="848"/>
      <c r="CV524" s="848"/>
      <c r="CW524" s="848">
        <f t="shared" ref="CW524:CW564" si="492">CE524/BN524*100</f>
        <v>58.081851851851852</v>
      </c>
    </row>
    <row r="525" spans="1:101" ht="30" customHeight="1">
      <c r="A525" s="845"/>
      <c r="B525" s="852" t="s">
        <v>693</v>
      </c>
      <c r="C525" s="852" t="s">
        <v>1191</v>
      </c>
      <c r="D525" s="846"/>
      <c r="E525" s="845"/>
      <c r="F525" s="847"/>
      <c r="G525" s="854" t="s">
        <v>1192</v>
      </c>
      <c r="H525" s="850">
        <f t="shared" si="439"/>
        <v>0</v>
      </c>
      <c r="I525" s="848"/>
      <c r="J525" s="848"/>
      <c r="K525" s="848"/>
      <c r="L525" s="848"/>
      <c r="M525" s="848"/>
      <c r="N525" s="848"/>
      <c r="O525" s="848"/>
      <c r="P525" s="848"/>
      <c r="Q525" s="848"/>
      <c r="R525" s="848"/>
      <c r="S525" s="848"/>
      <c r="T525" s="855">
        <f t="shared" si="431"/>
        <v>2000</v>
      </c>
      <c r="U525" s="848"/>
      <c r="V525" s="848"/>
      <c r="W525" s="848"/>
      <c r="X525" s="848"/>
      <c r="Y525" s="848"/>
      <c r="Z525" s="848"/>
      <c r="AA525" s="848"/>
      <c r="AB525" s="848"/>
      <c r="AC525" s="848"/>
      <c r="AD525" s="848"/>
      <c r="AE525" s="848"/>
      <c r="AF525" s="848"/>
      <c r="AG525" s="848"/>
      <c r="AH525" s="855">
        <v>2000</v>
      </c>
      <c r="AI525" s="855">
        <f>AX525</f>
        <v>2000</v>
      </c>
      <c r="AJ525" s="855"/>
      <c r="AK525" s="855"/>
      <c r="AL525" s="855"/>
      <c r="AM525" s="855"/>
      <c r="AN525" s="855"/>
      <c r="AO525" s="855"/>
      <c r="AP525" s="855"/>
      <c r="AQ525" s="855"/>
      <c r="AR525" s="855"/>
      <c r="AS525" s="855"/>
      <c r="AT525" s="855"/>
      <c r="AU525" s="855"/>
      <c r="AV525" s="855"/>
      <c r="AW525" s="855"/>
      <c r="AX525" s="855">
        <v>2000</v>
      </c>
      <c r="AY525" s="855">
        <f t="shared" si="489"/>
        <v>0</v>
      </c>
      <c r="AZ525" s="855"/>
      <c r="BA525" s="855"/>
      <c r="BB525" s="855"/>
      <c r="BC525" s="855"/>
      <c r="BD525" s="855"/>
      <c r="BE525" s="855"/>
      <c r="BF525" s="855"/>
      <c r="BG525" s="855"/>
      <c r="BH525" s="855"/>
      <c r="BI525" s="855"/>
      <c r="BJ525" s="855"/>
      <c r="BK525" s="855"/>
      <c r="BL525" s="855"/>
      <c r="BM525" s="855"/>
      <c r="BN525" s="855"/>
      <c r="BO525" s="848">
        <f t="shared" si="490"/>
        <v>935</v>
      </c>
      <c r="BP525" s="855"/>
      <c r="BQ525" s="855"/>
      <c r="BR525" s="855"/>
      <c r="BS525" s="855"/>
      <c r="BT525" s="855"/>
      <c r="BU525" s="855"/>
      <c r="BV525" s="855"/>
      <c r="BW525" s="855"/>
      <c r="BX525" s="855"/>
      <c r="BY525" s="855"/>
      <c r="BZ525" s="855"/>
      <c r="CA525" s="855"/>
      <c r="CB525" s="855"/>
      <c r="CC525" s="855"/>
      <c r="CD525" s="855"/>
      <c r="CE525" s="855">
        <v>935</v>
      </c>
      <c r="CF525" s="848"/>
      <c r="CG525" s="848"/>
      <c r="CH525" s="848"/>
      <c r="CI525" s="848"/>
      <c r="CJ525" s="848"/>
      <c r="CK525" s="848"/>
      <c r="CL525" s="848"/>
      <c r="CM525" s="848"/>
      <c r="CN525" s="848"/>
      <c r="CO525" s="848"/>
      <c r="CP525" s="848"/>
      <c r="CQ525" s="848"/>
      <c r="CR525" s="848"/>
      <c r="CS525" s="848"/>
      <c r="CT525" s="848"/>
      <c r="CU525" s="848"/>
      <c r="CV525" s="848"/>
      <c r="CW525" s="848"/>
    </row>
    <row r="526" spans="1:101" ht="30" customHeight="1">
      <c r="A526" s="845"/>
      <c r="B526" s="852" t="s">
        <v>693</v>
      </c>
      <c r="C526" s="852" t="s">
        <v>1193</v>
      </c>
      <c r="D526" s="846"/>
      <c r="E526" s="845"/>
      <c r="F526" s="853">
        <v>2017</v>
      </c>
      <c r="G526" s="846" t="s">
        <v>1194</v>
      </c>
      <c r="H526" s="850">
        <f t="shared" si="439"/>
        <v>1196</v>
      </c>
      <c r="I526" s="860"/>
      <c r="J526" s="848"/>
      <c r="K526" s="848"/>
      <c r="L526" s="848"/>
      <c r="M526" s="848"/>
      <c r="N526" s="848"/>
      <c r="O526" s="848"/>
      <c r="P526" s="848"/>
      <c r="Q526" s="848"/>
      <c r="R526" s="848"/>
      <c r="S526" s="855">
        <v>1196</v>
      </c>
      <c r="T526" s="855">
        <f t="shared" si="431"/>
        <v>0</v>
      </c>
      <c r="U526" s="848"/>
      <c r="V526" s="848"/>
      <c r="W526" s="848"/>
      <c r="X526" s="848"/>
      <c r="Y526" s="848"/>
      <c r="Z526" s="848"/>
      <c r="AA526" s="848"/>
      <c r="AB526" s="848"/>
      <c r="AC526" s="848"/>
      <c r="AD526" s="848"/>
      <c r="AE526" s="848"/>
      <c r="AF526" s="848"/>
      <c r="AG526" s="848"/>
      <c r="AH526" s="855"/>
      <c r="AI526" s="855"/>
      <c r="AJ526" s="855"/>
      <c r="AK526" s="855"/>
      <c r="AL526" s="855"/>
      <c r="AM526" s="855"/>
      <c r="AN526" s="855"/>
      <c r="AO526" s="855"/>
      <c r="AP526" s="855"/>
      <c r="AQ526" s="855"/>
      <c r="AR526" s="855"/>
      <c r="AS526" s="855"/>
      <c r="AT526" s="855"/>
      <c r="AU526" s="855"/>
      <c r="AV526" s="855"/>
      <c r="AW526" s="855"/>
      <c r="AX526" s="855"/>
      <c r="AY526" s="855">
        <f t="shared" si="489"/>
        <v>629</v>
      </c>
      <c r="AZ526" s="855"/>
      <c r="BA526" s="855"/>
      <c r="BB526" s="855"/>
      <c r="BC526" s="855"/>
      <c r="BD526" s="855">
        <f>'[10]bieu cu'!H241</f>
        <v>629</v>
      </c>
      <c r="BE526" s="855"/>
      <c r="BF526" s="855"/>
      <c r="BG526" s="855"/>
      <c r="BH526" s="855"/>
      <c r="BI526" s="855"/>
      <c r="BJ526" s="855"/>
      <c r="BK526" s="855"/>
      <c r="BL526" s="855"/>
      <c r="BM526" s="855"/>
      <c r="BN526" s="855"/>
      <c r="BO526" s="848">
        <f t="shared" si="490"/>
        <v>54.896999999999998</v>
      </c>
      <c r="BP526" s="855"/>
      <c r="BQ526" s="855"/>
      <c r="BR526" s="855"/>
      <c r="BS526" s="855"/>
      <c r="BT526" s="855">
        <v>54.896999999999998</v>
      </c>
      <c r="BU526" s="855"/>
      <c r="BV526" s="855"/>
      <c r="BW526" s="855"/>
      <c r="BX526" s="855"/>
      <c r="BY526" s="855"/>
      <c r="BZ526" s="855"/>
      <c r="CA526" s="855"/>
      <c r="CB526" s="855"/>
      <c r="CC526" s="855"/>
      <c r="CD526" s="855"/>
      <c r="CE526" s="855"/>
      <c r="CF526" s="848">
        <f>BO526/AY526%</f>
        <v>8.7276629570747222</v>
      </c>
      <c r="CG526" s="848"/>
      <c r="CH526" s="848"/>
      <c r="CI526" s="848"/>
      <c r="CJ526" s="848"/>
      <c r="CK526" s="848">
        <f t="shared" ref="CJ526:CM578" si="493">BT526/BD526*100</f>
        <v>8.7276629570747222</v>
      </c>
      <c r="CL526" s="848"/>
      <c r="CM526" s="848"/>
      <c r="CN526" s="848"/>
      <c r="CO526" s="848"/>
      <c r="CP526" s="848"/>
      <c r="CQ526" s="848"/>
      <c r="CR526" s="848"/>
      <c r="CS526" s="848"/>
      <c r="CT526" s="848"/>
      <c r="CU526" s="848"/>
      <c r="CV526" s="848"/>
      <c r="CW526" s="848"/>
    </row>
    <row r="527" spans="1:101" s="851" customFormat="1" ht="32.450000000000003" customHeight="1">
      <c r="A527" s="845" t="s">
        <v>593</v>
      </c>
      <c r="B527" s="845"/>
      <c r="C527" s="857" t="s">
        <v>976</v>
      </c>
      <c r="D527" s="846">
        <f>D528</f>
        <v>0</v>
      </c>
      <c r="E527" s="845">
        <f t="shared" ref="E527:CE527" si="494">E528</f>
        <v>0</v>
      </c>
      <c r="F527" s="847"/>
      <c r="G527" s="845"/>
      <c r="H527" s="850">
        <f t="shared" si="439"/>
        <v>25234.931868</v>
      </c>
      <c r="I527" s="848">
        <f t="shared" si="494"/>
        <v>4830</v>
      </c>
      <c r="J527" s="848">
        <f t="shared" si="494"/>
        <v>0</v>
      </c>
      <c r="K527" s="848">
        <f t="shared" si="494"/>
        <v>0</v>
      </c>
      <c r="L527" s="848">
        <f t="shared" si="494"/>
        <v>0</v>
      </c>
      <c r="M527" s="848">
        <f t="shared" si="494"/>
        <v>0</v>
      </c>
      <c r="N527" s="848">
        <f t="shared" si="494"/>
        <v>0</v>
      </c>
      <c r="O527" s="848">
        <f t="shared" si="494"/>
        <v>0</v>
      </c>
      <c r="P527" s="848">
        <f t="shared" si="494"/>
        <v>0</v>
      </c>
      <c r="Q527" s="848">
        <f t="shared" si="494"/>
        <v>0</v>
      </c>
      <c r="R527" s="848">
        <v>0</v>
      </c>
      <c r="S527" s="848">
        <f t="shared" si="494"/>
        <v>20404.931868</v>
      </c>
      <c r="T527" s="848">
        <f t="shared" si="431"/>
        <v>8952.4619999999995</v>
      </c>
      <c r="U527" s="848">
        <f t="shared" ref="U527:AH527" si="495">U528</f>
        <v>6252.4620000000004</v>
      </c>
      <c r="V527" s="848">
        <f t="shared" si="495"/>
        <v>0</v>
      </c>
      <c r="W527" s="848">
        <f t="shared" si="495"/>
        <v>0</v>
      </c>
      <c r="X527" s="848">
        <f t="shared" si="495"/>
        <v>0</v>
      </c>
      <c r="Y527" s="848">
        <f t="shared" si="495"/>
        <v>0</v>
      </c>
      <c r="Z527" s="848">
        <f t="shared" si="495"/>
        <v>0</v>
      </c>
      <c r="AA527" s="848">
        <f t="shared" si="495"/>
        <v>0</v>
      </c>
      <c r="AB527" s="848">
        <f t="shared" si="495"/>
        <v>0</v>
      </c>
      <c r="AC527" s="848">
        <f t="shared" si="495"/>
        <v>0</v>
      </c>
      <c r="AD527" s="848"/>
      <c r="AE527" s="848"/>
      <c r="AF527" s="848">
        <f t="shared" si="495"/>
        <v>700</v>
      </c>
      <c r="AG527" s="848">
        <f t="shared" si="495"/>
        <v>0</v>
      </c>
      <c r="AH527" s="848">
        <f t="shared" si="495"/>
        <v>2000</v>
      </c>
      <c r="AI527" s="848">
        <f t="shared" si="494"/>
        <v>13516</v>
      </c>
      <c r="AJ527" s="848">
        <f t="shared" si="494"/>
        <v>11204</v>
      </c>
      <c r="AK527" s="848">
        <f t="shared" si="494"/>
        <v>0</v>
      </c>
      <c r="AL527" s="848">
        <f t="shared" si="494"/>
        <v>0</v>
      </c>
      <c r="AM527" s="848">
        <f t="shared" si="494"/>
        <v>0</v>
      </c>
      <c r="AN527" s="848">
        <f t="shared" si="494"/>
        <v>0</v>
      </c>
      <c r="AO527" s="848">
        <f t="shared" si="494"/>
        <v>0</v>
      </c>
      <c r="AP527" s="848">
        <f t="shared" si="494"/>
        <v>0</v>
      </c>
      <c r="AQ527" s="848">
        <f t="shared" si="494"/>
        <v>0</v>
      </c>
      <c r="AR527" s="848">
        <f t="shared" si="494"/>
        <v>0</v>
      </c>
      <c r="AS527" s="848"/>
      <c r="AT527" s="848">
        <f t="shared" si="494"/>
        <v>0</v>
      </c>
      <c r="AU527" s="848">
        <f t="shared" si="494"/>
        <v>0</v>
      </c>
      <c r="AV527" s="848">
        <f t="shared" si="494"/>
        <v>0</v>
      </c>
      <c r="AW527" s="848">
        <f t="shared" si="494"/>
        <v>0</v>
      </c>
      <c r="AX527" s="848">
        <f>AX528</f>
        <v>2312</v>
      </c>
      <c r="AY527" s="848">
        <f t="shared" si="494"/>
        <v>3811</v>
      </c>
      <c r="AZ527" s="848">
        <f t="shared" si="494"/>
        <v>0</v>
      </c>
      <c r="BA527" s="848"/>
      <c r="BB527" s="848"/>
      <c r="BC527" s="848">
        <f t="shared" si="494"/>
        <v>0</v>
      </c>
      <c r="BD527" s="848">
        <f t="shared" si="494"/>
        <v>0</v>
      </c>
      <c r="BE527" s="848"/>
      <c r="BF527" s="848">
        <f t="shared" si="494"/>
        <v>0</v>
      </c>
      <c r="BG527" s="848">
        <f t="shared" si="494"/>
        <v>0</v>
      </c>
      <c r="BH527" s="848">
        <f t="shared" si="494"/>
        <v>0</v>
      </c>
      <c r="BI527" s="848">
        <f t="shared" si="494"/>
        <v>0</v>
      </c>
      <c r="BJ527" s="848">
        <f t="shared" si="494"/>
        <v>0</v>
      </c>
      <c r="BK527" s="848">
        <f t="shared" si="494"/>
        <v>0</v>
      </c>
      <c r="BL527" s="848">
        <f t="shared" si="494"/>
        <v>0</v>
      </c>
      <c r="BM527" s="848">
        <f t="shared" si="494"/>
        <v>0</v>
      </c>
      <c r="BN527" s="848">
        <f t="shared" si="494"/>
        <v>3811</v>
      </c>
      <c r="BO527" s="848">
        <f t="shared" si="490"/>
        <v>8647.2330000000002</v>
      </c>
      <c r="BP527" s="848">
        <f t="shared" si="494"/>
        <v>6483.9709999999995</v>
      </c>
      <c r="BQ527" s="848">
        <f t="shared" si="494"/>
        <v>309.86200000000002</v>
      </c>
      <c r="BR527" s="848">
        <f t="shared" si="494"/>
        <v>0</v>
      </c>
      <c r="BS527" s="848">
        <f t="shared" si="494"/>
        <v>0</v>
      </c>
      <c r="BT527" s="848">
        <f t="shared" si="494"/>
        <v>0</v>
      </c>
      <c r="BU527" s="848"/>
      <c r="BV527" s="848">
        <f t="shared" si="494"/>
        <v>0</v>
      </c>
      <c r="BW527" s="848">
        <f t="shared" si="494"/>
        <v>0</v>
      </c>
      <c r="BX527" s="848">
        <f t="shared" si="494"/>
        <v>0</v>
      </c>
      <c r="BY527" s="848">
        <f t="shared" si="494"/>
        <v>0</v>
      </c>
      <c r="BZ527" s="848">
        <f t="shared" si="494"/>
        <v>0</v>
      </c>
      <c r="CA527" s="848">
        <f t="shared" si="494"/>
        <v>0</v>
      </c>
      <c r="CB527" s="848">
        <f t="shared" si="494"/>
        <v>0</v>
      </c>
      <c r="CC527" s="848">
        <f t="shared" si="494"/>
        <v>0</v>
      </c>
      <c r="CD527" s="848">
        <f t="shared" si="494"/>
        <v>0</v>
      </c>
      <c r="CE527" s="848">
        <f t="shared" si="494"/>
        <v>1853.4</v>
      </c>
      <c r="CF527" s="848">
        <f>BO527/AY527%</f>
        <v>226.90194174757283</v>
      </c>
      <c r="CG527" s="848"/>
      <c r="CH527" s="848"/>
      <c r="CI527" s="848"/>
      <c r="CJ527" s="848"/>
      <c r="CK527" s="848"/>
      <c r="CL527" s="848"/>
      <c r="CM527" s="848"/>
      <c r="CN527" s="848"/>
      <c r="CO527" s="848"/>
      <c r="CP527" s="848"/>
      <c r="CQ527" s="848"/>
      <c r="CR527" s="848"/>
      <c r="CS527" s="848"/>
      <c r="CT527" s="848"/>
      <c r="CU527" s="848"/>
      <c r="CV527" s="848"/>
      <c r="CW527" s="848">
        <f t="shared" si="492"/>
        <v>48.632904749409605</v>
      </c>
    </row>
    <row r="528" spans="1:101" s="851" customFormat="1" ht="24.6" customHeight="1">
      <c r="A528" s="845"/>
      <c r="B528" s="845"/>
      <c r="C528" s="857" t="s">
        <v>508</v>
      </c>
      <c r="D528" s="846">
        <f t="shared" ref="D528:BN528" si="496">SUM(D529:D537)</f>
        <v>0</v>
      </c>
      <c r="E528" s="845">
        <f t="shared" si="496"/>
        <v>0</v>
      </c>
      <c r="F528" s="847"/>
      <c r="G528" s="845"/>
      <c r="H528" s="850">
        <f t="shared" si="439"/>
        <v>25234.931868</v>
      </c>
      <c r="I528" s="848">
        <f t="shared" ref="I528:S528" si="497">SUM(I529:I537)</f>
        <v>4830</v>
      </c>
      <c r="J528" s="848">
        <f t="shared" si="497"/>
        <v>0</v>
      </c>
      <c r="K528" s="848">
        <f t="shared" si="497"/>
        <v>0</v>
      </c>
      <c r="L528" s="848">
        <f t="shared" si="497"/>
        <v>0</v>
      </c>
      <c r="M528" s="848">
        <f t="shared" si="497"/>
        <v>0</v>
      </c>
      <c r="N528" s="848">
        <f t="shared" si="497"/>
        <v>0</v>
      </c>
      <c r="O528" s="848">
        <f t="shared" si="497"/>
        <v>0</v>
      </c>
      <c r="P528" s="848">
        <f t="shared" si="497"/>
        <v>0</v>
      </c>
      <c r="Q528" s="848">
        <f t="shared" si="497"/>
        <v>0</v>
      </c>
      <c r="R528" s="848">
        <v>0</v>
      </c>
      <c r="S528" s="848">
        <f t="shared" si="497"/>
        <v>20404.931868</v>
      </c>
      <c r="T528" s="848">
        <f t="shared" si="431"/>
        <v>8952.4619999999995</v>
      </c>
      <c r="U528" s="848">
        <f t="shared" ref="U528:AH528" si="498">SUM(U529:U537)</f>
        <v>6252.4620000000004</v>
      </c>
      <c r="V528" s="848">
        <f t="shared" si="498"/>
        <v>0</v>
      </c>
      <c r="W528" s="848">
        <f t="shared" si="498"/>
        <v>0</v>
      </c>
      <c r="X528" s="848">
        <f t="shared" si="498"/>
        <v>0</v>
      </c>
      <c r="Y528" s="848">
        <f t="shared" si="498"/>
        <v>0</v>
      </c>
      <c r="Z528" s="848">
        <f t="shared" si="498"/>
        <v>0</v>
      </c>
      <c r="AA528" s="848">
        <f t="shared" si="498"/>
        <v>0</v>
      </c>
      <c r="AB528" s="848">
        <f t="shared" si="498"/>
        <v>0</v>
      </c>
      <c r="AC528" s="848">
        <f t="shared" si="498"/>
        <v>0</v>
      </c>
      <c r="AD528" s="848"/>
      <c r="AE528" s="848"/>
      <c r="AF528" s="848">
        <f t="shared" si="498"/>
        <v>700</v>
      </c>
      <c r="AG528" s="848">
        <f t="shared" si="498"/>
        <v>0</v>
      </c>
      <c r="AH528" s="848">
        <f t="shared" si="498"/>
        <v>2000</v>
      </c>
      <c r="AI528" s="848">
        <f t="shared" si="496"/>
        <v>13516</v>
      </c>
      <c r="AJ528" s="848">
        <f t="shared" si="496"/>
        <v>11204</v>
      </c>
      <c r="AK528" s="848">
        <f t="shared" si="496"/>
        <v>0</v>
      </c>
      <c r="AL528" s="848">
        <f t="shared" si="496"/>
        <v>0</v>
      </c>
      <c r="AM528" s="848">
        <f t="shared" si="496"/>
        <v>0</v>
      </c>
      <c r="AN528" s="848">
        <f t="shared" si="496"/>
        <v>0</v>
      </c>
      <c r="AO528" s="848">
        <f t="shared" si="496"/>
        <v>0</v>
      </c>
      <c r="AP528" s="848">
        <f t="shared" si="496"/>
        <v>0</v>
      </c>
      <c r="AQ528" s="848">
        <f t="shared" si="496"/>
        <v>0</v>
      </c>
      <c r="AR528" s="848">
        <f t="shared" si="496"/>
        <v>0</v>
      </c>
      <c r="AS528" s="848"/>
      <c r="AT528" s="848">
        <f t="shared" si="496"/>
        <v>0</v>
      </c>
      <c r="AU528" s="848">
        <f t="shared" si="496"/>
        <v>0</v>
      </c>
      <c r="AV528" s="848">
        <f t="shared" si="496"/>
        <v>0</v>
      </c>
      <c r="AW528" s="848">
        <f t="shared" si="496"/>
        <v>0</v>
      </c>
      <c r="AX528" s="848">
        <f>SUM(AX529:AX537)</f>
        <v>2312</v>
      </c>
      <c r="AY528" s="848">
        <f t="shared" si="496"/>
        <v>3811</v>
      </c>
      <c r="AZ528" s="848">
        <f t="shared" si="496"/>
        <v>0</v>
      </c>
      <c r="BA528" s="848">
        <f t="shared" si="496"/>
        <v>0</v>
      </c>
      <c r="BB528" s="848">
        <f t="shared" si="496"/>
        <v>0</v>
      </c>
      <c r="BC528" s="848">
        <f t="shared" si="496"/>
        <v>0</v>
      </c>
      <c r="BD528" s="848">
        <f t="shared" si="496"/>
        <v>0</v>
      </c>
      <c r="BE528" s="848">
        <f t="shared" si="496"/>
        <v>0</v>
      </c>
      <c r="BF528" s="848">
        <f t="shared" si="496"/>
        <v>0</v>
      </c>
      <c r="BG528" s="848">
        <f t="shared" si="496"/>
        <v>0</v>
      </c>
      <c r="BH528" s="848">
        <f t="shared" si="496"/>
        <v>0</v>
      </c>
      <c r="BI528" s="848">
        <f t="shared" si="496"/>
        <v>0</v>
      </c>
      <c r="BJ528" s="848">
        <f t="shared" si="496"/>
        <v>0</v>
      </c>
      <c r="BK528" s="848">
        <f t="shared" si="496"/>
        <v>0</v>
      </c>
      <c r="BL528" s="848">
        <f t="shared" si="496"/>
        <v>0</v>
      </c>
      <c r="BM528" s="848">
        <f t="shared" si="496"/>
        <v>0</v>
      </c>
      <c r="BN528" s="848">
        <f t="shared" si="496"/>
        <v>3811</v>
      </c>
      <c r="BO528" s="848">
        <f t="shared" si="490"/>
        <v>8647.2330000000002</v>
      </c>
      <c r="BP528" s="848">
        <f t="shared" ref="BP528:CE528" si="499">SUM(BP529:BP537)</f>
        <v>6483.9709999999995</v>
      </c>
      <c r="BQ528" s="848">
        <f t="shared" si="499"/>
        <v>309.86200000000002</v>
      </c>
      <c r="BR528" s="848">
        <f t="shared" si="499"/>
        <v>0</v>
      </c>
      <c r="BS528" s="848">
        <f t="shared" si="499"/>
        <v>0</v>
      </c>
      <c r="BT528" s="848">
        <f t="shared" si="499"/>
        <v>0</v>
      </c>
      <c r="BU528" s="848">
        <f t="shared" si="499"/>
        <v>0</v>
      </c>
      <c r="BV528" s="848">
        <f t="shared" si="499"/>
        <v>0</v>
      </c>
      <c r="BW528" s="848">
        <f t="shared" si="499"/>
        <v>0</v>
      </c>
      <c r="BX528" s="848">
        <f t="shared" si="499"/>
        <v>0</v>
      </c>
      <c r="BY528" s="848">
        <f t="shared" si="499"/>
        <v>0</v>
      </c>
      <c r="BZ528" s="848">
        <f t="shared" si="499"/>
        <v>0</v>
      </c>
      <c r="CA528" s="848">
        <f t="shared" si="499"/>
        <v>0</v>
      </c>
      <c r="CB528" s="848">
        <f t="shared" si="499"/>
        <v>0</v>
      </c>
      <c r="CC528" s="848">
        <f t="shared" si="499"/>
        <v>0</v>
      </c>
      <c r="CD528" s="848">
        <f t="shared" si="499"/>
        <v>0</v>
      </c>
      <c r="CE528" s="848">
        <f t="shared" si="499"/>
        <v>1853.4</v>
      </c>
      <c r="CF528" s="848">
        <f>BO528/AY528%</f>
        <v>226.90194174757283</v>
      </c>
      <c r="CG528" s="848"/>
      <c r="CH528" s="848"/>
      <c r="CI528" s="848"/>
      <c r="CJ528" s="848"/>
      <c r="CK528" s="848"/>
      <c r="CL528" s="848"/>
      <c r="CM528" s="848"/>
      <c r="CN528" s="848"/>
      <c r="CO528" s="848"/>
      <c r="CP528" s="848"/>
      <c r="CQ528" s="848"/>
      <c r="CR528" s="848"/>
      <c r="CS528" s="848"/>
      <c r="CT528" s="848"/>
      <c r="CU528" s="848"/>
      <c r="CV528" s="848"/>
      <c r="CW528" s="848">
        <f t="shared" si="492"/>
        <v>48.632904749409605</v>
      </c>
    </row>
    <row r="529" spans="1:101" s="851" customFormat="1" ht="45.6" customHeight="1">
      <c r="A529" s="845"/>
      <c r="B529" s="852" t="s">
        <v>976</v>
      </c>
      <c r="C529" s="852" t="s">
        <v>1195</v>
      </c>
      <c r="D529" s="846"/>
      <c r="E529" s="845"/>
      <c r="F529" s="904" t="s">
        <v>1196</v>
      </c>
      <c r="G529" s="846" t="s">
        <v>1197</v>
      </c>
      <c r="H529" s="850">
        <f t="shared" si="439"/>
        <v>1133</v>
      </c>
      <c r="I529" s="876"/>
      <c r="J529" s="848"/>
      <c r="K529" s="848"/>
      <c r="L529" s="848"/>
      <c r="M529" s="848"/>
      <c r="N529" s="848"/>
      <c r="O529" s="848"/>
      <c r="P529" s="848"/>
      <c r="Q529" s="848"/>
      <c r="R529" s="848"/>
      <c r="S529" s="855">
        <v>1133</v>
      </c>
      <c r="T529" s="855">
        <f t="shared" si="431"/>
        <v>700</v>
      </c>
      <c r="U529" s="848"/>
      <c r="V529" s="848"/>
      <c r="W529" s="848"/>
      <c r="X529" s="848"/>
      <c r="Y529" s="848"/>
      <c r="Z529" s="848"/>
      <c r="AA529" s="848"/>
      <c r="AB529" s="848"/>
      <c r="AC529" s="848"/>
      <c r="AD529" s="848"/>
      <c r="AE529" s="848"/>
      <c r="AF529" s="855">
        <v>700</v>
      </c>
      <c r="AG529" s="848"/>
      <c r="AH529" s="848"/>
      <c r="AI529" s="855">
        <f>AX529</f>
        <v>312</v>
      </c>
      <c r="AJ529" s="848"/>
      <c r="AK529" s="848"/>
      <c r="AL529" s="848"/>
      <c r="AM529" s="848"/>
      <c r="AN529" s="848"/>
      <c r="AO529" s="848"/>
      <c r="AP529" s="848"/>
      <c r="AQ529" s="848"/>
      <c r="AR529" s="848"/>
      <c r="AS529" s="848"/>
      <c r="AT529" s="848"/>
      <c r="AU529" s="848"/>
      <c r="AV529" s="848"/>
      <c r="AW529" s="848"/>
      <c r="AX529" s="855">
        <v>312</v>
      </c>
      <c r="AY529" s="855">
        <f t="shared" ref="AY529:AY537" si="500">SUM(AZ529:BN529)</f>
        <v>0</v>
      </c>
      <c r="AZ529" s="848"/>
      <c r="BA529" s="848"/>
      <c r="BB529" s="848"/>
      <c r="BC529" s="848"/>
      <c r="BD529" s="848"/>
      <c r="BE529" s="848"/>
      <c r="BF529" s="848"/>
      <c r="BG529" s="848"/>
      <c r="BH529" s="848"/>
      <c r="BI529" s="848"/>
      <c r="BJ529" s="848"/>
      <c r="BK529" s="848"/>
      <c r="BL529" s="848"/>
      <c r="BM529" s="848"/>
      <c r="BN529" s="848"/>
      <c r="BO529" s="848">
        <f t="shared" si="490"/>
        <v>309.86200000000002</v>
      </c>
      <c r="BP529" s="848"/>
      <c r="BQ529" s="848">
        <v>309.86200000000002</v>
      </c>
      <c r="BR529" s="848"/>
      <c r="BS529" s="848"/>
      <c r="BT529" s="848"/>
      <c r="BU529" s="848"/>
      <c r="BV529" s="848"/>
      <c r="BW529" s="848"/>
      <c r="BX529" s="848"/>
      <c r="BY529" s="848"/>
      <c r="BZ529" s="848"/>
      <c r="CA529" s="848"/>
      <c r="CB529" s="848"/>
      <c r="CC529" s="848"/>
      <c r="CD529" s="848"/>
      <c r="CE529" s="848"/>
      <c r="CF529" s="848"/>
      <c r="CG529" s="848"/>
      <c r="CH529" s="848"/>
      <c r="CI529" s="848"/>
      <c r="CJ529" s="848"/>
      <c r="CK529" s="848"/>
      <c r="CL529" s="848"/>
      <c r="CM529" s="848"/>
      <c r="CN529" s="848"/>
      <c r="CO529" s="848"/>
      <c r="CP529" s="848"/>
      <c r="CQ529" s="848"/>
      <c r="CR529" s="848"/>
      <c r="CS529" s="848"/>
      <c r="CT529" s="848"/>
      <c r="CU529" s="848"/>
      <c r="CV529" s="848"/>
      <c r="CW529" s="848"/>
    </row>
    <row r="530" spans="1:101" s="851" customFormat="1" ht="45.6" customHeight="1">
      <c r="A530" s="845"/>
      <c r="B530" s="852" t="s">
        <v>976</v>
      </c>
      <c r="C530" s="852" t="s">
        <v>1198</v>
      </c>
      <c r="D530" s="846"/>
      <c r="E530" s="845"/>
      <c r="F530" s="853" t="s">
        <v>544</v>
      </c>
      <c r="G530" s="846" t="s">
        <v>1199</v>
      </c>
      <c r="H530" s="850">
        <f t="shared" si="439"/>
        <v>2429</v>
      </c>
      <c r="I530" s="876"/>
      <c r="J530" s="848"/>
      <c r="K530" s="848"/>
      <c r="L530" s="848"/>
      <c r="M530" s="848"/>
      <c r="N530" s="848"/>
      <c r="O530" s="848"/>
      <c r="P530" s="848"/>
      <c r="Q530" s="848"/>
      <c r="R530" s="848"/>
      <c r="S530" s="855">
        <v>2429</v>
      </c>
      <c r="T530" s="855">
        <f t="shared" si="431"/>
        <v>2000</v>
      </c>
      <c r="U530" s="848"/>
      <c r="V530" s="848"/>
      <c r="W530" s="848"/>
      <c r="X530" s="848"/>
      <c r="Y530" s="848"/>
      <c r="Z530" s="848"/>
      <c r="AA530" s="848"/>
      <c r="AB530" s="848"/>
      <c r="AC530" s="848"/>
      <c r="AD530" s="848"/>
      <c r="AE530" s="848"/>
      <c r="AF530" s="848"/>
      <c r="AG530" s="848"/>
      <c r="AH530" s="855">
        <v>2000</v>
      </c>
      <c r="AI530" s="855">
        <f>AX530</f>
        <v>2000</v>
      </c>
      <c r="AJ530" s="848"/>
      <c r="AK530" s="848"/>
      <c r="AL530" s="848"/>
      <c r="AM530" s="848"/>
      <c r="AN530" s="848"/>
      <c r="AO530" s="848"/>
      <c r="AP530" s="848"/>
      <c r="AQ530" s="848"/>
      <c r="AR530" s="848"/>
      <c r="AS530" s="848"/>
      <c r="AT530" s="848"/>
      <c r="AU530" s="848"/>
      <c r="AV530" s="848"/>
      <c r="AW530" s="848"/>
      <c r="AX530" s="855">
        <v>2000</v>
      </c>
      <c r="AY530" s="855">
        <f t="shared" si="500"/>
        <v>0</v>
      </c>
      <c r="AZ530" s="848"/>
      <c r="BA530" s="848"/>
      <c r="BB530" s="848"/>
      <c r="BC530" s="848"/>
      <c r="BD530" s="848"/>
      <c r="BE530" s="848"/>
      <c r="BF530" s="848"/>
      <c r="BG530" s="848"/>
      <c r="BH530" s="848"/>
      <c r="BI530" s="848"/>
      <c r="BJ530" s="848"/>
      <c r="BK530" s="848"/>
      <c r="BL530" s="848"/>
      <c r="BM530" s="848"/>
      <c r="BN530" s="848"/>
      <c r="BO530" s="848">
        <f t="shared" si="490"/>
        <v>871.4</v>
      </c>
      <c r="BP530" s="848"/>
      <c r="BQ530" s="848"/>
      <c r="BR530" s="848"/>
      <c r="BS530" s="848"/>
      <c r="BT530" s="848"/>
      <c r="BU530" s="848"/>
      <c r="BV530" s="848"/>
      <c r="BW530" s="848"/>
      <c r="BX530" s="848"/>
      <c r="BY530" s="848"/>
      <c r="BZ530" s="848"/>
      <c r="CA530" s="855"/>
      <c r="CB530" s="855"/>
      <c r="CC530" s="855"/>
      <c r="CD530" s="855"/>
      <c r="CE530" s="855">
        <v>871.4</v>
      </c>
      <c r="CF530" s="848"/>
      <c r="CG530" s="848"/>
      <c r="CH530" s="848"/>
      <c r="CI530" s="848"/>
      <c r="CJ530" s="848"/>
      <c r="CK530" s="848"/>
      <c r="CL530" s="848"/>
      <c r="CM530" s="848"/>
      <c r="CN530" s="848"/>
      <c r="CO530" s="848"/>
      <c r="CP530" s="848"/>
      <c r="CQ530" s="848"/>
      <c r="CR530" s="848"/>
      <c r="CS530" s="848"/>
      <c r="CT530" s="848"/>
      <c r="CU530" s="848"/>
      <c r="CV530" s="848"/>
      <c r="CW530" s="848"/>
    </row>
    <row r="531" spans="1:101" ht="45.6" customHeight="1">
      <c r="A531" s="845"/>
      <c r="B531" s="852" t="s">
        <v>976</v>
      </c>
      <c r="C531" s="852" t="s">
        <v>1200</v>
      </c>
      <c r="D531" s="846"/>
      <c r="E531" s="845"/>
      <c r="F531" s="853" t="s">
        <v>382</v>
      </c>
      <c r="G531" s="846" t="s">
        <v>1201</v>
      </c>
      <c r="H531" s="850">
        <f t="shared" si="439"/>
        <v>9560</v>
      </c>
      <c r="I531" s="876"/>
      <c r="J531" s="848"/>
      <c r="K531" s="848"/>
      <c r="L531" s="848"/>
      <c r="M531" s="848"/>
      <c r="N531" s="848"/>
      <c r="O531" s="848"/>
      <c r="P531" s="848"/>
      <c r="Q531" s="848"/>
      <c r="R531" s="848"/>
      <c r="S531" s="855">
        <v>9560</v>
      </c>
      <c r="T531" s="855">
        <f t="shared" ref="T531:AC578" si="501">SUM(U531:AH531)</f>
        <v>0</v>
      </c>
      <c r="U531" s="848"/>
      <c r="V531" s="848"/>
      <c r="W531" s="848"/>
      <c r="X531" s="848"/>
      <c r="Y531" s="848"/>
      <c r="Z531" s="848"/>
      <c r="AA531" s="848"/>
      <c r="AB531" s="848"/>
      <c r="AC531" s="848"/>
      <c r="AD531" s="848"/>
      <c r="AE531" s="848"/>
      <c r="AF531" s="848"/>
      <c r="AG531" s="848"/>
      <c r="AH531" s="855"/>
      <c r="AI531" s="855">
        <f>AX531</f>
        <v>0</v>
      </c>
      <c r="AJ531" s="855"/>
      <c r="AK531" s="855"/>
      <c r="AL531" s="855"/>
      <c r="AM531" s="855"/>
      <c r="AN531" s="855"/>
      <c r="AO531" s="855"/>
      <c r="AP531" s="855"/>
      <c r="AQ531" s="855"/>
      <c r="AR531" s="855"/>
      <c r="AS531" s="855"/>
      <c r="AT531" s="855"/>
      <c r="AU531" s="855"/>
      <c r="AV531" s="855"/>
      <c r="AW531" s="855"/>
      <c r="AX531" s="855"/>
      <c r="AY531" s="855">
        <f t="shared" si="500"/>
        <v>3811</v>
      </c>
      <c r="AZ531" s="855"/>
      <c r="BA531" s="855"/>
      <c r="BB531" s="855"/>
      <c r="BC531" s="855"/>
      <c r="BD531" s="855"/>
      <c r="BE531" s="855"/>
      <c r="BF531" s="855"/>
      <c r="BG531" s="855"/>
      <c r="BH531" s="855"/>
      <c r="BI531" s="855"/>
      <c r="BJ531" s="855"/>
      <c r="BK531" s="855"/>
      <c r="BL531" s="855"/>
      <c r="BM531" s="855"/>
      <c r="BN531" s="855">
        <v>3811</v>
      </c>
      <c r="BO531" s="848">
        <f t="shared" si="490"/>
        <v>982</v>
      </c>
      <c r="BP531" s="855"/>
      <c r="BQ531" s="855"/>
      <c r="BR531" s="855"/>
      <c r="BS531" s="855"/>
      <c r="BT531" s="855"/>
      <c r="BU531" s="855"/>
      <c r="BV531" s="855"/>
      <c r="BW531" s="855"/>
      <c r="BX531" s="855"/>
      <c r="BY531" s="855"/>
      <c r="BZ531" s="855"/>
      <c r="CA531" s="855"/>
      <c r="CB531" s="855"/>
      <c r="CC531" s="855"/>
      <c r="CD531" s="855"/>
      <c r="CE531" s="855">
        <v>982</v>
      </c>
      <c r="CF531" s="848">
        <f>BO531/AY531%</f>
        <v>25.767515087903437</v>
      </c>
      <c r="CG531" s="848"/>
      <c r="CH531" s="848"/>
      <c r="CI531" s="848"/>
      <c r="CJ531" s="848"/>
      <c r="CK531" s="848"/>
      <c r="CL531" s="848"/>
      <c r="CM531" s="848"/>
      <c r="CN531" s="848"/>
      <c r="CO531" s="848"/>
      <c r="CP531" s="848"/>
      <c r="CQ531" s="848"/>
      <c r="CR531" s="848"/>
      <c r="CS531" s="848"/>
      <c r="CT531" s="848"/>
      <c r="CU531" s="848"/>
      <c r="CV531" s="848"/>
      <c r="CW531" s="848">
        <f t="shared" si="492"/>
        <v>25.767515087903437</v>
      </c>
    </row>
    <row r="532" spans="1:101" ht="27" customHeight="1">
      <c r="A532" s="845"/>
      <c r="B532" s="852" t="s">
        <v>976</v>
      </c>
      <c r="C532" s="852" t="s">
        <v>1202</v>
      </c>
      <c r="D532" s="846"/>
      <c r="E532" s="845"/>
      <c r="F532" s="853" t="s">
        <v>544</v>
      </c>
      <c r="G532" s="846" t="s">
        <v>1203</v>
      </c>
      <c r="H532" s="850">
        <f t="shared" si="439"/>
        <v>2429</v>
      </c>
      <c r="I532" s="876">
        <v>2429</v>
      </c>
      <c r="J532" s="876"/>
      <c r="K532" s="876"/>
      <c r="L532" s="876"/>
      <c r="M532" s="876"/>
      <c r="N532" s="876"/>
      <c r="O532" s="876"/>
      <c r="P532" s="876"/>
      <c r="Q532" s="876"/>
      <c r="R532" s="876"/>
      <c r="S532" s="876"/>
      <c r="T532" s="855">
        <f t="shared" si="501"/>
        <v>1519.7929999999999</v>
      </c>
      <c r="U532" s="855">
        <v>1519.7929999999999</v>
      </c>
      <c r="V532" s="848"/>
      <c r="W532" s="848"/>
      <c r="X532" s="848"/>
      <c r="Y532" s="848"/>
      <c r="Z532" s="848"/>
      <c r="AA532" s="848"/>
      <c r="AB532" s="848"/>
      <c r="AC532" s="848"/>
      <c r="AD532" s="848"/>
      <c r="AE532" s="848"/>
      <c r="AF532" s="848"/>
      <c r="AG532" s="848"/>
      <c r="AH532" s="855"/>
      <c r="AI532" s="855">
        <f t="shared" ref="AI532:AI537" si="502">AJ532</f>
        <v>1520</v>
      </c>
      <c r="AJ532" s="855">
        <v>1520</v>
      </c>
      <c r="AK532" s="855"/>
      <c r="AL532" s="855"/>
      <c r="AM532" s="855"/>
      <c r="AN532" s="855"/>
      <c r="AO532" s="855"/>
      <c r="AP532" s="855"/>
      <c r="AQ532" s="855"/>
      <c r="AR532" s="855"/>
      <c r="AS532" s="855"/>
      <c r="AT532" s="855"/>
      <c r="AU532" s="855"/>
      <c r="AV532" s="855"/>
      <c r="AW532" s="855"/>
      <c r="AX532" s="855"/>
      <c r="AY532" s="855">
        <f t="shared" si="500"/>
        <v>0</v>
      </c>
      <c r="AZ532" s="855"/>
      <c r="BA532" s="855"/>
      <c r="BB532" s="855"/>
      <c r="BC532" s="855"/>
      <c r="BD532" s="855"/>
      <c r="BE532" s="855"/>
      <c r="BF532" s="855"/>
      <c r="BG532" s="855"/>
      <c r="BH532" s="855"/>
      <c r="BI532" s="855"/>
      <c r="BJ532" s="855"/>
      <c r="BK532" s="855"/>
      <c r="BL532" s="855"/>
      <c r="BM532" s="855"/>
      <c r="BN532" s="855"/>
      <c r="BO532" s="848">
        <f t="shared" si="490"/>
        <v>1468.9870000000001</v>
      </c>
      <c r="BP532" s="855">
        <v>1468.9870000000001</v>
      </c>
      <c r="BQ532" s="855"/>
      <c r="BR532" s="855"/>
      <c r="BS532" s="855"/>
      <c r="BT532" s="855"/>
      <c r="BU532" s="855"/>
      <c r="BV532" s="855"/>
      <c r="BW532" s="855"/>
      <c r="BX532" s="855"/>
      <c r="BY532" s="855"/>
      <c r="BZ532" s="855"/>
      <c r="CA532" s="855"/>
      <c r="CB532" s="855"/>
      <c r="CC532" s="855"/>
      <c r="CD532" s="855"/>
      <c r="CE532" s="855"/>
      <c r="CF532" s="848"/>
      <c r="CG532" s="848"/>
      <c r="CH532" s="848"/>
      <c r="CI532" s="848"/>
      <c r="CJ532" s="848"/>
      <c r="CK532" s="848"/>
      <c r="CL532" s="848"/>
      <c r="CM532" s="848"/>
      <c r="CN532" s="848"/>
      <c r="CO532" s="848"/>
      <c r="CP532" s="848"/>
      <c r="CQ532" s="848"/>
      <c r="CR532" s="848"/>
      <c r="CS532" s="848"/>
      <c r="CT532" s="848"/>
      <c r="CU532" s="848"/>
      <c r="CV532" s="848"/>
      <c r="CW532" s="848"/>
    </row>
    <row r="533" spans="1:101" ht="34.15" customHeight="1">
      <c r="A533" s="845"/>
      <c r="B533" s="852" t="s">
        <v>976</v>
      </c>
      <c r="C533" s="852" t="s">
        <v>1204</v>
      </c>
      <c r="D533" s="846"/>
      <c r="E533" s="845"/>
      <c r="F533" s="853" t="s">
        <v>544</v>
      </c>
      <c r="G533" s="846" t="s">
        <v>1205</v>
      </c>
      <c r="H533" s="850">
        <f t="shared" si="439"/>
        <v>2401</v>
      </c>
      <c r="I533" s="876">
        <v>2401</v>
      </c>
      <c r="J533" s="848"/>
      <c r="K533" s="848"/>
      <c r="L533" s="848"/>
      <c r="M533" s="848"/>
      <c r="N533" s="848"/>
      <c r="O533" s="848"/>
      <c r="P533" s="848"/>
      <c r="Q533" s="848"/>
      <c r="R533" s="848"/>
      <c r="S533" s="855"/>
      <c r="T533" s="855">
        <f>U533</f>
        <v>647.73800000000006</v>
      </c>
      <c r="U533" s="855">
        <v>647.73800000000006</v>
      </c>
      <c r="V533" s="848"/>
      <c r="W533" s="848"/>
      <c r="X533" s="848"/>
      <c r="Y533" s="848"/>
      <c r="Z533" s="848"/>
      <c r="AA533" s="848"/>
      <c r="AB533" s="848"/>
      <c r="AC533" s="848"/>
      <c r="AD533" s="848"/>
      <c r="AE533" s="848"/>
      <c r="AF533" s="848"/>
      <c r="AG533" s="848"/>
      <c r="AH533" s="848"/>
      <c r="AI533" s="855">
        <f t="shared" si="502"/>
        <v>2401</v>
      </c>
      <c r="AJ533" s="855">
        <v>2401</v>
      </c>
      <c r="AK533" s="855"/>
      <c r="AL533" s="855"/>
      <c r="AM533" s="855"/>
      <c r="AN533" s="855"/>
      <c r="AO533" s="855"/>
      <c r="AP533" s="855"/>
      <c r="AQ533" s="855"/>
      <c r="AR533" s="855"/>
      <c r="AS533" s="855"/>
      <c r="AT533" s="855"/>
      <c r="AU533" s="855"/>
      <c r="AV533" s="855"/>
      <c r="AW533" s="855"/>
      <c r="AX533" s="855"/>
      <c r="AY533" s="855">
        <f t="shared" si="500"/>
        <v>0</v>
      </c>
      <c r="AZ533" s="855"/>
      <c r="BA533" s="855"/>
      <c r="BB533" s="855"/>
      <c r="BC533" s="855"/>
      <c r="BD533" s="855"/>
      <c r="BE533" s="855"/>
      <c r="BF533" s="855"/>
      <c r="BG533" s="855"/>
      <c r="BH533" s="855"/>
      <c r="BI533" s="855"/>
      <c r="BJ533" s="855"/>
      <c r="BK533" s="855"/>
      <c r="BL533" s="855"/>
      <c r="BM533" s="855"/>
      <c r="BN533" s="855"/>
      <c r="BO533" s="848">
        <f t="shared" si="490"/>
        <v>1322.624</v>
      </c>
      <c r="BP533" s="855">
        <v>1322.624</v>
      </c>
      <c r="BQ533" s="855"/>
      <c r="BR533" s="855"/>
      <c r="BS533" s="855"/>
      <c r="BT533" s="855"/>
      <c r="BU533" s="855"/>
      <c r="BV533" s="855"/>
      <c r="BW533" s="855"/>
      <c r="BX533" s="855"/>
      <c r="BY533" s="855"/>
      <c r="BZ533" s="855"/>
      <c r="CA533" s="855"/>
      <c r="CB533" s="855"/>
      <c r="CC533" s="855"/>
      <c r="CD533" s="855"/>
      <c r="CE533" s="855"/>
      <c r="CF533" s="848"/>
      <c r="CG533" s="848"/>
      <c r="CH533" s="848"/>
      <c r="CI533" s="848"/>
      <c r="CJ533" s="848"/>
      <c r="CK533" s="848"/>
      <c r="CL533" s="848"/>
      <c r="CM533" s="848"/>
      <c r="CN533" s="848"/>
      <c r="CO533" s="848"/>
      <c r="CP533" s="848"/>
      <c r="CQ533" s="848"/>
      <c r="CR533" s="848"/>
      <c r="CS533" s="848"/>
      <c r="CT533" s="848"/>
      <c r="CU533" s="848"/>
      <c r="CV533" s="848"/>
      <c r="CW533" s="848"/>
    </row>
    <row r="534" spans="1:101" ht="45.6" customHeight="1">
      <c r="A534" s="845"/>
      <c r="B534" s="852" t="s">
        <v>976</v>
      </c>
      <c r="C534" s="852" t="s">
        <v>1206</v>
      </c>
      <c r="D534" s="846"/>
      <c r="E534" s="845"/>
      <c r="F534" s="853" t="s">
        <v>544</v>
      </c>
      <c r="G534" s="846" t="s">
        <v>1207</v>
      </c>
      <c r="H534" s="850">
        <f t="shared" si="439"/>
        <v>1204</v>
      </c>
      <c r="I534" s="876"/>
      <c r="J534" s="848"/>
      <c r="K534" s="848"/>
      <c r="L534" s="848"/>
      <c r="M534" s="848"/>
      <c r="N534" s="848"/>
      <c r="O534" s="848"/>
      <c r="P534" s="848"/>
      <c r="Q534" s="848"/>
      <c r="R534" s="848"/>
      <c r="S534" s="855">
        <v>1204</v>
      </c>
      <c r="T534" s="855">
        <f t="shared" si="501"/>
        <v>833.66499999999996</v>
      </c>
      <c r="U534" s="855">
        <v>833.66499999999996</v>
      </c>
      <c r="V534" s="848"/>
      <c r="W534" s="848"/>
      <c r="X534" s="848"/>
      <c r="Y534" s="848"/>
      <c r="Z534" s="848"/>
      <c r="AA534" s="848"/>
      <c r="AB534" s="848"/>
      <c r="AC534" s="848"/>
      <c r="AD534" s="848"/>
      <c r="AE534" s="848"/>
      <c r="AF534" s="848"/>
      <c r="AG534" s="848"/>
      <c r="AH534" s="855"/>
      <c r="AI534" s="855">
        <f t="shared" si="502"/>
        <v>1204</v>
      </c>
      <c r="AJ534" s="855">
        <v>1204</v>
      </c>
      <c r="AK534" s="855"/>
      <c r="AL534" s="855"/>
      <c r="AM534" s="855"/>
      <c r="AN534" s="855"/>
      <c r="AO534" s="855"/>
      <c r="AP534" s="855"/>
      <c r="AQ534" s="855"/>
      <c r="AR534" s="855"/>
      <c r="AS534" s="855"/>
      <c r="AT534" s="855"/>
      <c r="AU534" s="855"/>
      <c r="AV534" s="855"/>
      <c r="AW534" s="855"/>
      <c r="AX534" s="855"/>
      <c r="AY534" s="855">
        <f t="shared" si="500"/>
        <v>0</v>
      </c>
      <c r="AZ534" s="855"/>
      <c r="BA534" s="855"/>
      <c r="BB534" s="855"/>
      <c r="BC534" s="855"/>
      <c r="BD534" s="855"/>
      <c r="BE534" s="855"/>
      <c r="BF534" s="855"/>
      <c r="BG534" s="855"/>
      <c r="BH534" s="855"/>
      <c r="BI534" s="855"/>
      <c r="BJ534" s="855"/>
      <c r="BK534" s="855"/>
      <c r="BL534" s="855"/>
      <c r="BM534" s="855"/>
      <c r="BN534" s="855"/>
      <c r="BO534" s="848">
        <f t="shared" si="490"/>
        <v>333.10300000000001</v>
      </c>
      <c r="BP534" s="855">
        <v>333.10300000000001</v>
      </c>
      <c r="BQ534" s="855"/>
      <c r="BR534" s="855"/>
      <c r="BS534" s="855"/>
      <c r="BT534" s="855"/>
      <c r="BU534" s="855"/>
      <c r="BV534" s="855"/>
      <c r="BW534" s="855"/>
      <c r="BX534" s="855"/>
      <c r="BY534" s="855"/>
      <c r="BZ534" s="855"/>
      <c r="CA534" s="855"/>
      <c r="CB534" s="855"/>
      <c r="CC534" s="855"/>
      <c r="CD534" s="855"/>
      <c r="CE534" s="855"/>
      <c r="CF534" s="848"/>
      <c r="CG534" s="848"/>
      <c r="CH534" s="848"/>
      <c r="CI534" s="848"/>
      <c r="CJ534" s="848"/>
      <c r="CK534" s="848"/>
      <c r="CL534" s="848"/>
      <c r="CM534" s="848"/>
      <c r="CN534" s="848"/>
      <c r="CO534" s="848"/>
      <c r="CP534" s="848"/>
      <c r="CQ534" s="848"/>
      <c r="CR534" s="848"/>
      <c r="CS534" s="848"/>
      <c r="CT534" s="848"/>
      <c r="CU534" s="848"/>
      <c r="CV534" s="848"/>
      <c r="CW534" s="848"/>
    </row>
    <row r="535" spans="1:101" ht="29.45" customHeight="1">
      <c r="A535" s="845"/>
      <c r="B535" s="852" t="s">
        <v>976</v>
      </c>
      <c r="C535" s="852" t="s">
        <v>1208</v>
      </c>
      <c r="D535" s="846"/>
      <c r="E535" s="845"/>
      <c r="F535" s="853" t="s">
        <v>544</v>
      </c>
      <c r="G535" s="846" t="s">
        <v>1209</v>
      </c>
      <c r="H535" s="850">
        <f t="shared" si="439"/>
        <v>2759</v>
      </c>
      <c r="I535" s="876"/>
      <c r="J535" s="848"/>
      <c r="K535" s="848"/>
      <c r="L535" s="848"/>
      <c r="M535" s="848"/>
      <c r="N535" s="848"/>
      <c r="O535" s="848"/>
      <c r="P535" s="848"/>
      <c r="Q535" s="848"/>
      <c r="R535" s="848"/>
      <c r="S535" s="855">
        <v>2759</v>
      </c>
      <c r="T535" s="855">
        <f t="shared" si="501"/>
        <v>1037.8389999999999</v>
      </c>
      <c r="U535" s="855">
        <v>1037.8389999999999</v>
      </c>
      <c r="V535" s="848"/>
      <c r="W535" s="848"/>
      <c r="X535" s="848"/>
      <c r="Y535" s="848"/>
      <c r="Z535" s="848"/>
      <c r="AA535" s="848"/>
      <c r="AB535" s="848"/>
      <c r="AC535" s="848"/>
      <c r="AD535" s="848"/>
      <c r="AE535" s="848"/>
      <c r="AF535" s="848"/>
      <c r="AG535" s="848"/>
      <c r="AH535" s="855"/>
      <c r="AI535" s="855">
        <f t="shared" si="502"/>
        <v>2759</v>
      </c>
      <c r="AJ535" s="855">
        <v>2759</v>
      </c>
      <c r="AK535" s="855"/>
      <c r="AL535" s="855"/>
      <c r="AM535" s="855"/>
      <c r="AN535" s="855"/>
      <c r="AO535" s="855"/>
      <c r="AP535" s="855"/>
      <c r="AQ535" s="855"/>
      <c r="AR535" s="855"/>
      <c r="AS535" s="855"/>
      <c r="AT535" s="855"/>
      <c r="AU535" s="855"/>
      <c r="AV535" s="855"/>
      <c r="AW535" s="855"/>
      <c r="AX535" s="855"/>
      <c r="AY535" s="855">
        <f t="shared" si="500"/>
        <v>0</v>
      </c>
      <c r="AZ535" s="855"/>
      <c r="BA535" s="855"/>
      <c r="BB535" s="855"/>
      <c r="BC535" s="855"/>
      <c r="BD535" s="855"/>
      <c r="BE535" s="855"/>
      <c r="BF535" s="855"/>
      <c r="BG535" s="855"/>
      <c r="BH535" s="855"/>
      <c r="BI535" s="855"/>
      <c r="BJ535" s="855"/>
      <c r="BK535" s="855"/>
      <c r="BL535" s="855"/>
      <c r="BM535" s="855"/>
      <c r="BN535" s="855"/>
      <c r="BO535" s="848">
        <f t="shared" si="490"/>
        <v>1483.462</v>
      </c>
      <c r="BP535" s="855">
        <v>1483.462</v>
      </c>
      <c r="BQ535" s="855"/>
      <c r="BR535" s="855"/>
      <c r="BS535" s="855"/>
      <c r="BT535" s="855"/>
      <c r="BU535" s="855"/>
      <c r="BV535" s="855"/>
      <c r="BW535" s="855"/>
      <c r="BX535" s="855"/>
      <c r="BY535" s="855"/>
      <c r="BZ535" s="855"/>
      <c r="CA535" s="855"/>
      <c r="CB535" s="855"/>
      <c r="CC535" s="855"/>
      <c r="CD535" s="855"/>
      <c r="CE535" s="855"/>
      <c r="CF535" s="848"/>
      <c r="CG535" s="848"/>
      <c r="CH535" s="848"/>
      <c r="CI535" s="848"/>
      <c r="CJ535" s="848"/>
      <c r="CK535" s="848"/>
      <c r="CL535" s="848"/>
      <c r="CM535" s="848"/>
      <c r="CN535" s="848"/>
      <c r="CO535" s="848"/>
      <c r="CP535" s="848"/>
      <c r="CQ535" s="848"/>
      <c r="CR535" s="848"/>
      <c r="CS535" s="848"/>
      <c r="CT535" s="848"/>
      <c r="CU535" s="848"/>
      <c r="CV535" s="848"/>
      <c r="CW535" s="848"/>
    </row>
    <row r="536" spans="1:101" ht="28.15" customHeight="1">
      <c r="A536" s="845"/>
      <c r="B536" s="852" t="s">
        <v>976</v>
      </c>
      <c r="C536" s="852" t="s">
        <v>1210</v>
      </c>
      <c r="D536" s="846"/>
      <c r="E536" s="845"/>
      <c r="F536" s="853" t="s">
        <v>544</v>
      </c>
      <c r="G536" s="846" t="s">
        <v>1211</v>
      </c>
      <c r="H536" s="850">
        <f t="shared" si="439"/>
        <v>903.58593699999994</v>
      </c>
      <c r="I536" s="876"/>
      <c r="J536" s="848"/>
      <c r="K536" s="848"/>
      <c r="L536" s="848"/>
      <c r="M536" s="848"/>
      <c r="N536" s="848"/>
      <c r="O536" s="848"/>
      <c r="P536" s="848"/>
      <c r="Q536" s="848"/>
      <c r="R536" s="848"/>
      <c r="S536" s="876">
        <v>903.58593699999994</v>
      </c>
      <c r="T536" s="855">
        <f t="shared" si="501"/>
        <v>612.67600000000004</v>
      </c>
      <c r="U536" s="855">
        <v>612.67600000000004</v>
      </c>
      <c r="V536" s="848"/>
      <c r="W536" s="848"/>
      <c r="X536" s="848"/>
      <c r="Y536" s="848"/>
      <c r="Z536" s="848"/>
      <c r="AA536" s="848"/>
      <c r="AB536" s="848"/>
      <c r="AC536" s="848"/>
      <c r="AD536" s="848"/>
      <c r="AE536" s="848"/>
      <c r="AF536" s="848"/>
      <c r="AG536" s="848"/>
      <c r="AH536" s="855"/>
      <c r="AI536" s="855">
        <f t="shared" si="502"/>
        <v>904</v>
      </c>
      <c r="AJ536" s="855">
        <v>904</v>
      </c>
      <c r="AK536" s="855"/>
      <c r="AL536" s="855"/>
      <c r="AM536" s="855"/>
      <c r="AN536" s="855"/>
      <c r="AO536" s="855"/>
      <c r="AP536" s="855"/>
      <c r="AQ536" s="855"/>
      <c r="AR536" s="855"/>
      <c r="AS536" s="855"/>
      <c r="AT536" s="855"/>
      <c r="AU536" s="855"/>
      <c r="AV536" s="855"/>
      <c r="AW536" s="855"/>
      <c r="AX536" s="855"/>
      <c r="AY536" s="855">
        <f t="shared" si="500"/>
        <v>0</v>
      </c>
      <c r="AZ536" s="855"/>
      <c r="BA536" s="855"/>
      <c r="BB536" s="855"/>
      <c r="BC536" s="855"/>
      <c r="BD536" s="855"/>
      <c r="BE536" s="855"/>
      <c r="BF536" s="855"/>
      <c r="BG536" s="855"/>
      <c r="BH536" s="855"/>
      <c r="BI536" s="855"/>
      <c r="BJ536" s="855"/>
      <c r="BK536" s="855"/>
      <c r="BL536" s="855"/>
      <c r="BM536" s="855"/>
      <c r="BN536" s="855"/>
      <c r="BO536" s="848">
        <f t="shared" si="490"/>
        <v>497.79599999999999</v>
      </c>
      <c r="BP536" s="855">
        <v>497.79599999999999</v>
      </c>
      <c r="BQ536" s="855"/>
      <c r="BR536" s="855"/>
      <c r="BS536" s="855"/>
      <c r="BT536" s="855"/>
      <c r="BU536" s="855"/>
      <c r="BV536" s="855"/>
      <c r="BW536" s="855"/>
      <c r="BX536" s="855"/>
      <c r="BY536" s="855"/>
      <c r="BZ536" s="855"/>
      <c r="CA536" s="855"/>
      <c r="CB536" s="855"/>
      <c r="CC536" s="855"/>
      <c r="CD536" s="855"/>
      <c r="CE536" s="855"/>
      <c r="CF536" s="848"/>
      <c r="CG536" s="848"/>
      <c r="CH536" s="848"/>
      <c r="CI536" s="848"/>
      <c r="CJ536" s="848"/>
      <c r="CK536" s="848"/>
      <c r="CL536" s="848"/>
      <c r="CM536" s="848"/>
      <c r="CN536" s="848"/>
      <c r="CO536" s="848"/>
      <c r="CP536" s="848"/>
      <c r="CQ536" s="848"/>
      <c r="CR536" s="848"/>
      <c r="CS536" s="848"/>
      <c r="CT536" s="848"/>
      <c r="CU536" s="848"/>
      <c r="CV536" s="848"/>
      <c r="CW536" s="848"/>
    </row>
    <row r="537" spans="1:101" ht="30" customHeight="1">
      <c r="A537" s="845"/>
      <c r="B537" s="852" t="s">
        <v>976</v>
      </c>
      <c r="C537" s="852" t="s">
        <v>1212</v>
      </c>
      <c r="D537" s="846"/>
      <c r="E537" s="845"/>
      <c r="F537" s="853" t="s">
        <v>544</v>
      </c>
      <c r="G537" s="846" t="s">
        <v>1213</v>
      </c>
      <c r="H537" s="850">
        <f t="shared" ref="H537:H578" si="503">SUM(I537:S537)</f>
        <v>2416.3459309999998</v>
      </c>
      <c r="I537" s="876"/>
      <c r="J537" s="848"/>
      <c r="K537" s="848"/>
      <c r="L537" s="848"/>
      <c r="M537" s="848"/>
      <c r="N537" s="848"/>
      <c r="O537" s="848"/>
      <c r="P537" s="848"/>
      <c r="Q537" s="848"/>
      <c r="R537" s="848"/>
      <c r="S537" s="876">
        <v>2416.3459309999998</v>
      </c>
      <c r="T537" s="855">
        <f>U537</f>
        <v>1600.751</v>
      </c>
      <c r="U537" s="855">
        <v>1600.751</v>
      </c>
      <c r="V537" s="848"/>
      <c r="W537" s="848"/>
      <c r="X537" s="848"/>
      <c r="Y537" s="848"/>
      <c r="Z537" s="848"/>
      <c r="AA537" s="848"/>
      <c r="AB537" s="848"/>
      <c r="AC537" s="848"/>
      <c r="AD537" s="848"/>
      <c r="AE537" s="848"/>
      <c r="AF537" s="848"/>
      <c r="AG537" s="848"/>
      <c r="AH537" s="855"/>
      <c r="AI537" s="855">
        <f t="shared" si="502"/>
        <v>2416</v>
      </c>
      <c r="AJ537" s="855">
        <v>2416</v>
      </c>
      <c r="AK537" s="855"/>
      <c r="AL537" s="855"/>
      <c r="AM537" s="855"/>
      <c r="AN537" s="855"/>
      <c r="AO537" s="855"/>
      <c r="AP537" s="855"/>
      <c r="AQ537" s="855"/>
      <c r="AR537" s="855"/>
      <c r="AS537" s="855"/>
      <c r="AT537" s="855"/>
      <c r="AU537" s="855"/>
      <c r="AV537" s="855"/>
      <c r="AW537" s="855"/>
      <c r="AX537" s="855"/>
      <c r="AY537" s="855">
        <f t="shared" si="500"/>
        <v>0</v>
      </c>
      <c r="AZ537" s="855"/>
      <c r="BA537" s="855"/>
      <c r="BB537" s="855"/>
      <c r="BC537" s="855"/>
      <c r="BD537" s="855"/>
      <c r="BE537" s="855"/>
      <c r="BF537" s="855"/>
      <c r="BG537" s="855"/>
      <c r="BH537" s="855"/>
      <c r="BI537" s="855"/>
      <c r="BJ537" s="855"/>
      <c r="BK537" s="855"/>
      <c r="BL537" s="855"/>
      <c r="BM537" s="855"/>
      <c r="BN537" s="855"/>
      <c r="BO537" s="848">
        <f t="shared" si="490"/>
        <v>1377.999</v>
      </c>
      <c r="BP537" s="855">
        <v>1377.999</v>
      </c>
      <c r="BQ537" s="855"/>
      <c r="BR537" s="855"/>
      <c r="BS537" s="855"/>
      <c r="BT537" s="855"/>
      <c r="BU537" s="855"/>
      <c r="BV537" s="855"/>
      <c r="BW537" s="855"/>
      <c r="BX537" s="855"/>
      <c r="BY537" s="855"/>
      <c r="BZ537" s="855"/>
      <c r="CA537" s="855"/>
      <c r="CB537" s="855"/>
      <c r="CC537" s="855"/>
      <c r="CD537" s="855"/>
      <c r="CE537" s="855"/>
      <c r="CF537" s="848"/>
      <c r="CG537" s="848"/>
      <c r="CH537" s="848"/>
      <c r="CI537" s="848"/>
      <c r="CJ537" s="848"/>
      <c r="CK537" s="848"/>
      <c r="CL537" s="848"/>
      <c r="CM537" s="848"/>
      <c r="CN537" s="848"/>
      <c r="CO537" s="848"/>
      <c r="CP537" s="848"/>
      <c r="CQ537" s="848"/>
      <c r="CR537" s="848"/>
      <c r="CS537" s="848"/>
      <c r="CT537" s="848"/>
      <c r="CU537" s="848"/>
      <c r="CV537" s="848"/>
      <c r="CW537" s="848"/>
    </row>
    <row r="538" spans="1:101" s="851" customFormat="1" ht="24.75" customHeight="1">
      <c r="A538" s="845" t="s">
        <v>676</v>
      </c>
      <c r="B538" s="845"/>
      <c r="C538" s="857" t="s">
        <v>1214</v>
      </c>
      <c r="D538" s="846">
        <f>D539</f>
        <v>0</v>
      </c>
      <c r="E538" s="845">
        <f t="shared" ref="E538:CE539" si="504">E539</f>
        <v>0</v>
      </c>
      <c r="F538" s="847"/>
      <c r="G538" s="845"/>
      <c r="H538" s="850">
        <f t="shared" si="503"/>
        <v>67500</v>
      </c>
      <c r="I538" s="848">
        <f t="shared" si="504"/>
        <v>0</v>
      </c>
      <c r="J538" s="848">
        <f t="shared" si="504"/>
        <v>0</v>
      </c>
      <c r="K538" s="848">
        <f t="shared" si="504"/>
        <v>0</v>
      </c>
      <c r="L538" s="848">
        <f t="shared" si="504"/>
        <v>0</v>
      </c>
      <c r="M538" s="848">
        <f t="shared" si="504"/>
        <v>0</v>
      </c>
      <c r="N538" s="848">
        <f t="shared" si="504"/>
        <v>0</v>
      </c>
      <c r="O538" s="848">
        <f t="shared" si="504"/>
        <v>0</v>
      </c>
      <c r="P538" s="848">
        <f t="shared" si="504"/>
        <v>0</v>
      </c>
      <c r="Q538" s="848">
        <f t="shared" si="504"/>
        <v>0</v>
      </c>
      <c r="R538" s="848">
        <v>60000</v>
      </c>
      <c r="S538" s="848">
        <f t="shared" si="504"/>
        <v>7500</v>
      </c>
      <c r="T538" s="855">
        <f t="shared" si="501"/>
        <v>0</v>
      </c>
      <c r="U538" s="848">
        <f t="shared" ref="U538:AH538" si="505">U539</f>
        <v>0</v>
      </c>
      <c r="V538" s="848">
        <f t="shared" si="505"/>
        <v>0</v>
      </c>
      <c r="W538" s="848">
        <f t="shared" si="505"/>
        <v>0</v>
      </c>
      <c r="X538" s="848">
        <f t="shared" si="505"/>
        <v>0</v>
      </c>
      <c r="Y538" s="848">
        <f t="shared" si="505"/>
        <v>0</v>
      </c>
      <c r="Z538" s="848">
        <f t="shared" si="505"/>
        <v>0</v>
      </c>
      <c r="AA538" s="848">
        <f t="shared" si="505"/>
        <v>0</v>
      </c>
      <c r="AB538" s="848">
        <f t="shared" si="505"/>
        <v>0</v>
      </c>
      <c r="AC538" s="848">
        <f t="shared" si="505"/>
        <v>0</v>
      </c>
      <c r="AD538" s="848"/>
      <c r="AE538" s="848"/>
      <c r="AF538" s="848">
        <f t="shared" si="505"/>
        <v>0</v>
      </c>
      <c r="AG538" s="848">
        <f t="shared" si="505"/>
        <v>0</v>
      </c>
      <c r="AH538" s="848">
        <f t="shared" si="505"/>
        <v>0</v>
      </c>
      <c r="AI538" s="848">
        <f t="shared" si="504"/>
        <v>0</v>
      </c>
      <c r="AJ538" s="848">
        <f t="shared" si="504"/>
        <v>0</v>
      </c>
      <c r="AK538" s="848">
        <f t="shared" si="504"/>
        <v>0</v>
      </c>
      <c r="AL538" s="848">
        <f t="shared" si="504"/>
        <v>0</v>
      </c>
      <c r="AM538" s="848">
        <f t="shared" si="504"/>
        <v>0</v>
      </c>
      <c r="AN538" s="848">
        <f t="shared" si="504"/>
        <v>0</v>
      </c>
      <c r="AO538" s="848">
        <f t="shared" si="504"/>
        <v>0</v>
      </c>
      <c r="AP538" s="848">
        <f t="shared" si="504"/>
        <v>0</v>
      </c>
      <c r="AQ538" s="848">
        <f t="shared" si="504"/>
        <v>0</v>
      </c>
      <c r="AR538" s="848">
        <f t="shared" si="504"/>
        <v>0</v>
      </c>
      <c r="AS538" s="848"/>
      <c r="AT538" s="848">
        <f t="shared" si="504"/>
        <v>0</v>
      </c>
      <c r="AU538" s="848">
        <f t="shared" si="504"/>
        <v>0</v>
      </c>
      <c r="AV538" s="848">
        <f t="shared" si="504"/>
        <v>0</v>
      </c>
      <c r="AW538" s="848">
        <f t="shared" si="504"/>
        <v>0</v>
      </c>
      <c r="AX538" s="848">
        <f>AX539</f>
        <v>0</v>
      </c>
      <c r="AY538" s="848">
        <f t="shared" si="504"/>
        <v>300</v>
      </c>
      <c r="AZ538" s="848">
        <f t="shared" si="504"/>
        <v>0</v>
      </c>
      <c r="BA538" s="848">
        <f t="shared" si="504"/>
        <v>0</v>
      </c>
      <c r="BB538" s="848">
        <f t="shared" si="504"/>
        <v>0</v>
      </c>
      <c r="BC538" s="848">
        <f t="shared" si="504"/>
        <v>0</v>
      </c>
      <c r="BD538" s="848">
        <f t="shared" si="504"/>
        <v>0</v>
      </c>
      <c r="BE538" s="848">
        <f t="shared" si="504"/>
        <v>0</v>
      </c>
      <c r="BF538" s="848">
        <f t="shared" si="504"/>
        <v>0</v>
      </c>
      <c r="BG538" s="848">
        <f t="shared" si="504"/>
        <v>0</v>
      </c>
      <c r="BH538" s="848">
        <f t="shared" si="504"/>
        <v>0</v>
      </c>
      <c r="BI538" s="848">
        <f t="shared" si="504"/>
        <v>0</v>
      </c>
      <c r="BJ538" s="848">
        <f t="shared" si="504"/>
        <v>0</v>
      </c>
      <c r="BK538" s="848">
        <f t="shared" si="504"/>
        <v>0</v>
      </c>
      <c r="BL538" s="848">
        <f t="shared" si="504"/>
        <v>0</v>
      </c>
      <c r="BM538" s="848">
        <f t="shared" si="504"/>
        <v>0</v>
      </c>
      <c r="BN538" s="848">
        <f t="shared" si="504"/>
        <v>300</v>
      </c>
      <c r="BO538" s="848">
        <f t="shared" si="490"/>
        <v>137.473705</v>
      </c>
      <c r="BP538" s="848">
        <f t="shared" si="504"/>
        <v>0</v>
      </c>
      <c r="BQ538" s="848">
        <f t="shared" si="504"/>
        <v>0</v>
      </c>
      <c r="BR538" s="848">
        <f t="shared" si="504"/>
        <v>0</v>
      </c>
      <c r="BS538" s="848">
        <f t="shared" si="504"/>
        <v>0</v>
      </c>
      <c r="BT538" s="848">
        <f t="shared" si="504"/>
        <v>0</v>
      </c>
      <c r="BU538" s="848">
        <f t="shared" si="504"/>
        <v>0</v>
      </c>
      <c r="BV538" s="848">
        <f t="shared" si="504"/>
        <v>0</v>
      </c>
      <c r="BW538" s="848">
        <f t="shared" si="504"/>
        <v>0</v>
      </c>
      <c r="BX538" s="848">
        <f t="shared" si="504"/>
        <v>0</v>
      </c>
      <c r="BY538" s="848">
        <f t="shared" si="504"/>
        <v>0</v>
      </c>
      <c r="BZ538" s="848">
        <f t="shared" si="504"/>
        <v>0</v>
      </c>
      <c r="CA538" s="848">
        <f t="shared" si="504"/>
        <v>137.473705</v>
      </c>
      <c r="CB538" s="848">
        <f t="shared" si="504"/>
        <v>0</v>
      </c>
      <c r="CC538" s="848">
        <f t="shared" si="504"/>
        <v>0</v>
      </c>
      <c r="CD538" s="848">
        <f t="shared" si="504"/>
        <v>0</v>
      </c>
      <c r="CE538" s="848">
        <f t="shared" si="504"/>
        <v>0</v>
      </c>
      <c r="CF538" s="848"/>
      <c r="CG538" s="848"/>
      <c r="CH538" s="848"/>
      <c r="CI538" s="848"/>
      <c r="CJ538" s="848"/>
      <c r="CK538" s="848"/>
      <c r="CL538" s="848"/>
      <c r="CM538" s="848"/>
      <c r="CN538" s="848"/>
      <c r="CO538" s="848"/>
      <c r="CP538" s="848"/>
      <c r="CQ538" s="848"/>
      <c r="CR538" s="848"/>
      <c r="CS538" s="848"/>
      <c r="CT538" s="848"/>
      <c r="CU538" s="848"/>
      <c r="CV538" s="848"/>
      <c r="CW538" s="848">
        <f t="shared" si="492"/>
        <v>0</v>
      </c>
    </row>
    <row r="539" spans="1:101" ht="24.75" customHeight="1">
      <c r="A539" s="845"/>
      <c r="B539" s="845"/>
      <c r="C539" s="857" t="s">
        <v>371</v>
      </c>
      <c r="D539" s="846">
        <f>D540</f>
        <v>0</v>
      </c>
      <c r="E539" s="845">
        <f t="shared" si="504"/>
        <v>0</v>
      </c>
      <c r="F539" s="847"/>
      <c r="G539" s="845"/>
      <c r="H539" s="850">
        <f t="shared" si="503"/>
        <v>67500</v>
      </c>
      <c r="I539" s="848">
        <f t="shared" si="504"/>
        <v>0</v>
      </c>
      <c r="J539" s="848">
        <f t="shared" si="504"/>
        <v>0</v>
      </c>
      <c r="K539" s="848">
        <f t="shared" si="504"/>
        <v>0</v>
      </c>
      <c r="L539" s="848">
        <f t="shared" si="504"/>
        <v>0</v>
      </c>
      <c r="M539" s="848">
        <f t="shared" si="504"/>
        <v>0</v>
      </c>
      <c r="N539" s="848">
        <f t="shared" si="504"/>
        <v>0</v>
      </c>
      <c r="O539" s="848">
        <f t="shared" si="504"/>
        <v>0</v>
      </c>
      <c r="P539" s="848">
        <f t="shared" si="504"/>
        <v>0</v>
      </c>
      <c r="Q539" s="848">
        <f t="shared" si="504"/>
        <v>0</v>
      </c>
      <c r="R539" s="848">
        <v>60000</v>
      </c>
      <c r="S539" s="848">
        <f t="shared" si="504"/>
        <v>7500</v>
      </c>
      <c r="T539" s="855">
        <f t="shared" si="501"/>
        <v>0</v>
      </c>
      <c r="U539" s="855">
        <f t="shared" si="501"/>
        <v>0</v>
      </c>
      <c r="V539" s="855">
        <f t="shared" si="501"/>
        <v>0</v>
      </c>
      <c r="W539" s="855">
        <f t="shared" si="501"/>
        <v>0</v>
      </c>
      <c r="X539" s="855">
        <f t="shared" si="501"/>
        <v>0</v>
      </c>
      <c r="Y539" s="855">
        <f t="shared" si="501"/>
        <v>0</v>
      </c>
      <c r="Z539" s="855">
        <f t="shared" si="501"/>
        <v>0</v>
      </c>
      <c r="AA539" s="855">
        <f t="shared" si="501"/>
        <v>0</v>
      </c>
      <c r="AB539" s="855">
        <f t="shared" si="501"/>
        <v>0</v>
      </c>
      <c r="AC539" s="855">
        <f t="shared" si="501"/>
        <v>0</v>
      </c>
      <c r="AD539" s="855">
        <f t="shared" ref="AD539" si="506">SUM(AF539:AR539)</f>
        <v>0</v>
      </c>
      <c r="AE539" s="855"/>
      <c r="AF539" s="855">
        <f t="shared" ref="AF539" si="507">SUM(AG539:AT539)</f>
        <v>0</v>
      </c>
      <c r="AG539" s="855">
        <f>SUM(AH539:AT539)</f>
        <v>0</v>
      </c>
      <c r="AH539" s="855">
        <f>SUM(AI539:AU539)</f>
        <v>0</v>
      </c>
      <c r="AI539" s="848">
        <f t="shared" si="504"/>
        <v>0</v>
      </c>
      <c r="AJ539" s="848">
        <f t="shared" si="504"/>
        <v>0</v>
      </c>
      <c r="AK539" s="848">
        <f t="shared" si="504"/>
        <v>0</v>
      </c>
      <c r="AL539" s="848">
        <f t="shared" si="504"/>
        <v>0</v>
      </c>
      <c r="AM539" s="848">
        <f t="shared" si="504"/>
        <v>0</v>
      </c>
      <c r="AN539" s="848">
        <f t="shared" si="504"/>
        <v>0</v>
      </c>
      <c r="AO539" s="848">
        <f t="shared" si="504"/>
        <v>0</v>
      </c>
      <c r="AP539" s="848">
        <f t="shared" si="504"/>
        <v>0</v>
      </c>
      <c r="AQ539" s="848">
        <f t="shared" si="504"/>
        <v>0</v>
      </c>
      <c r="AR539" s="848">
        <f t="shared" si="504"/>
        <v>0</v>
      </c>
      <c r="AS539" s="848"/>
      <c r="AT539" s="848">
        <f t="shared" si="504"/>
        <v>0</v>
      </c>
      <c r="AU539" s="848">
        <f t="shared" si="504"/>
        <v>0</v>
      </c>
      <c r="AV539" s="848">
        <f t="shared" si="504"/>
        <v>0</v>
      </c>
      <c r="AW539" s="848">
        <f t="shared" si="504"/>
        <v>0</v>
      </c>
      <c r="AX539" s="848">
        <f>AX540</f>
        <v>0</v>
      </c>
      <c r="AY539" s="848">
        <f t="shared" si="504"/>
        <v>300</v>
      </c>
      <c r="AZ539" s="848">
        <f t="shared" si="504"/>
        <v>0</v>
      </c>
      <c r="BA539" s="848">
        <f t="shared" si="504"/>
        <v>0</v>
      </c>
      <c r="BB539" s="848">
        <f t="shared" si="504"/>
        <v>0</v>
      </c>
      <c r="BC539" s="848">
        <f t="shared" si="504"/>
        <v>0</v>
      </c>
      <c r="BD539" s="848">
        <f t="shared" si="504"/>
        <v>0</v>
      </c>
      <c r="BE539" s="848">
        <f t="shared" si="504"/>
        <v>0</v>
      </c>
      <c r="BF539" s="848">
        <f t="shared" si="504"/>
        <v>0</v>
      </c>
      <c r="BG539" s="848">
        <f t="shared" si="504"/>
        <v>0</v>
      </c>
      <c r="BH539" s="848">
        <f t="shared" si="504"/>
        <v>0</v>
      </c>
      <c r="BI539" s="848">
        <f t="shared" si="504"/>
        <v>0</v>
      </c>
      <c r="BJ539" s="848">
        <f t="shared" si="504"/>
        <v>0</v>
      </c>
      <c r="BK539" s="848">
        <f t="shared" si="504"/>
        <v>0</v>
      </c>
      <c r="BL539" s="848">
        <f t="shared" si="504"/>
        <v>0</v>
      </c>
      <c r="BM539" s="848">
        <f t="shared" si="504"/>
        <v>0</v>
      </c>
      <c r="BN539" s="848">
        <f t="shared" si="504"/>
        <v>300</v>
      </c>
      <c r="BO539" s="848">
        <f t="shared" si="490"/>
        <v>137.473705</v>
      </c>
      <c r="BP539" s="848">
        <f t="shared" si="504"/>
        <v>0</v>
      </c>
      <c r="BQ539" s="848">
        <f t="shared" si="504"/>
        <v>0</v>
      </c>
      <c r="BR539" s="848">
        <f t="shared" si="504"/>
        <v>0</v>
      </c>
      <c r="BS539" s="848">
        <f t="shared" si="504"/>
        <v>0</v>
      </c>
      <c r="BT539" s="848">
        <f t="shared" si="504"/>
        <v>0</v>
      </c>
      <c r="BU539" s="848">
        <f t="shared" si="504"/>
        <v>0</v>
      </c>
      <c r="BV539" s="848">
        <f t="shared" si="504"/>
        <v>0</v>
      </c>
      <c r="BW539" s="848">
        <f t="shared" si="504"/>
        <v>0</v>
      </c>
      <c r="BX539" s="848">
        <f t="shared" si="504"/>
        <v>0</v>
      </c>
      <c r="BY539" s="848">
        <f t="shared" si="504"/>
        <v>0</v>
      </c>
      <c r="BZ539" s="848">
        <f t="shared" si="504"/>
        <v>0</v>
      </c>
      <c r="CA539" s="848">
        <f t="shared" si="504"/>
        <v>137.473705</v>
      </c>
      <c r="CB539" s="848">
        <f t="shared" si="504"/>
        <v>0</v>
      </c>
      <c r="CC539" s="848">
        <f t="shared" si="504"/>
        <v>0</v>
      </c>
      <c r="CD539" s="848">
        <f t="shared" si="504"/>
        <v>0</v>
      </c>
      <c r="CE539" s="848">
        <f t="shared" si="504"/>
        <v>0</v>
      </c>
      <c r="CF539" s="848"/>
      <c r="CG539" s="848"/>
      <c r="CH539" s="848"/>
      <c r="CI539" s="848"/>
      <c r="CJ539" s="848"/>
      <c r="CK539" s="848"/>
      <c r="CL539" s="848"/>
      <c r="CM539" s="848"/>
      <c r="CN539" s="848"/>
      <c r="CO539" s="848"/>
      <c r="CP539" s="848"/>
      <c r="CQ539" s="848"/>
      <c r="CR539" s="848"/>
      <c r="CS539" s="848"/>
      <c r="CT539" s="848"/>
      <c r="CU539" s="848"/>
      <c r="CV539" s="848"/>
      <c r="CW539" s="848">
        <f t="shared" si="492"/>
        <v>0</v>
      </c>
    </row>
    <row r="540" spans="1:101" ht="36.6" customHeight="1">
      <c r="A540" s="845"/>
      <c r="B540" s="867" t="s">
        <v>1214</v>
      </c>
      <c r="C540" s="852" t="s">
        <v>1215</v>
      </c>
      <c r="D540" s="846"/>
      <c r="E540" s="845"/>
      <c r="F540" s="853" t="s">
        <v>1065</v>
      </c>
      <c r="G540" s="846" t="s">
        <v>1216</v>
      </c>
      <c r="H540" s="850">
        <f t="shared" si="503"/>
        <v>67500</v>
      </c>
      <c r="I540" s="860"/>
      <c r="J540" s="848"/>
      <c r="K540" s="848"/>
      <c r="L540" s="848"/>
      <c r="M540" s="848"/>
      <c r="N540" s="848"/>
      <c r="O540" s="848"/>
      <c r="P540" s="848"/>
      <c r="Q540" s="848"/>
      <c r="R540" s="855">
        <v>60000</v>
      </c>
      <c r="S540" s="855">
        <v>7500</v>
      </c>
      <c r="T540" s="855">
        <f t="shared" si="501"/>
        <v>0</v>
      </c>
      <c r="U540" s="848"/>
      <c r="V540" s="848"/>
      <c r="W540" s="848"/>
      <c r="X540" s="848"/>
      <c r="Y540" s="848"/>
      <c r="Z540" s="848"/>
      <c r="AA540" s="848"/>
      <c r="AB540" s="848"/>
      <c r="AC540" s="848"/>
      <c r="AD540" s="848"/>
      <c r="AE540" s="848"/>
      <c r="AF540" s="848"/>
      <c r="AG540" s="848"/>
      <c r="AH540" s="855"/>
      <c r="AI540" s="855"/>
      <c r="AJ540" s="855"/>
      <c r="AK540" s="855"/>
      <c r="AL540" s="855"/>
      <c r="AM540" s="855"/>
      <c r="AN540" s="855"/>
      <c r="AO540" s="855"/>
      <c r="AP540" s="855"/>
      <c r="AQ540" s="855"/>
      <c r="AR540" s="855"/>
      <c r="AS540" s="855"/>
      <c r="AT540" s="855"/>
      <c r="AU540" s="855"/>
      <c r="AV540" s="855"/>
      <c r="AW540" s="855"/>
      <c r="AX540" s="855"/>
      <c r="AY540" s="855">
        <f t="shared" ref="AY540" si="508">SUM(AZ540:BN540)</f>
        <v>300</v>
      </c>
      <c r="AZ540" s="855"/>
      <c r="BA540" s="855"/>
      <c r="BB540" s="855"/>
      <c r="BC540" s="855"/>
      <c r="BD540" s="855"/>
      <c r="BE540" s="855"/>
      <c r="BF540" s="855"/>
      <c r="BG540" s="855"/>
      <c r="BH540" s="855"/>
      <c r="BI540" s="855"/>
      <c r="BJ540" s="855"/>
      <c r="BK540" s="855"/>
      <c r="BL540" s="855"/>
      <c r="BM540" s="855"/>
      <c r="BN540" s="855">
        <v>300</v>
      </c>
      <c r="BO540" s="848">
        <f t="shared" si="490"/>
        <v>137.473705</v>
      </c>
      <c r="BP540" s="855"/>
      <c r="BQ540" s="855"/>
      <c r="BR540" s="855"/>
      <c r="BS540" s="855"/>
      <c r="BT540" s="855"/>
      <c r="BU540" s="855"/>
      <c r="BV540" s="855"/>
      <c r="BW540" s="855"/>
      <c r="BX540" s="855"/>
      <c r="BY540" s="855"/>
      <c r="BZ540" s="855"/>
      <c r="CA540" s="855">
        <v>137.473705</v>
      </c>
      <c r="CB540" s="855"/>
      <c r="CC540" s="855"/>
      <c r="CD540" s="855"/>
      <c r="CE540" s="855"/>
      <c r="CF540" s="848"/>
      <c r="CG540" s="848"/>
      <c r="CH540" s="848"/>
      <c r="CI540" s="848"/>
      <c r="CJ540" s="848"/>
      <c r="CK540" s="848"/>
      <c r="CL540" s="848"/>
      <c r="CM540" s="848"/>
      <c r="CN540" s="848"/>
      <c r="CO540" s="848"/>
      <c r="CP540" s="848"/>
      <c r="CQ540" s="848"/>
      <c r="CR540" s="848"/>
      <c r="CS540" s="848"/>
      <c r="CT540" s="848"/>
      <c r="CU540" s="848"/>
      <c r="CV540" s="848"/>
      <c r="CW540" s="848">
        <f t="shared" si="492"/>
        <v>0</v>
      </c>
    </row>
    <row r="541" spans="1:101" s="851" customFormat="1" ht="33.6" customHeight="1">
      <c r="A541" s="845" t="s">
        <v>11</v>
      </c>
      <c r="B541" s="845"/>
      <c r="C541" s="857" t="s">
        <v>1217</v>
      </c>
      <c r="D541" s="846">
        <f>D542</f>
        <v>0</v>
      </c>
      <c r="E541" s="845">
        <f t="shared" ref="E541:CE543" si="509">E542</f>
        <v>0</v>
      </c>
      <c r="F541" s="847"/>
      <c r="G541" s="845"/>
      <c r="H541" s="850">
        <f t="shared" si="503"/>
        <v>3996</v>
      </c>
      <c r="I541" s="848">
        <f t="shared" si="509"/>
        <v>0</v>
      </c>
      <c r="J541" s="848">
        <f t="shared" si="509"/>
        <v>0</v>
      </c>
      <c r="K541" s="848">
        <f t="shared" si="509"/>
        <v>0</v>
      </c>
      <c r="L541" s="848">
        <f t="shared" si="509"/>
        <v>0</v>
      </c>
      <c r="M541" s="848">
        <f t="shared" si="509"/>
        <v>0</v>
      </c>
      <c r="N541" s="848">
        <f t="shared" si="509"/>
        <v>0</v>
      </c>
      <c r="O541" s="848">
        <f t="shared" si="509"/>
        <v>0</v>
      </c>
      <c r="P541" s="848">
        <f t="shared" si="509"/>
        <v>0</v>
      </c>
      <c r="Q541" s="848">
        <f t="shared" si="509"/>
        <v>0</v>
      </c>
      <c r="R541" s="848">
        <v>1800</v>
      </c>
      <c r="S541" s="848">
        <f t="shared" si="509"/>
        <v>2196</v>
      </c>
      <c r="T541" s="855">
        <f t="shared" si="501"/>
        <v>1770</v>
      </c>
      <c r="U541" s="848">
        <f t="shared" ref="U541:AH541" si="510">U542</f>
        <v>0</v>
      </c>
      <c r="V541" s="848">
        <f t="shared" si="510"/>
        <v>0</v>
      </c>
      <c r="W541" s="848">
        <f t="shared" si="510"/>
        <v>0</v>
      </c>
      <c r="X541" s="848">
        <f t="shared" si="510"/>
        <v>0</v>
      </c>
      <c r="Y541" s="848">
        <f t="shared" si="510"/>
        <v>0</v>
      </c>
      <c r="Z541" s="848">
        <f t="shared" si="510"/>
        <v>0</v>
      </c>
      <c r="AA541" s="848">
        <f t="shared" si="510"/>
        <v>0</v>
      </c>
      <c r="AB541" s="848">
        <f t="shared" si="510"/>
        <v>0</v>
      </c>
      <c r="AC541" s="848">
        <f t="shared" si="510"/>
        <v>0</v>
      </c>
      <c r="AD541" s="848"/>
      <c r="AE541" s="848"/>
      <c r="AF541" s="848">
        <f t="shared" si="510"/>
        <v>0</v>
      </c>
      <c r="AG541" s="848">
        <f t="shared" si="510"/>
        <v>0</v>
      </c>
      <c r="AH541" s="848">
        <f t="shared" si="510"/>
        <v>1770</v>
      </c>
      <c r="AI541" s="848">
        <f t="shared" si="509"/>
        <v>0</v>
      </c>
      <c r="AJ541" s="848">
        <f t="shared" si="509"/>
        <v>0</v>
      </c>
      <c r="AK541" s="848">
        <f t="shared" si="509"/>
        <v>0</v>
      </c>
      <c r="AL541" s="848">
        <f t="shared" si="509"/>
        <v>0</v>
      </c>
      <c r="AM541" s="848">
        <f t="shared" si="509"/>
        <v>0</v>
      </c>
      <c r="AN541" s="848">
        <f t="shared" si="509"/>
        <v>0</v>
      </c>
      <c r="AO541" s="848">
        <f t="shared" si="509"/>
        <v>0</v>
      </c>
      <c r="AP541" s="848">
        <f t="shared" si="509"/>
        <v>0</v>
      </c>
      <c r="AQ541" s="848">
        <f t="shared" si="509"/>
        <v>0</v>
      </c>
      <c r="AR541" s="848">
        <f t="shared" si="509"/>
        <v>0</v>
      </c>
      <c r="AS541" s="848"/>
      <c r="AT541" s="848">
        <f t="shared" si="509"/>
        <v>0</v>
      </c>
      <c r="AU541" s="848">
        <f t="shared" si="509"/>
        <v>0</v>
      </c>
      <c r="AV541" s="848">
        <f t="shared" si="509"/>
        <v>0</v>
      </c>
      <c r="AW541" s="848">
        <f t="shared" si="509"/>
        <v>0</v>
      </c>
      <c r="AX541" s="848">
        <f>AX542</f>
        <v>0</v>
      </c>
      <c r="AY541" s="848">
        <f t="shared" si="509"/>
        <v>275</v>
      </c>
      <c r="AZ541" s="848">
        <f t="shared" si="509"/>
        <v>0</v>
      </c>
      <c r="BA541" s="848"/>
      <c r="BB541" s="848"/>
      <c r="BC541" s="848">
        <f t="shared" si="509"/>
        <v>0</v>
      </c>
      <c r="BD541" s="848">
        <f t="shared" si="509"/>
        <v>0</v>
      </c>
      <c r="BE541" s="848"/>
      <c r="BF541" s="848">
        <f t="shared" si="509"/>
        <v>0</v>
      </c>
      <c r="BG541" s="848">
        <f t="shared" si="509"/>
        <v>0</v>
      </c>
      <c r="BH541" s="848">
        <f t="shared" si="509"/>
        <v>0</v>
      </c>
      <c r="BI541" s="848">
        <f t="shared" si="509"/>
        <v>0</v>
      </c>
      <c r="BJ541" s="848">
        <f t="shared" si="509"/>
        <v>0</v>
      </c>
      <c r="BK541" s="848">
        <f>BK542</f>
        <v>0</v>
      </c>
      <c r="BL541" s="848">
        <f t="shared" si="509"/>
        <v>0</v>
      </c>
      <c r="BM541" s="848">
        <f t="shared" si="509"/>
        <v>0</v>
      </c>
      <c r="BN541" s="848">
        <f t="shared" si="509"/>
        <v>275</v>
      </c>
      <c r="BO541" s="848">
        <f t="shared" si="490"/>
        <v>274.98399999999998</v>
      </c>
      <c r="BP541" s="848">
        <f t="shared" si="509"/>
        <v>0</v>
      </c>
      <c r="BQ541" s="848"/>
      <c r="BR541" s="848"/>
      <c r="BS541" s="848">
        <f t="shared" si="509"/>
        <v>0</v>
      </c>
      <c r="BT541" s="848">
        <f t="shared" si="509"/>
        <v>0</v>
      </c>
      <c r="BU541" s="848"/>
      <c r="BV541" s="848">
        <f t="shared" si="509"/>
        <v>0</v>
      </c>
      <c r="BW541" s="848">
        <f t="shared" si="509"/>
        <v>0</v>
      </c>
      <c r="BX541" s="848">
        <f t="shared" si="509"/>
        <v>0</v>
      </c>
      <c r="BY541" s="848">
        <f t="shared" si="509"/>
        <v>0</v>
      </c>
      <c r="BZ541" s="848">
        <f t="shared" si="509"/>
        <v>0</v>
      </c>
      <c r="CA541" s="848">
        <f t="shared" si="509"/>
        <v>0</v>
      </c>
      <c r="CB541" s="848">
        <f t="shared" si="509"/>
        <v>0</v>
      </c>
      <c r="CC541" s="848">
        <f t="shared" si="509"/>
        <v>0</v>
      </c>
      <c r="CD541" s="848">
        <f t="shared" si="509"/>
        <v>0</v>
      </c>
      <c r="CE541" s="848">
        <f t="shared" si="509"/>
        <v>274.98399999999998</v>
      </c>
      <c r="CF541" s="848"/>
      <c r="CG541" s="848"/>
      <c r="CH541" s="848"/>
      <c r="CI541" s="848"/>
      <c r="CJ541" s="848"/>
      <c r="CK541" s="848"/>
      <c r="CL541" s="848"/>
      <c r="CM541" s="848"/>
      <c r="CN541" s="848"/>
      <c r="CO541" s="848"/>
      <c r="CP541" s="848"/>
      <c r="CQ541" s="848"/>
      <c r="CR541" s="848"/>
      <c r="CS541" s="848"/>
      <c r="CT541" s="848"/>
      <c r="CU541" s="848"/>
      <c r="CV541" s="848"/>
      <c r="CW541" s="848">
        <f t="shared" si="492"/>
        <v>99.994181818181815</v>
      </c>
    </row>
    <row r="542" spans="1:101" s="851" customFormat="1" ht="24.75" customHeight="1">
      <c r="A542" s="845" t="s">
        <v>11</v>
      </c>
      <c r="B542" s="845"/>
      <c r="C542" s="857" t="s">
        <v>1039</v>
      </c>
      <c r="D542" s="846">
        <f>D543</f>
        <v>0</v>
      </c>
      <c r="E542" s="845">
        <f t="shared" si="509"/>
        <v>0</v>
      </c>
      <c r="F542" s="847"/>
      <c r="G542" s="845"/>
      <c r="H542" s="850">
        <f t="shared" si="503"/>
        <v>3996</v>
      </c>
      <c r="I542" s="848">
        <f t="shared" si="509"/>
        <v>0</v>
      </c>
      <c r="J542" s="848">
        <f t="shared" si="509"/>
        <v>0</v>
      </c>
      <c r="K542" s="848">
        <f t="shared" si="509"/>
        <v>0</v>
      </c>
      <c r="L542" s="848">
        <f t="shared" si="509"/>
        <v>0</v>
      </c>
      <c r="M542" s="848">
        <f t="shared" si="509"/>
        <v>0</v>
      </c>
      <c r="N542" s="848">
        <f t="shared" si="509"/>
        <v>0</v>
      </c>
      <c r="O542" s="848">
        <f t="shared" si="509"/>
        <v>0</v>
      </c>
      <c r="P542" s="848">
        <f t="shared" si="509"/>
        <v>0</v>
      </c>
      <c r="Q542" s="848">
        <f t="shared" si="509"/>
        <v>0</v>
      </c>
      <c r="R542" s="848">
        <v>1800</v>
      </c>
      <c r="S542" s="848">
        <f t="shared" si="509"/>
        <v>2196</v>
      </c>
      <c r="T542" s="848">
        <f t="shared" si="509"/>
        <v>1770</v>
      </c>
      <c r="U542" s="848">
        <f t="shared" si="509"/>
        <v>0</v>
      </c>
      <c r="V542" s="848">
        <f t="shared" si="509"/>
        <v>0</v>
      </c>
      <c r="W542" s="848">
        <f t="shared" si="509"/>
        <v>0</v>
      </c>
      <c r="X542" s="848">
        <f t="shared" si="509"/>
        <v>0</v>
      </c>
      <c r="Y542" s="848">
        <f t="shared" si="509"/>
        <v>0</v>
      </c>
      <c r="Z542" s="848">
        <f t="shared" si="509"/>
        <v>0</v>
      </c>
      <c r="AA542" s="848">
        <f t="shared" si="509"/>
        <v>0</v>
      </c>
      <c r="AB542" s="848">
        <f t="shared" si="509"/>
        <v>0</v>
      </c>
      <c r="AC542" s="848">
        <f t="shared" si="509"/>
        <v>0</v>
      </c>
      <c r="AD542" s="848">
        <f t="shared" si="509"/>
        <v>0</v>
      </c>
      <c r="AE542" s="848"/>
      <c r="AF542" s="848">
        <f t="shared" si="509"/>
        <v>0</v>
      </c>
      <c r="AG542" s="848">
        <f t="shared" si="509"/>
        <v>0</v>
      </c>
      <c r="AH542" s="848">
        <f t="shared" si="509"/>
        <v>1770</v>
      </c>
      <c r="AI542" s="848">
        <f t="shared" si="509"/>
        <v>0</v>
      </c>
      <c r="AJ542" s="848">
        <f t="shared" si="509"/>
        <v>0</v>
      </c>
      <c r="AK542" s="848">
        <f t="shared" si="509"/>
        <v>0</v>
      </c>
      <c r="AL542" s="848">
        <f t="shared" si="509"/>
        <v>0</v>
      </c>
      <c r="AM542" s="848">
        <f t="shared" si="509"/>
        <v>0</v>
      </c>
      <c r="AN542" s="848">
        <f t="shared" si="509"/>
        <v>0</v>
      </c>
      <c r="AO542" s="848">
        <f t="shared" si="509"/>
        <v>0</v>
      </c>
      <c r="AP542" s="848">
        <f t="shared" si="509"/>
        <v>0</v>
      </c>
      <c r="AQ542" s="848">
        <f t="shared" si="509"/>
        <v>0</v>
      </c>
      <c r="AR542" s="848">
        <f t="shared" si="509"/>
        <v>0</v>
      </c>
      <c r="AS542" s="848"/>
      <c r="AT542" s="848">
        <f t="shared" si="509"/>
        <v>0</v>
      </c>
      <c r="AU542" s="848">
        <f t="shared" si="509"/>
        <v>0</v>
      </c>
      <c r="AV542" s="848">
        <f t="shared" si="509"/>
        <v>0</v>
      </c>
      <c r="AW542" s="848">
        <f t="shared" si="509"/>
        <v>0</v>
      </c>
      <c r="AX542" s="848">
        <f>AX543</f>
        <v>0</v>
      </c>
      <c r="AY542" s="848">
        <f t="shared" si="509"/>
        <v>275</v>
      </c>
      <c r="AZ542" s="848">
        <f t="shared" si="509"/>
        <v>0</v>
      </c>
      <c r="BA542" s="848"/>
      <c r="BB542" s="848"/>
      <c r="BC542" s="848">
        <f t="shared" si="509"/>
        <v>0</v>
      </c>
      <c r="BD542" s="848">
        <f t="shared" si="509"/>
        <v>0</v>
      </c>
      <c r="BE542" s="848"/>
      <c r="BF542" s="848">
        <f t="shared" si="509"/>
        <v>0</v>
      </c>
      <c r="BG542" s="848">
        <f t="shared" si="509"/>
        <v>0</v>
      </c>
      <c r="BH542" s="848">
        <f t="shared" si="509"/>
        <v>0</v>
      </c>
      <c r="BI542" s="848">
        <f t="shared" si="509"/>
        <v>0</v>
      </c>
      <c r="BJ542" s="848">
        <f t="shared" si="509"/>
        <v>0</v>
      </c>
      <c r="BK542" s="848">
        <f t="shared" si="509"/>
        <v>0</v>
      </c>
      <c r="BL542" s="848">
        <f t="shared" si="509"/>
        <v>0</v>
      </c>
      <c r="BM542" s="848">
        <f t="shared" si="509"/>
        <v>0</v>
      </c>
      <c r="BN542" s="848">
        <f t="shared" si="509"/>
        <v>275</v>
      </c>
      <c r="BO542" s="848">
        <f t="shared" si="490"/>
        <v>274.98399999999998</v>
      </c>
      <c r="BP542" s="848">
        <f t="shared" si="509"/>
        <v>0</v>
      </c>
      <c r="BQ542" s="848"/>
      <c r="BR542" s="848"/>
      <c r="BS542" s="848">
        <f t="shared" si="509"/>
        <v>0</v>
      </c>
      <c r="BT542" s="848">
        <f t="shared" si="509"/>
        <v>0</v>
      </c>
      <c r="BU542" s="848"/>
      <c r="BV542" s="848">
        <f t="shared" si="509"/>
        <v>0</v>
      </c>
      <c r="BW542" s="848">
        <f t="shared" si="509"/>
        <v>0</v>
      </c>
      <c r="BX542" s="848">
        <f t="shared" si="509"/>
        <v>0</v>
      </c>
      <c r="BY542" s="848">
        <f t="shared" si="509"/>
        <v>0</v>
      </c>
      <c r="BZ542" s="848">
        <f t="shared" si="509"/>
        <v>0</v>
      </c>
      <c r="CA542" s="848">
        <f t="shared" si="509"/>
        <v>0</v>
      </c>
      <c r="CB542" s="848">
        <f t="shared" si="509"/>
        <v>0</v>
      </c>
      <c r="CC542" s="848">
        <f t="shared" si="509"/>
        <v>0</v>
      </c>
      <c r="CD542" s="848">
        <f t="shared" si="509"/>
        <v>0</v>
      </c>
      <c r="CE542" s="848">
        <f t="shared" si="509"/>
        <v>274.98399999999998</v>
      </c>
      <c r="CF542" s="848"/>
      <c r="CG542" s="848"/>
      <c r="CH542" s="848"/>
      <c r="CI542" s="848"/>
      <c r="CJ542" s="848"/>
      <c r="CK542" s="848"/>
      <c r="CL542" s="848"/>
      <c r="CM542" s="848"/>
      <c r="CN542" s="848"/>
      <c r="CO542" s="848"/>
      <c r="CP542" s="848"/>
      <c r="CQ542" s="848"/>
      <c r="CR542" s="848"/>
      <c r="CS542" s="848"/>
      <c r="CT542" s="848"/>
      <c r="CU542" s="848"/>
      <c r="CV542" s="848"/>
      <c r="CW542" s="848">
        <f t="shared" si="492"/>
        <v>99.994181818181815</v>
      </c>
    </row>
    <row r="543" spans="1:101" s="851" customFormat="1" ht="24.75" customHeight="1">
      <c r="A543" s="845"/>
      <c r="B543" s="845"/>
      <c r="C543" s="857" t="s">
        <v>358</v>
      </c>
      <c r="D543" s="846">
        <f>D544</f>
        <v>0</v>
      </c>
      <c r="E543" s="845">
        <f t="shared" si="509"/>
        <v>0</v>
      </c>
      <c r="F543" s="847"/>
      <c r="G543" s="845"/>
      <c r="H543" s="850">
        <f t="shared" si="503"/>
        <v>3996</v>
      </c>
      <c r="I543" s="848">
        <f t="shared" si="509"/>
        <v>0</v>
      </c>
      <c r="J543" s="848">
        <f t="shared" si="509"/>
        <v>0</v>
      </c>
      <c r="K543" s="848">
        <f t="shared" si="509"/>
        <v>0</v>
      </c>
      <c r="L543" s="848">
        <f t="shared" si="509"/>
        <v>0</v>
      </c>
      <c r="M543" s="848">
        <f t="shared" si="509"/>
        <v>0</v>
      </c>
      <c r="N543" s="848">
        <f t="shared" si="509"/>
        <v>0</v>
      </c>
      <c r="O543" s="848">
        <f t="shared" si="509"/>
        <v>0</v>
      </c>
      <c r="P543" s="848">
        <f t="shared" si="509"/>
        <v>0</v>
      </c>
      <c r="Q543" s="848">
        <f t="shared" si="509"/>
        <v>0</v>
      </c>
      <c r="R543" s="848">
        <v>1800</v>
      </c>
      <c r="S543" s="848">
        <f t="shared" si="509"/>
        <v>2196</v>
      </c>
      <c r="T543" s="855">
        <f t="shared" si="501"/>
        <v>1770</v>
      </c>
      <c r="U543" s="848">
        <f t="shared" si="509"/>
        <v>0</v>
      </c>
      <c r="V543" s="848">
        <f t="shared" si="509"/>
        <v>0</v>
      </c>
      <c r="W543" s="848">
        <f t="shared" si="509"/>
        <v>0</v>
      </c>
      <c r="X543" s="848">
        <f t="shared" si="509"/>
        <v>0</v>
      </c>
      <c r="Y543" s="848">
        <f t="shared" si="509"/>
        <v>0</v>
      </c>
      <c r="Z543" s="848">
        <f t="shared" si="509"/>
        <v>0</v>
      </c>
      <c r="AA543" s="848">
        <f t="shared" si="509"/>
        <v>0</v>
      </c>
      <c r="AB543" s="848">
        <f t="shared" si="509"/>
        <v>0</v>
      </c>
      <c r="AC543" s="848">
        <f t="shared" si="509"/>
        <v>0</v>
      </c>
      <c r="AD543" s="848"/>
      <c r="AE543" s="848"/>
      <c r="AF543" s="848">
        <f t="shared" si="509"/>
        <v>0</v>
      </c>
      <c r="AG543" s="848">
        <f t="shared" si="509"/>
        <v>0</v>
      </c>
      <c r="AH543" s="848">
        <f t="shared" si="509"/>
        <v>1770</v>
      </c>
      <c r="AI543" s="848">
        <f t="shared" si="509"/>
        <v>0</v>
      </c>
      <c r="AJ543" s="848">
        <f t="shared" si="509"/>
        <v>0</v>
      </c>
      <c r="AK543" s="848">
        <f t="shared" si="509"/>
        <v>0</v>
      </c>
      <c r="AL543" s="848">
        <f t="shared" si="509"/>
        <v>0</v>
      </c>
      <c r="AM543" s="848">
        <f t="shared" si="509"/>
        <v>0</v>
      </c>
      <c r="AN543" s="848">
        <f t="shared" si="509"/>
        <v>0</v>
      </c>
      <c r="AO543" s="848">
        <f t="shared" si="509"/>
        <v>0</v>
      </c>
      <c r="AP543" s="848">
        <f t="shared" si="509"/>
        <v>0</v>
      </c>
      <c r="AQ543" s="848">
        <f t="shared" si="509"/>
        <v>0</v>
      </c>
      <c r="AR543" s="848">
        <f t="shared" si="509"/>
        <v>0</v>
      </c>
      <c r="AS543" s="848"/>
      <c r="AT543" s="848">
        <f t="shared" si="509"/>
        <v>0</v>
      </c>
      <c r="AU543" s="848">
        <f t="shared" si="509"/>
        <v>0</v>
      </c>
      <c r="AV543" s="848">
        <f t="shared" si="509"/>
        <v>0</v>
      </c>
      <c r="AW543" s="848">
        <f t="shared" si="509"/>
        <v>0</v>
      </c>
      <c r="AX543" s="848">
        <f t="shared" si="509"/>
        <v>0</v>
      </c>
      <c r="AY543" s="848">
        <f t="shared" si="509"/>
        <v>275</v>
      </c>
      <c r="AZ543" s="848">
        <f t="shared" si="509"/>
        <v>0</v>
      </c>
      <c r="BA543" s="848"/>
      <c r="BB543" s="848"/>
      <c r="BC543" s="848">
        <f t="shared" si="509"/>
        <v>0</v>
      </c>
      <c r="BD543" s="848">
        <f t="shared" si="509"/>
        <v>0</v>
      </c>
      <c r="BE543" s="848"/>
      <c r="BF543" s="848">
        <f t="shared" si="509"/>
        <v>0</v>
      </c>
      <c r="BG543" s="848">
        <f t="shared" si="509"/>
        <v>0</v>
      </c>
      <c r="BH543" s="848">
        <f t="shared" si="509"/>
        <v>0</v>
      </c>
      <c r="BI543" s="848">
        <f t="shared" si="509"/>
        <v>0</v>
      </c>
      <c r="BJ543" s="848">
        <f t="shared" si="509"/>
        <v>0</v>
      </c>
      <c r="BK543" s="848">
        <f t="shared" si="509"/>
        <v>0</v>
      </c>
      <c r="BL543" s="848">
        <f t="shared" si="509"/>
        <v>0</v>
      </c>
      <c r="BM543" s="848">
        <f t="shared" si="509"/>
        <v>0</v>
      </c>
      <c r="BN543" s="848">
        <f t="shared" si="509"/>
        <v>275</v>
      </c>
      <c r="BO543" s="848">
        <f t="shared" si="490"/>
        <v>274.98399999999998</v>
      </c>
      <c r="BP543" s="848">
        <f t="shared" si="509"/>
        <v>0</v>
      </c>
      <c r="BQ543" s="848"/>
      <c r="BR543" s="848"/>
      <c r="BS543" s="848">
        <f t="shared" si="509"/>
        <v>0</v>
      </c>
      <c r="BT543" s="848">
        <f t="shared" si="509"/>
        <v>0</v>
      </c>
      <c r="BU543" s="848"/>
      <c r="BV543" s="848">
        <f t="shared" si="509"/>
        <v>0</v>
      </c>
      <c r="BW543" s="848">
        <f t="shared" si="509"/>
        <v>0</v>
      </c>
      <c r="BX543" s="848">
        <f t="shared" si="509"/>
        <v>0</v>
      </c>
      <c r="BY543" s="848">
        <f t="shared" si="509"/>
        <v>0</v>
      </c>
      <c r="BZ543" s="848">
        <f t="shared" si="509"/>
        <v>0</v>
      </c>
      <c r="CA543" s="848">
        <f t="shared" si="509"/>
        <v>0</v>
      </c>
      <c r="CB543" s="848">
        <f t="shared" si="509"/>
        <v>0</v>
      </c>
      <c r="CC543" s="848">
        <f t="shared" si="509"/>
        <v>0</v>
      </c>
      <c r="CD543" s="848">
        <f t="shared" si="509"/>
        <v>0</v>
      </c>
      <c r="CE543" s="848">
        <f t="shared" si="509"/>
        <v>274.98399999999998</v>
      </c>
      <c r="CF543" s="848"/>
      <c r="CG543" s="848"/>
      <c r="CH543" s="848"/>
      <c r="CI543" s="848"/>
      <c r="CJ543" s="848"/>
      <c r="CK543" s="848"/>
      <c r="CL543" s="848"/>
      <c r="CM543" s="848"/>
      <c r="CN543" s="848"/>
      <c r="CO543" s="848"/>
      <c r="CP543" s="848"/>
      <c r="CQ543" s="848"/>
      <c r="CR543" s="848"/>
      <c r="CS543" s="848"/>
      <c r="CT543" s="848"/>
      <c r="CU543" s="848"/>
      <c r="CV543" s="848"/>
      <c r="CW543" s="848">
        <f t="shared" si="492"/>
        <v>99.994181818181815</v>
      </c>
    </row>
    <row r="544" spans="1:101" ht="40.9" customHeight="1">
      <c r="A544" s="845"/>
      <c r="B544" s="852" t="s">
        <v>1039</v>
      </c>
      <c r="C544" s="852" t="s">
        <v>1218</v>
      </c>
      <c r="D544" s="846"/>
      <c r="E544" s="845"/>
      <c r="F544" s="853">
        <v>2014</v>
      </c>
      <c r="G544" s="854" t="s">
        <v>1219</v>
      </c>
      <c r="H544" s="850">
        <f t="shared" si="503"/>
        <v>3996</v>
      </c>
      <c r="I544" s="850"/>
      <c r="J544" s="848"/>
      <c r="K544" s="848"/>
      <c r="L544" s="848"/>
      <c r="M544" s="848"/>
      <c r="N544" s="848"/>
      <c r="O544" s="848"/>
      <c r="P544" s="848"/>
      <c r="Q544" s="848"/>
      <c r="R544" s="855">
        <v>1800</v>
      </c>
      <c r="S544" s="855">
        <v>2196</v>
      </c>
      <c r="T544" s="855">
        <f t="shared" si="501"/>
        <v>1770</v>
      </c>
      <c r="U544" s="848"/>
      <c r="V544" s="848"/>
      <c r="W544" s="848"/>
      <c r="X544" s="848"/>
      <c r="Y544" s="848"/>
      <c r="Z544" s="848"/>
      <c r="AA544" s="848"/>
      <c r="AB544" s="848"/>
      <c r="AC544" s="848"/>
      <c r="AD544" s="848"/>
      <c r="AE544" s="848"/>
      <c r="AF544" s="848"/>
      <c r="AG544" s="848"/>
      <c r="AH544" s="855">
        <v>1770</v>
      </c>
      <c r="AI544" s="855"/>
      <c r="AJ544" s="855"/>
      <c r="AK544" s="855"/>
      <c r="AL544" s="855"/>
      <c r="AM544" s="855"/>
      <c r="AN544" s="855"/>
      <c r="AO544" s="855"/>
      <c r="AP544" s="855"/>
      <c r="AQ544" s="855"/>
      <c r="AR544" s="855"/>
      <c r="AS544" s="855"/>
      <c r="AT544" s="855"/>
      <c r="AU544" s="855"/>
      <c r="AV544" s="855"/>
      <c r="AW544" s="855"/>
      <c r="AX544" s="855"/>
      <c r="AY544" s="855">
        <f t="shared" ref="AY544" si="511">SUM(AZ544:BN544)</f>
        <v>275</v>
      </c>
      <c r="AZ544" s="855"/>
      <c r="BA544" s="855"/>
      <c r="BB544" s="855"/>
      <c r="BC544" s="855"/>
      <c r="BD544" s="855"/>
      <c r="BE544" s="855"/>
      <c r="BF544" s="855"/>
      <c r="BG544" s="855"/>
      <c r="BH544" s="855"/>
      <c r="BI544" s="855"/>
      <c r="BJ544" s="855"/>
      <c r="BK544" s="855"/>
      <c r="BL544" s="855"/>
      <c r="BM544" s="855"/>
      <c r="BN544" s="855">
        <v>275</v>
      </c>
      <c r="BO544" s="848">
        <f t="shared" si="490"/>
        <v>274.98399999999998</v>
      </c>
      <c r="BP544" s="855"/>
      <c r="BQ544" s="855"/>
      <c r="BR544" s="855"/>
      <c r="BS544" s="855"/>
      <c r="BT544" s="855"/>
      <c r="BU544" s="855"/>
      <c r="BV544" s="855"/>
      <c r="BW544" s="855"/>
      <c r="BX544" s="855"/>
      <c r="BY544" s="855"/>
      <c r="BZ544" s="855"/>
      <c r="CA544" s="855"/>
      <c r="CB544" s="855"/>
      <c r="CC544" s="855"/>
      <c r="CD544" s="855"/>
      <c r="CE544" s="855">
        <v>274.98399999999998</v>
      </c>
      <c r="CF544" s="848"/>
      <c r="CG544" s="848"/>
      <c r="CH544" s="848"/>
      <c r="CI544" s="848"/>
      <c r="CJ544" s="848"/>
      <c r="CK544" s="848"/>
      <c r="CL544" s="848"/>
      <c r="CM544" s="848"/>
      <c r="CN544" s="848"/>
      <c r="CO544" s="848"/>
      <c r="CP544" s="848"/>
      <c r="CQ544" s="848"/>
      <c r="CR544" s="848"/>
      <c r="CS544" s="848"/>
      <c r="CT544" s="848"/>
      <c r="CU544" s="848"/>
      <c r="CV544" s="848"/>
      <c r="CW544" s="848">
        <f t="shared" si="492"/>
        <v>99.994181818181815</v>
      </c>
    </row>
    <row r="545" spans="1:101" ht="24.75" customHeight="1">
      <c r="A545" s="845" t="s">
        <v>1220</v>
      </c>
      <c r="B545" s="845"/>
      <c r="C545" s="845" t="s">
        <v>1221</v>
      </c>
      <c r="D545" s="846">
        <f>D546+D554+D557+D562</f>
        <v>0</v>
      </c>
      <c r="E545" s="845">
        <f t="shared" ref="E545:AW545" si="512">E546+E554+E557+E562</f>
        <v>0</v>
      </c>
      <c r="F545" s="847"/>
      <c r="G545" s="845"/>
      <c r="H545" s="850">
        <f t="shared" si="503"/>
        <v>2096090</v>
      </c>
      <c r="I545" s="848">
        <f t="shared" si="512"/>
        <v>0</v>
      </c>
      <c r="J545" s="848">
        <f t="shared" si="512"/>
        <v>38458</v>
      </c>
      <c r="K545" s="848">
        <f t="shared" si="512"/>
        <v>0</v>
      </c>
      <c r="L545" s="848">
        <f t="shared" si="512"/>
        <v>988076</v>
      </c>
      <c r="M545" s="848">
        <f t="shared" si="512"/>
        <v>0</v>
      </c>
      <c r="N545" s="848">
        <f t="shared" si="512"/>
        <v>98164</v>
      </c>
      <c r="O545" s="848">
        <f t="shared" si="512"/>
        <v>0</v>
      </c>
      <c r="P545" s="848">
        <f t="shared" si="512"/>
        <v>0</v>
      </c>
      <c r="Q545" s="848">
        <f t="shared" si="512"/>
        <v>0</v>
      </c>
      <c r="R545" s="848">
        <v>919626</v>
      </c>
      <c r="S545" s="848">
        <f t="shared" si="512"/>
        <v>51766</v>
      </c>
      <c r="T545" s="855">
        <f t="shared" si="501"/>
        <v>915533.036983</v>
      </c>
      <c r="U545" s="848">
        <f t="shared" ref="U545:AH545" si="513">U546+U554+U557+U562</f>
        <v>787678.168221</v>
      </c>
      <c r="V545" s="848">
        <f t="shared" si="513"/>
        <v>0</v>
      </c>
      <c r="W545" s="848">
        <f t="shared" si="513"/>
        <v>51945.647499999999</v>
      </c>
      <c r="X545" s="848">
        <f t="shared" si="513"/>
        <v>0</v>
      </c>
      <c r="Y545" s="848">
        <f t="shared" si="513"/>
        <v>6254.7990200000004</v>
      </c>
      <c r="Z545" s="848">
        <f t="shared" si="513"/>
        <v>5000</v>
      </c>
      <c r="AA545" s="848">
        <f t="shared" si="513"/>
        <v>0</v>
      </c>
      <c r="AB545" s="848">
        <f t="shared" si="513"/>
        <v>0</v>
      </c>
      <c r="AC545" s="848">
        <f t="shared" si="513"/>
        <v>44166.409242000002</v>
      </c>
      <c r="AD545" s="848">
        <f t="shared" si="513"/>
        <v>0</v>
      </c>
      <c r="AE545" s="848"/>
      <c r="AF545" s="848">
        <f t="shared" si="513"/>
        <v>0</v>
      </c>
      <c r="AG545" s="848">
        <f t="shared" si="513"/>
        <v>0</v>
      </c>
      <c r="AH545" s="848">
        <f t="shared" si="513"/>
        <v>20488.012999999999</v>
      </c>
      <c r="AI545" s="848">
        <f t="shared" si="512"/>
        <v>824675</v>
      </c>
      <c r="AJ545" s="848">
        <f t="shared" si="512"/>
        <v>757596</v>
      </c>
      <c r="AK545" s="848">
        <f t="shared" si="512"/>
        <v>0</v>
      </c>
      <c r="AL545" s="848">
        <f t="shared" si="512"/>
        <v>43031</v>
      </c>
      <c r="AM545" s="848">
        <f t="shared" si="512"/>
        <v>0</v>
      </c>
      <c r="AN545" s="848">
        <f t="shared" si="512"/>
        <v>0</v>
      </c>
      <c r="AO545" s="848">
        <f t="shared" si="512"/>
        <v>8500</v>
      </c>
      <c r="AP545" s="848">
        <f t="shared" si="512"/>
        <v>0</v>
      </c>
      <c r="AQ545" s="848">
        <f t="shared" si="512"/>
        <v>0</v>
      </c>
      <c r="AR545" s="848">
        <f t="shared" si="512"/>
        <v>0</v>
      </c>
      <c r="AS545" s="848"/>
      <c r="AT545" s="848">
        <f t="shared" si="512"/>
        <v>0</v>
      </c>
      <c r="AU545" s="848">
        <f t="shared" si="512"/>
        <v>0</v>
      </c>
      <c r="AV545" s="848">
        <f t="shared" si="512"/>
        <v>0</v>
      </c>
      <c r="AW545" s="848">
        <f t="shared" si="512"/>
        <v>6540</v>
      </c>
      <c r="AX545" s="848">
        <f>AX546+AX554+AX557+AX562</f>
        <v>9008</v>
      </c>
      <c r="AY545" s="848">
        <f>AY546+AY554+AY557+AY568+AY562</f>
        <v>20289.781999999999</v>
      </c>
      <c r="AZ545" s="848">
        <f t="shared" ref="AZ545:BB545" si="514">AZ546+AZ554+AZ557+AZ562+AZ568</f>
        <v>0</v>
      </c>
      <c r="BA545" s="848">
        <f t="shared" si="514"/>
        <v>0</v>
      </c>
      <c r="BB545" s="848">
        <f t="shared" si="514"/>
        <v>0</v>
      </c>
      <c r="BC545" s="848">
        <f>BC546+BC554+BC557+BC562+BC568</f>
        <v>13628</v>
      </c>
      <c r="BD545" s="848">
        <f t="shared" ref="BD545:BN545" si="515">BD546+BD554+BD557+BD562+BD568</f>
        <v>0</v>
      </c>
      <c r="BE545" s="848"/>
      <c r="BF545" s="848">
        <f t="shared" si="515"/>
        <v>0</v>
      </c>
      <c r="BG545" s="848">
        <f t="shared" si="515"/>
        <v>0</v>
      </c>
      <c r="BH545" s="848">
        <f t="shared" si="515"/>
        <v>0</v>
      </c>
      <c r="BI545" s="848">
        <f t="shared" si="515"/>
        <v>0</v>
      </c>
      <c r="BJ545" s="848">
        <f t="shared" si="515"/>
        <v>0</v>
      </c>
      <c r="BK545" s="848">
        <f t="shared" si="515"/>
        <v>1149</v>
      </c>
      <c r="BL545" s="848">
        <f t="shared" si="515"/>
        <v>0</v>
      </c>
      <c r="BM545" s="848">
        <f t="shared" si="515"/>
        <v>0</v>
      </c>
      <c r="BN545" s="848">
        <f t="shared" si="515"/>
        <v>5512.7820000000002</v>
      </c>
      <c r="BO545" s="848">
        <f t="shared" si="490"/>
        <v>45722.228717999991</v>
      </c>
      <c r="BP545" s="848">
        <f>BP546+BP554+BP557+BP562+BP568</f>
        <v>4559.4359490000006</v>
      </c>
      <c r="BQ545" s="848">
        <f t="shared" ref="BQ545:CD545" si="516">BQ546+BQ554+BQ557+BQ562+BQ568</f>
        <v>0</v>
      </c>
      <c r="BR545" s="848">
        <f t="shared" si="516"/>
        <v>1180.6386480000001</v>
      </c>
      <c r="BS545" s="848">
        <f t="shared" si="516"/>
        <v>33636.199999999997</v>
      </c>
      <c r="BT545" s="848">
        <f t="shared" si="516"/>
        <v>0</v>
      </c>
      <c r="BU545" s="848">
        <f t="shared" si="516"/>
        <v>0</v>
      </c>
      <c r="BV545" s="848">
        <f t="shared" si="516"/>
        <v>0</v>
      </c>
      <c r="BW545" s="848">
        <f t="shared" si="516"/>
        <v>0</v>
      </c>
      <c r="BX545" s="848">
        <f t="shared" si="516"/>
        <v>0</v>
      </c>
      <c r="BY545" s="848">
        <f t="shared" si="516"/>
        <v>0</v>
      </c>
      <c r="BZ545" s="848">
        <f t="shared" si="516"/>
        <v>0</v>
      </c>
      <c r="CA545" s="848">
        <f t="shared" si="516"/>
        <v>1148.0008330000001</v>
      </c>
      <c r="CB545" s="848">
        <f t="shared" si="516"/>
        <v>0</v>
      </c>
      <c r="CC545" s="848">
        <f t="shared" si="516"/>
        <v>0</v>
      </c>
      <c r="CD545" s="848">
        <f t="shared" si="516"/>
        <v>0</v>
      </c>
      <c r="CE545" s="848">
        <f>CE546+CE554+CE557+CE562+CE568</f>
        <v>5197.9532879999997</v>
      </c>
      <c r="CF545" s="848">
        <f>BO545/AY545%</f>
        <v>225.34608167795983</v>
      </c>
      <c r="CG545" s="848"/>
      <c r="CH545" s="848"/>
      <c r="CI545" s="848"/>
      <c r="CJ545" s="848">
        <f t="shared" si="493"/>
        <v>246.8168476665688</v>
      </c>
      <c r="CK545" s="848"/>
      <c r="CL545" s="848"/>
      <c r="CM545" s="848"/>
      <c r="CN545" s="848"/>
      <c r="CO545" s="848"/>
      <c r="CP545" s="848"/>
      <c r="CQ545" s="848"/>
      <c r="CR545" s="848">
        <f t="shared" ref="CQ545:CR578" si="517">CA545/BK545*100</f>
        <v>99.913040295909497</v>
      </c>
      <c r="CS545" s="848"/>
      <c r="CT545" s="848"/>
      <c r="CU545" s="848"/>
      <c r="CV545" s="848"/>
      <c r="CW545" s="848">
        <f t="shared" si="492"/>
        <v>94.289113699761756</v>
      </c>
    </row>
    <row r="546" spans="1:101" ht="24.75" customHeight="1">
      <c r="A546" s="845" t="s">
        <v>11</v>
      </c>
      <c r="B546" s="845"/>
      <c r="C546" s="845" t="s">
        <v>357</v>
      </c>
      <c r="D546" s="846">
        <f>D547+D552</f>
        <v>0</v>
      </c>
      <c r="E546" s="845">
        <f t="shared" ref="E546:CD546" si="518">E547+E552</f>
        <v>0</v>
      </c>
      <c r="F546" s="847"/>
      <c r="G546" s="845"/>
      <c r="H546" s="850">
        <f t="shared" si="503"/>
        <v>49486</v>
      </c>
      <c r="I546" s="848">
        <f t="shared" si="518"/>
        <v>0</v>
      </c>
      <c r="J546" s="848">
        <f t="shared" si="518"/>
        <v>0</v>
      </c>
      <c r="K546" s="848">
        <f t="shared" si="518"/>
        <v>0</v>
      </c>
      <c r="L546" s="848">
        <f t="shared" si="518"/>
        <v>0</v>
      </c>
      <c r="M546" s="848">
        <f t="shared" si="518"/>
        <v>0</v>
      </c>
      <c r="N546" s="848">
        <f t="shared" si="518"/>
        <v>0</v>
      </c>
      <c r="O546" s="848">
        <f t="shared" si="518"/>
        <v>0</v>
      </c>
      <c r="P546" s="848">
        <f t="shared" si="518"/>
        <v>0</v>
      </c>
      <c r="Q546" s="848">
        <f t="shared" si="518"/>
        <v>0</v>
      </c>
      <c r="R546" s="848">
        <v>15449</v>
      </c>
      <c r="S546" s="848">
        <f t="shared" si="518"/>
        <v>34037</v>
      </c>
      <c r="T546" s="855">
        <f t="shared" si="501"/>
        <v>21908.012999999999</v>
      </c>
      <c r="U546" s="848">
        <f t="shared" ref="U546:AH546" si="519">U547+U552</f>
        <v>0</v>
      </c>
      <c r="V546" s="848">
        <f t="shared" si="519"/>
        <v>0</v>
      </c>
      <c r="W546" s="848">
        <f t="shared" si="519"/>
        <v>0</v>
      </c>
      <c r="X546" s="848">
        <f t="shared" si="519"/>
        <v>0</v>
      </c>
      <c r="Y546" s="848">
        <f t="shared" si="519"/>
        <v>3550</v>
      </c>
      <c r="Z546" s="848">
        <f t="shared" si="519"/>
        <v>0</v>
      </c>
      <c r="AA546" s="848">
        <f t="shared" si="519"/>
        <v>0</v>
      </c>
      <c r="AB546" s="848">
        <f t="shared" si="519"/>
        <v>0</v>
      </c>
      <c r="AC546" s="848">
        <f t="shared" si="519"/>
        <v>0</v>
      </c>
      <c r="AD546" s="848">
        <f t="shared" si="519"/>
        <v>0</v>
      </c>
      <c r="AE546" s="848"/>
      <c r="AF546" s="848">
        <f t="shared" si="519"/>
        <v>0</v>
      </c>
      <c r="AG546" s="848">
        <f t="shared" si="519"/>
        <v>0</v>
      </c>
      <c r="AH546" s="848">
        <f t="shared" si="519"/>
        <v>18358.012999999999</v>
      </c>
      <c r="AI546" s="848">
        <f t="shared" si="518"/>
        <v>5174</v>
      </c>
      <c r="AJ546" s="848">
        <f t="shared" si="518"/>
        <v>50</v>
      </c>
      <c r="AK546" s="848">
        <f t="shared" si="518"/>
        <v>0</v>
      </c>
      <c r="AL546" s="848">
        <f t="shared" si="518"/>
        <v>0</v>
      </c>
      <c r="AM546" s="848">
        <f t="shared" si="518"/>
        <v>0</v>
      </c>
      <c r="AN546" s="848">
        <f t="shared" si="518"/>
        <v>0</v>
      </c>
      <c r="AO546" s="848">
        <f t="shared" si="518"/>
        <v>0</v>
      </c>
      <c r="AP546" s="848">
        <f t="shared" si="518"/>
        <v>0</v>
      </c>
      <c r="AQ546" s="848">
        <f t="shared" si="518"/>
        <v>0</v>
      </c>
      <c r="AR546" s="848">
        <f t="shared" si="518"/>
        <v>0</v>
      </c>
      <c r="AS546" s="848"/>
      <c r="AT546" s="848">
        <f t="shared" si="518"/>
        <v>0</v>
      </c>
      <c r="AU546" s="848">
        <f t="shared" si="518"/>
        <v>0</v>
      </c>
      <c r="AV546" s="848">
        <f t="shared" si="518"/>
        <v>0</v>
      </c>
      <c r="AW546" s="848">
        <f t="shared" si="518"/>
        <v>0</v>
      </c>
      <c r="AX546" s="848">
        <f>AX547+AX552</f>
        <v>5124</v>
      </c>
      <c r="AY546" s="848">
        <f t="shared" si="518"/>
        <v>1318</v>
      </c>
      <c r="AZ546" s="848">
        <f t="shared" si="518"/>
        <v>0</v>
      </c>
      <c r="BA546" s="848">
        <f t="shared" si="518"/>
        <v>0</v>
      </c>
      <c r="BB546" s="848">
        <f t="shared" si="518"/>
        <v>0</v>
      </c>
      <c r="BC546" s="848">
        <f t="shared" si="518"/>
        <v>0</v>
      </c>
      <c r="BD546" s="848">
        <f t="shared" si="518"/>
        <v>0</v>
      </c>
      <c r="BE546" s="848">
        <f t="shared" si="518"/>
        <v>0</v>
      </c>
      <c r="BF546" s="848">
        <f t="shared" si="518"/>
        <v>0</v>
      </c>
      <c r="BG546" s="848">
        <f t="shared" si="518"/>
        <v>0</v>
      </c>
      <c r="BH546" s="848">
        <f t="shared" si="518"/>
        <v>0</v>
      </c>
      <c r="BI546" s="848">
        <f t="shared" si="518"/>
        <v>0</v>
      </c>
      <c r="BJ546" s="848">
        <f t="shared" si="518"/>
        <v>0</v>
      </c>
      <c r="BK546" s="848">
        <f t="shared" si="518"/>
        <v>149</v>
      </c>
      <c r="BL546" s="848">
        <f t="shared" si="518"/>
        <v>0</v>
      </c>
      <c r="BM546" s="848">
        <f t="shared" si="518"/>
        <v>0</v>
      </c>
      <c r="BN546" s="848">
        <f t="shared" si="518"/>
        <v>1169</v>
      </c>
      <c r="BO546" s="848">
        <f t="shared" si="490"/>
        <v>1314.337221</v>
      </c>
      <c r="BP546" s="848">
        <f t="shared" si="518"/>
        <v>0</v>
      </c>
      <c r="BQ546" s="848">
        <f t="shared" si="518"/>
        <v>0</v>
      </c>
      <c r="BR546" s="848">
        <f t="shared" si="518"/>
        <v>0</v>
      </c>
      <c r="BS546" s="848">
        <f t="shared" si="518"/>
        <v>0</v>
      </c>
      <c r="BT546" s="848">
        <f t="shared" si="518"/>
        <v>0</v>
      </c>
      <c r="BU546" s="848">
        <f t="shared" si="518"/>
        <v>0</v>
      </c>
      <c r="BV546" s="848">
        <f t="shared" si="518"/>
        <v>0</v>
      </c>
      <c r="BW546" s="848">
        <f t="shared" si="518"/>
        <v>0</v>
      </c>
      <c r="BX546" s="848">
        <f t="shared" si="518"/>
        <v>0</v>
      </c>
      <c r="BY546" s="848">
        <f t="shared" si="518"/>
        <v>0</v>
      </c>
      <c r="BZ546" s="848">
        <f t="shared" si="518"/>
        <v>0</v>
      </c>
      <c r="CA546" s="848">
        <f t="shared" si="518"/>
        <v>148.000833</v>
      </c>
      <c r="CB546" s="848">
        <f t="shared" si="518"/>
        <v>0</v>
      </c>
      <c r="CC546" s="848">
        <f t="shared" si="518"/>
        <v>0</v>
      </c>
      <c r="CD546" s="848">
        <f t="shared" si="518"/>
        <v>0</v>
      </c>
      <c r="CE546" s="848">
        <f>CE547+CE552</f>
        <v>1166.3363879999999</v>
      </c>
      <c r="CF546" s="848">
        <f>BO546/AY546%</f>
        <v>99.72209567526555</v>
      </c>
      <c r="CG546" s="848"/>
      <c r="CH546" s="848"/>
      <c r="CI546" s="848"/>
      <c r="CJ546" s="848"/>
      <c r="CK546" s="848"/>
      <c r="CL546" s="848"/>
      <c r="CM546" s="848"/>
      <c r="CN546" s="848"/>
      <c r="CO546" s="848"/>
      <c r="CP546" s="848"/>
      <c r="CQ546" s="848"/>
      <c r="CR546" s="848">
        <f t="shared" si="517"/>
        <v>99.329418120805371</v>
      </c>
      <c r="CS546" s="848"/>
      <c r="CT546" s="848"/>
      <c r="CU546" s="848"/>
      <c r="CV546" s="848"/>
      <c r="CW546" s="848">
        <f t="shared" si="492"/>
        <v>99.772146107784422</v>
      </c>
    </row>
    <row r="547" spans="1:101" ht="24.75" customHeight="1">
      <c r="A547" s="845" t="s">
        <v>30</v>
      </c>
      <c r="B547" s="845"/>
      <c r="C547" s="845" t="s">
        <v>358</v>
      </c>
      <c r="D547" s="846">
        <f>D548+D549+D550+D551</f>
        <v>0</v>
      </c>
      <c r="E547" s="845">
        <f t="shared" ref="E547:CE547" si="520">E548+E549+E550+E551</f>
        <v>0</v>
      </c>
      <c r="F547" s="847"/>
      <c r="G547" s="845"/>
      <c r="H547" s="850">
        <f t="shared" si="503"/>
        <v>36449</v>
      </c>
      <c r="I547" s="848">
        <f t="shared" si="520"/>
        <v>0</v>
      </c>
      <c r="J547" s="848">
        <f t="shared" si="520"/>
        <v>0</v>
      </c>
      <c r="K547" s="848">
        <f t="shared" si="520"/>
        <v>0</v>
      </c>
      <c r="L547" s="848">
        <f t="shared" si="520"/>
        <v>0</v>
      </c>
      <c r="M547" s="848">
        <f t="shared" si="520"/>
        <v>0</v>
      </c>
      <c r="N547" s="848">
        <f t="shared" si="520"/>
        <v>0</v>
      </c>
      <c r="O547" s="848">
        <f t="shared" si="520"/>
        <v>0</v>
      </c>
      <c r="P547" s="848">
        <f t="shared" si="520"/>
        <v>0</v>
      </c>
      <c r="Q547" s="848">
        <f t="shared" si="520"/>
        <v>0</v>
      </c>
      <c r="R547" s="848">
        <v>3500</v>
      </c>
      <c r="S547" s="848">
        <f t="shared" si="520"/>
        <v>32949</v>
      </c>
      <c r="T547" s="855">
        <f t="shared" si="501"/>
        <v>21408.012999999999</v>
      </c>
      <c r="U547" s="848">
        <f t="shared" ref="U547:AH547" si="521">U548+U549+U550+U551</f>
        <v>0</v>
      </c>
      <c r="V547" s="848">
        <f t="shared" si="521"/>
        <v>0</v>
      </c>
      <c r="W547" s="848">
        <f t="shared" si="521"/>
        <v>0</v>
      </c>
      <c r="X547" s="848">
        <f t="shared" si="521"/>
        <v>0</v>
      </c>
      <c r="Y547" s="848">
        <f t="shared" si="521"/>
        <v>3550</v>
      </c>
      <c r="Z547" s="848">
        <f t="shared" si="521"/>
        <v>0</v>
      </c>
      <c r="AA547" s="848">
        <f t="shared" si="521"/>
        <v>0</v>
      </c>
      <c r="AB547" s="848">
        <f t="shared" si="521"/>
        <v>0</v>
      </c>
      <c r="AC547" s="848">
        <f t="shared" si="521"/>
        <v>0</v>
      </c>
      <c r="AD547" s="848">
        <f t="shared" si="521"/>
        <v>0</v>
      </c>
      <c r="AE547" s="848"/>
      <c r="AF547" s="848">
        <f t="shared" si="521"/>
        <v>0</v>
      </c>
      <c r="AG547" s="848">
        <f t="shared" si="521"/>
        <v>0</v>
      </c>
      <c r="AH547" s="848">
        <f t="shared" si="521"/>
        <v>17858.012999999999</v>
      </c>
      <c r="AI547" s="848">
        <f t="shared" si="520"/>
        <v>4674</v>
      </c>
      <c r="AJ547" s="848">
        <f t="shared" si="520"/>
        <v>50</v>
      </c>
      <c r="AK547" s="848">
        <f t="shared" si="520"/>
        <v>0</v>
      </c>
      <c r="AL547" s="848">
        <f t="shared" si="520"/>
        <v>0</v>
      </c>
      <c r="AM547" s="848">
        <f t="shared" si="520"/>
        <v>0</v>
      </c>
      <c r="AN547" s="848">
        <f t="shared" si="520"/>
        <v>0</v>
      </c>
      <c r="AO547" s="848">
        <f t="shared" si="520"/>
        <v>0</v>
      </c>
      <c r="AP547" s="848">
        <f t="shared" si="520"/>
        <v>0</v>
      </c>
      <c r="AQ547" s="848">
        <f t="shared" si="520"/>
        <v>0</v>
      </c>
      <c r="AR547" s="848">
        <f t="shared" si="520"/>
        <v>0</v>
      </c>
      <c r="AS547" s="848"/>
      <c r="AT547" s="848">
        <f t="shared" si="520"/>
        <v>0</v>
      </c>
      <c r="AU547" s="848">
        <f t="shared" si="520"/>
        <v>0</v>
      </c>
      <c r="AV547" s="848">
        <f t="shared" si="520"/>
        <v>0</v>
      </c>
      <c r="AW547" s="848">
        <f t="shared" si="520"/>
        <v>0</v>
      </c>
      <c r="AX547" s="848">
        <f>AX548+AX549+AX550+AX551</f>
        <v>4624</v>
      </c>
      <c r="AY547" s="848">
        <f t="shared" si="520"/>
        <v>1169</v>
      </c>
      <c r="AZ547" s="848">
        <f t="shared" si="520"/>
        <v>0</v>
      </c>
      <c r="BA547" s="848">
        <f t="shared" si="520"/>
        <v>0</v>
      </c>
      <c r="BB547" s="848">
        <f t="shared" si="520"/>
        <v>0</v>
      </c>
      <c r="BC547" s="848">
        <f t="shared" si="520"/>
        <v>0</v>
      </c>
      <c r="BD547" s="848">
        <f t="shared" si="520"/>
        <v>0</v>
      </c>
      <c r="BE547" s="848">
        <f t="shared" si="520"/>
        <v>0</v>
      </c>
      <c r="BF547" s="848">
        <f t="shared" si="520"/>
        <v>0</v>
      </c>
      <c r="BG547" s="848">
        <f t="shared" si="520"/>
        <v>0</v>
      </c>
      <c r="BH547" s="848">
        <f t="shared" si="520"/>
        <v>0</v>
      </c>
      <c r="BI547" s="848">
        <f t="shared" si="520"/>
        <v>0</v>
      </c>
      <c r="BJ547" s="848">
        <f t="shared" si="520"/>
        <v>0</v>
      </c>
      <c r="BK547" s="848">
        <f t="shared" si="520"/>
        <v>0</v>
      </c>
      <c r="BL547" s="848">
        <f t="shared" si="520"/>
        <v>0</v>
      </c>
      <c r="BM547" s="848">
        <f t="shared" si="520"/>
        <v>0</v>
      </c>
      <c r="BN547" s="848">
        <f t="shared" si="520"/>
        <v>1169</v>
      </c>
      <c r="BO547" s="848">
        <f t="shared" si="490"/>
        <v>1166.3363879999999</v>
      </c>
      <c r="BP547" s="848">
        <f t="shared" si="520"/>
        <v>0</v>
      </c>
      <c r="BQ547" s="848">
        <f t="shared" si="520"/>
        <v>0</v>
      </c>
      <c r="BR547" s="848">
        <f t="shared" si="520"/>
        <v>0</v>
      </c>
      <c r="BS547" s="848">
        <f t="shared" si="520"/>
        <v>0</v>
      </c>
      <c r="BT547" s="848">
        <f t="shared" si="520"/>
        <v>0</v>
      </c>
      <c r="BU547" s="848">
        <f t="shared" si="520"/>
        <v>0</v>
      </c>
      <c r="BV547" s="848">
        <f t="shared" si="520"/>
        <v>0</v>
      </c>
      <c r="BW547" s="848">
        <f t="shared" si="520"/>
        <v>0</v>
      </c>
      <c r="BX547" s="848">
        <f t="shared" si="520"/>
        <v>0</v>
      </c>
      <c r="BY547" s="848">
        <f t="shared" si="520"/>
        <v>0</v>
      </c>
      <c r="BZ547" s="848">
        <f t="shared" si="520"/>
        <v>0</v>
      </c>
      <c r="CA547" s="848">
        <f t="shared" si="520"/>
        <v>0</v>
      </c>
      <c r="CB547" s="848">
        <f t="shared" si="520"/>
        <v>0</v>
      </c>
      <c r="CC547" s="848">
        <f t="shared" si="520"/>
        <v>0</v>
      </c>
      <c r="CD547" s="848">
        <f t="shared" si="520"/>
        <v>0</v>
      </c>
      <c r="CE547" s="848">
        <f t="shared" si="520"/>
        <v>1166.3363879999999</v>
      </c>
      <c r="CF547" s="848">
        <f>BO547/AY547%</f>
        <v>99.772146107784437</v>
      </c>
      <c r="CG547" s="848"/>
      <c r="CH547" s="848"/>
      <c r="CI547" s="848"/>
      <c r="CJ547" s="848"/>
      <c r="CK547" s="848"/>
      <c r="CL547" s="848"/>
      <c r="CM547" s="848"/>
      <c r="CN547" s="848"/>
      <c r="CO547" s="848"/>
      <c r="CP547" s="848"/>
      <c r="CQ547" s="848"/>
      <c r="CR547" s="848"/>
      <c r="CS547" s="848"/>
      <c r="CT547" s="848"/>
      <c r="CU547" s="848"/>
      <c r="CV547" s="848"/>
      <c r="CW547" s="848">
        <f t="shared" si="492"/>
        <v>99.772146107784422</v>
      </c>
    </row>
    <row r="548" spans="1:101" ht="24.75" customHeight="1">
      <c r="A548" s="845"/>
      <c r="B548" s="845" t="s">
        <v>357</v>
      </c>
      <c r="C548" s="852" t="s">
        <v>1222</v>
      </c>
      <c r="D548" s="846"/>
      <c r="E548" s="845"/>
      <c r="F548" s="853" t="s">
        <v>1223</v>
      </c>
      <c r="G548" s="854" t="s">
        <v>1224</v>
      </c>
      <c r="H548" s="850">
        <f t="shared" si="503"/>
        <v>5009</v>
      </c>
      <c r="I548" s="872"/>
      <c r="J548" s="848"/>
      <c r="K548" s="848"/>
      <c r="L548" s="848"/>
      <c r="M548" s="848"/>
      <c r="N548" s="848"/>
      <c r="O548" s="848"/>
      <c r="P548" s="848"/>
      <c r="Q548" s="848"/>
      <c r="R548" s="855">
        <v>3500</v>
      </c>
      <c r="S548" s="855">
        <v>1509</v>
      </c>
      <c r="T548" s="855">
        <f t="shared" si="501"/>
        <v>3550</v>
      </c>
      <c r="U548" s="848"/>
      <c r="V548" s="848"/>
      <c r="W548" s="848"/>
      <c r="X548" s="848"/>
      <c r="Y548" s="855">
        <v>3550</v>
      </c>
      <c r="Z548" s="848"/>
      <c r="AA548" s="848"/>
      <c r="AB548" s="848"/>
      <c r="AC548" s="848"/>
      <c r="AD548" s="848"/>
      <c r="AE548" s="848"/>
      <c r="AF548" s="848"/>
      <c r="AG548" s="848"/>
      <c r="AH548" s="855"/>
      <c r="AI548" s="855">
        <f>AJ548+AX548</f>
        <v>100</v>
      </c>
      <c r="AJ548" s="855">
        <f>AX548</f>
        <v>50</v>
      </c>
      <c r="AK548" s="855"/>
      <c r="AL548" s="855"/>
      <c r="AM548" s="855"/>
      <c r="AN548" s="855"/>
      <c r="AO548" s="855"/>
      <c r="AP548" s="855"/>
      <c r="AQ548" s="855"/>
      <c r="AR548" s="855"/>
      <c r="AS548" s="855"/>
      <c r="AT548" s="855"/>
      <c r="AU548" s="855"/>
      <c r="AV548" s="855"/>
      <c r="AW548" s="855"/>
      <c r="AX548" s="855">
        <v>50</v>
      </c>
      <c r="AY548" s="855">
        <f t="shared" ref="AY548:AY553" si="522">SUM(AZ548:BN548)</f>
        <v>1130</v>
      </c>
      <c r="AZ548" s="855"/>
      <c r="BA548" s="855"/>
      <c r="BB548" s="855"/>
      <c r="BC548" s="855"/>
      <c r="BD548" s="855"/>
      <c r="BE548" s="855"/>
      <c r="BF548" s="855"/>
      <c r="BG548" s="855"/>
      <c r="BH548" s="855"/>
      <c r="BI548" s="855"/>
      <c r="BJ548" s="855"/>
      <c r="BK548" s="855"/>
      <c r="BL548" s="855"/>
      <c r="BM548" s="855"/>
      <c r="BN548" s="855">
        <v>1130</v>
      </c>
      <c r="BO548" s="848">
        <f t="shared" si="490"/>
        <v>1129.296388</v>
      </c>
      <c r="BP548" s="855"/>
      <c r="BQ548" s="855"/>
      <c r="BR548" s="855"/>
      <c r="BS548" s="855"/>
      <c r="BT548" s="855"/>
      <c r="BU548" s="855"/>
      <c r="BV548" s="855"/>
      <c r="BW548" s="855"/>
      <c r="BX548" s="855"/>
      <c r="BY548" s="855"/>
      <c r="BZ548" s="855"/>
      <c r="CA548" s="855"/>
      <c r="CB548" s="855"/>
      <c r="CC548" s="855"/>
      <c r="CD548" s="855"/>
      <c r="CE548" s="855">
        <f>'[10]bieu cu'!M93</f>
        <v>1129.296388</v>
      </c>
      <c r="CF548" s="848">
        <f>BO548/AY548%</f>
        <v>99.937733451327432</v>
      </c>
      <c r="CG548" s="848"/>
      <c r="CH548" s="848"/>
      <c r="CI548" s="848"/>
      <c r="CJ548" s="848"/>
      <c r="CK548" s="848"/>
      <c r="CL548" s="848"/>
      <c r="CM548" s="848"/>
      <c r="CN548" s="848"/>
      <c r="CO548" s="848"/>
      <c r="CP548" s="848"/>
      <c r="CQ548" s="848"/>
      <c r="CR548" s="848"/>
      <c r="CS548" s="848"/>
      <c r="CT548" s="848"/>
      <c r="CU548" s="848"/>
      <c r="CV548" s="848"/>
      <c r="CW548" s="848">
        <f t="shared" si="492"/>
        <v>99.937733451327432</v>
      </c>
    </row>
    <row r="549" spans="1:101" ht="30.6" customHeight="1">
      <c r="A549" s="845"/>
      <c r="B549" s="845" t="s">
        <v>357</v>
      </c>
      <c r="C549" s="852" t="s">
        <v>1225</v>
      </c>
      <c r="D549" s="846"/>
      <c r="E549" s="845"/>
      <c r="F549" s="853">
        <v>2008</v>
      </c>
      <c r="G549" s="854" t="s">
        <v>1226</v>
      </c>
      <c r="H549" s="850">
        <f t="shared" si="503"/>
        <v>17247</v>
      </c>
      <c r="I549" s="850"/>
      <c r="J549" s="848"/>
      <c r="K549" s="848"/>
      <c r="L549" s="848"/>
      <c r="M549" s="848"/>
      <c r="N549" s="848"/>
      <c r="O549" s="848"/>
      <c r="P549" s="848"/>
      <c r="Q549" s="848"/>
      <c r="R549" s="848"/>
      <c r="S549" s="855">
        <v>17247</v>
      </c>
      <c r="T549" s="855">
        <f t="shared" si="501"/>
        <v>14403.704</v>
      </c>
      <c r="U549" s="848"/>
      <c r="V549" s="848"/>
      <c r="W549" s="848"/>
      <c r="X549" s="848"/>
      <c r="Y549" s="848"/>
      <c r="Z549" s="848"/>
      <c r="AA549" s="848"/>
      <c r="AB549" s="848"/>
      <c r="AC549" s="848"/>
      <c r="AD549" s="848"/>
      <c r="AE549" s="848"/>
      <c r="AF549" s="848"/>
      <c r="AG549" s="848"/>
      <c r="AH549" s="855">
        <v>14403.704</v>
      </c>
      <c r="AI549" s="855">
        <f>AX549</f>
        <v>4064</v>
      </c>
      <c r="AJ549" s="855"/>
      <c r="AK549" s="855"/>
      <c r="AL549" s="855"/>
      <c r="AM549" s="855"/>
      <c r="AN549" s="855"/>
      <c r="AO549" s="855"/>
      <c r="AP549" s="855"/>
      <c r="AQ549" s="855"/>
      <c r="AR549" s="855"/>
      <c r="AS549" s="855"/>
      <c r="AT549" s="855"/>
      <c r="AU549" s="855"/>
      <c r="AV549" s="855"/>
      <c r="AW549" s="855"/>
      <c r="AX549" s="855">
        <v>4064</v>
      </c>
      <c r="AY549" s="855">
        <f t="shared" si="522"/>
        <v>1</v>
      </c>
      <c r="AZ549" s="855"/>
      <c r="BA549" s="855"/>
      <c r="BB549" s="855"/>
      <c r="BC549" s="855"/>
      <c r="BD549" s="855"/>
      <c r="BE549" s="855"/>
      <c r="BF549" s="855"/>
      <c r="BG549" s="855"/>
      <c r="BH549" s="855"/>
      <c r="BI549" s="855"/>
      <c r="BJ549" s="855"/>
      <c r="BK549" s="855"/>
      <c r="BL549" s="855"/>
      <c r="BM549" s="855"/>
      <c r="BN549" s="855">
        <v>1</v>
      </c>
      <c r="BO549" s="848">
        <f t="shared" si="490"/>
        <v>0.39500000000000002</v>
      </c>
      <c r="BP549" s="855"/>
      <c r="BQ549" s="855"/>
      <c r="BR549" s="855"/>
      <c r="BS549" s="855"/>
      <c r="BT549" s="855"/>
      <c r="BU549" s="855"/>
      <c r="BV549" s="855"/>
      <c r="BW549" s="855"/>
      <c r="BX549" s="855"/>
      <c r="BY549" s="855"/>
      <c r="BZ549" s="855"/>
      <c r="CA549" s="855"/>
      <c r="CB549" s="855"/>
      <c r="CC549" s="855"/>
      <c r="CD549" s="855"/>
      <c r="CE549" s="855">
        <f>'[10]bieu cu'!M13</f>
        <v>0.39500000000000002</v>
      </c>
      <c r="CF549" s="848">
        <f>BO549/AY549%</f>
        <v>39.5</v>
      </c>
      <c r="CG549" s="848"/>
      <c r="CH549" s="848"/>
      <c r="CI549" s="848"/>
      <c r="CJ549" s="848"/>
      <c r="CK549" s="848"/>
      <c r="CL549" s="848"/>
      <c r="CM549" s="848"/>
      <c r="CN549" s="848"/>
      <c r="CO549" s="848"/>
      <c r="CP549" s="848"/>
      <c r="CQ549" s="848"/>
      <c r="CR549" s="848"/>
      <c r="CS549" s="848"/>
      <c r="CT549" s="848"/>
      <c r="CU549" s="848"/>
      <c r="CV549" s="848"/>
      <c r="CW549" s="848">
        <f t="shared" si="492"/>
        <v>39.5</v>
      </c>
    </row>
    <row r="550" spans="1:101" ht="42.6" customHeight="1">
      <c r="A550" s="845"/>
      <c r="B550" s="845" t="s">
        <v>357</v>
      </c>
      <c r="C550" s="852" t="s">
        <v>1227</v>
      </c>
      <c r="D550" s="846"/>
      <c r="E550" s="845"/>
      <c r="F550" s="853">
        <v>2009</v>
      </c>
      <c r="G550" s="854" t="s">
        <v>1228</v>
      </c>
      <c r="H550" s="850">
        <f t="shared" si="503"/>
        <v>6720</v>
      </c>
      <c r="I550" s="855"/>
      <c r="J550" s="848"/>
      <c r="K550" s="848"/>
      <c r="L550" s="848"/>
      <c r="M550" s="848"/>
      <c r="N550" s="848"/>
      <c r="O550" s="848"/>
      <c r="P550" s="848"/>
      <c r="Q550" s="848"/>
      <c r="R550" s="848"/>
      <c r="S550" s="855">
        <v>6720</v>
      </c>
      <c r="T550" s="855">
        <f t="shared" si="501"/>
        <v>0</v>
      </c>
      <c r="U550" s="848"/>
      <c r="V550" s="848"/>
      <c r="W550" s="848"/>
      <c r="X550" s="848"/>
      <c r="Y550" s="848"/>
      <c r="Z550" s="848"/>
      <c r="AA550" s="848"/>
      <c r="AB550" s="848"/>
      <c r="AC550" s="848"/>
      <c r="AD550" s="848"/>
      <c r="AE550" s="848"/>
      <c r="AF550" s="848"/>
      <c r="AG550" s="848"/>
      <c r="AH550" s="855"/>
      <c r="AI550" s="855"/>
      <c r="AJ550" s="855"/>
      <c r="AK550" s="855"/>
      <c r="AL550" s="855"/>
      <c r="AM550" s="855"/>
      <c r="AN550" s="855"/>
      <c r="AO550" s="855"/>
      <c r="AP550" s="855"/>
      <c r="AQ550" s="855"/>
      <c r="AR550" s="855"/>
      <c r="AS550" s="855"/>
      <c r="AT550" s="855"/>
      <c r="AU550" s="855"/>
      <c r="AV550" s="855"/>
      <c r="AW550" s="855"/>
      <c r="AX550" s="855"/>
      <c r="AY550" s="855">
        <f t="shared" si="522"/>
        <v>37</v>
      </c>
      <c r="AZ550" s="855"/>
      <c r="BA550" s="855"/>
      <c r="BB550" s="855"/>
      <c r="BC550" s="855"/>
      <c r="BD550" s="855"/>
      <c r="BE550" s="855"/>
      <c r="BF550" s="855"/>
      <c r="BG550" s="855"/>
      <c r="BH550" s="855"/>
      <c r="BI550" s="855"/>
      <c r="BJ550" s="855"/>
      <c r="BK550" s="855"/>
      <c r="BL550" s="855"/>
      <c r="BM550" s="855"/>
      <c r="BN550" s="855">
        <v>37</v>
      </c>
      <c r="BO550" s="848">
        <f t="shared" si="490"/>
        <v>36.645000000000003</v>
      </c>
      <c r="BP550" s="855"/>
      <c r="BQ550" s="855"/>
      <c r="BR550" s="855"/>
      <c r="BS550" s="855"/>
      <c r="BT550" s="855"/>
      <c r="BU550" s="855"/>
      <c r="BV550" s="855"/>
      <c r="BW550" s="855"/>
      <c r="BX550" s="855"/>
      <c r="BY550" s="855"/>
      <c r="BZ550" s="855"/>
      <c r="CA550" s="855"/>
      <c r="CB550" s="855"/>
      <c r="CC550" s="855"/>
      <c r="CD550" s="855"/>
      <c r="CE550" s="855">
        <f>'[10]bieu cu'!M17</f>
        <v>36.645000000000003</v>
      </c>
      <c r="CF550" s="848"/>
      <c r="CG550" s="848"/>
      <c r="CH550" s="848"/>
      <c r="CI550" s="848"/>
      <c r="CJ550" s="848"/>
      <c r="CK550" s="848"/>
      <c r="CL550" s="848"/>
      <c r="CM550" s="848"/>
      <c r="CN550" s="848"/>
      <c r="CO550" s="848"/>
      <c r="CP550" s="848"/>
      <c r="CQ550" s="848"/>
      <c r="CR550" s="848"/>
      <c r="CS550" s="848"/>
      <c r="CT550" s="848"/>
      <c r="CU550" s="848"/>
      <c r="CV550" s="848"/>
      <c r="CW550" s="848">
        <f t="shared" si="492"/>
        <v>99.040540540540547</v>
      </c>
    </row>
    <row r="551" spans="1:101" ht="72" customHeight="1">
      <c r="A551" s="845"/>
      <c r="B551" s="845" t="s">
        <v>357</v>
      </c>
      <c r="C551" s="852" t="s">
        <v>1229</v>
      </c>
      <c r="D551" s="846"/>
      <c r="E551" s="845"/>
      <c r="F551" s="853">
        <v>2011</v>
      </c>
      <c r="G551" s="854" t="s">
        <v>1230</v>
      </c>
      <c r="H551" s="850">
        <f t="shared" si="503"/>
        <v>7473</v>
      </c>
      <c r="I551" s="850"/>
      <c r="J551" s="848"/>
      <c r="K551" s="848"/>
      <c r="L551" s="848"/>
      <c r="M551" s="848"/>
      <c r="N551" s="848"/>
      <c r="O551" s="848"/>
      <c r="P551" s="848"/>
      <c r="Q551" s="848"/>
      <c r="R551" s="848"/>
      <c r="S551" s="855">
        <v>7473</v>
      </c>
      <c r="T551" s="855">
        <f t="shared" si="501"/>
        <v>3454.3090000000002</v>
      </c>
      <c r="U551" s="848"/>
      <c r="V551" s="848"/>
      <c r="W551" s="848"/>
      <c r="X551" s="848"/>
      <c r="Y551" s="848"/>
      <c r="Z551" s="848"/>
      <c r="AA551" s="848"/>
      <c r="AB551" s="848"/>
      <c r="AC551" s="848"/>
      <c r="AD551" s="848"/>
      <c r="AE551" s="848"/>
      <c r="AF551" s="848"/>
      <c r="AG551" s="848"/>
      <c r="AH551" s="855">
        <v>3454.3090000000002</v>
      </c>
      <c r="AI551" s="855">
        <f>AX551</f>
        <v>510</v>
      </c>
      <c r="AJ551" s="855"/>
      <c r="AK551" s="855"/>
      <c r="AL551" s="855"/>
      <c r="AM551" s="855"/>
      <c r="AN551" s="855"/>
      <c r="AO551" s="855"/>
      <c r="AP551" s="855"/>
      <c r="AQ551" s="855"/>
      <c r="AR551" s="855"/>
      <c r="AS551" s="855"/>
      <c r="AT551" s="855"/>
      <c r="AU551" s="855"/>
      <c r="AV551" s="855"/>
      <c r="AW551" s="855"/>
      <c r="AX551" s="855">
        <v>510</v>
      </c>
      <c r="AY551" s="855">
        <f t="shared" si="522"/>
        <v>1</v>
      </c>
      <c r="AZ551" s="855"/>
      <c r="BA551" s="855"/>
      <c r="BB551" s="855"/>
      <c r="BC551" s="855"/>
      <c r="BD551" s="855"/>
      <c r="BE551" s="855"/>
      <c r="BF551" s="855"/>
      <c r="BG551" s="855"/>
      <c r="BH551" s="855"/>
      <c r="BI551" s="855"/>
      <c r="BJ551" s="855"/>
      <c r="BK551" s="855"/>
      <c r="BL551" s="855"/>
      <c r="BM551" s="855"/>
      <c r="BN551" s="855">
        <v>1</v>
      </c>
      <c r="BO551" s="848">
        <f t="shared" si="490"/>
        <v>0</v>
      </c>
      <c r="BP551" s="855"/>
      <c r="BQ551" s="855"/>
      <c r="BR551" s="855"/>
      <c r="BS551" s="855"/>
      <c r="BT551" s="855"/>
      <c r="BU551" s="855"/>
      <c r="BV551" s="855"/>
      <c r="BW551" s="855"/>
      <c r="BX551" s="855"/>
      <c r="BY551" s="855"/>
      <c r="BZ551" s="855"/>
      <c r="CA551" s="855"/>
      <c r="CB551" s="855"/>
      <c r="CC551" s="855"/>
      <c r="CD551" s="855"/>
      <c r="CE551" s="855">
        <f>'[10]bieu cu'!M36</f>
        <v>0</v>
      </c>
      <c r="CF551" s="848">
        <f>BO551/AY551%</f>
        <v>0</v>
      </c>
      <c r="CG551" s="848"/>
      <c r="CH551" s="848"/>
      <c r="CI551" s="848"/>
      <c r="CJ551" s="848"/>
      <c r="CK551" s="848"/>
      <c r="CL551" s="848"/>
      <c r="CM551" s="848"/>
      <c r="CN551" s="848"/>
      <c r="CO551" s="848"/>
      <c r="CP551" s="848"/>
      <c r="CQ551" s="848"/>
      <c r="CR551" s="848"/>
      <c r="CS551" s="848"/>
      <c r="CT551" s="848"/>
      <c r="CU551" s="848"/>
      <c r="CV551" s="848"/>
      <c r="CW551" s="848">
        <f t="shared" si="492"/>
        <v>0</v>
      </c>
    </row>
    <row r="552" spans="1:101" ht="24.75" customHeight="1">
      <c r="A552" s="845" t="s">
        <v>31</v>
      </c>
      <c r="B552" s="845"/>
      <c r="C552" s="857" t="s">
        <v>454</v>
      </c>
      <c r="D552" s="846">
        <f>D553</f>
        <v>0</v>
      </c>
      <c r="E552" s="845">
        <f t="shared" ref="E552:CE552" si="523">E553</f>
        <v>0</v>
      </c>
      <c r="F552" s="847"/>
      <c r="G552" s="845"/>
      <c r="H552" s="850">
        <f t="shared" si="503"/>
        <v>13037</v>
      </c>
      <c r="I552" s="848">
        <f t="shared" ref="I552:AX552" si="524">I553</f>
        <v>0</v>
      </c>
      <c r="J552" s="848">
        <f t="shared" si="524"/>
        <v>0</v>
      </c>
      <c r="K552" s="848">
        <f t="shared" si="524"/>
        <v>0</v>
      </c>
      <c r="L552" s="848">
        <f t="shared" si="524"/>
        <v>0</v>
      </c>
      <c r="M552" s="848">
        <f t="shared" si="524"/>
        <v>0</v>
      </c>
      <c r="N552" s="848">
        <f t="shared" si="524"/>
        <v>0</v>
      </c>
      <c r="O552" s="848">
        <f t="shared" si="524"/>
        <v>0</v>
      </c>
      <c r="P552" s="848">
        <f t="shared" si="524"/>
        <v>0</v>
      </c>
      <c r="Q552" s="848">
        <f t="shared" si="524"/>
        <v>0</v>
      </c>
      <c r="R552" s="848">
        <v>11949</v>
      </c>
      <c r="S552" s="848">
        <f t="shared" si="524"/>
        <v>1088</v>
      </c>
      <c r="T552" s="848">
        <f t="shared" si="524"/>
        <v>500</v>
      </c>
      <c r="U552" s="848">
        <f t="shared" si="524"/>
        <v>0</v>
      </c>
      <c r="V552" s="848">
        <f t="shared" si="524"/>
        <v>0</v>
      </c>
      <c r="W552" s="848">
        <f t="shared" si="524"/>
        <v>0</v>
      </c>
      <c r="X552" s="848">
        <f t="shared" si="524"/>
        <v>0</v>
      </c>
      <c r="Y552" s="848">
        <f t="shared" si="524"/>
        <v>0</v>
      </c>
      <c r="Z552" s="848">
        <f t="shared" si="524"/>
        <v>0</v>
      </c>
      <c r="AA552" s="848">
        <f t="shared" si="524"/>
        <v>0</v>
      </c>
      <c r="AB552" s="848">
        <f t="shared" si="524"/>
        <v>0</v>
      </c>
      <c r="AC552" s="848">
        <f t="shared" si="524"/>
        <v>0</v>
      </c>
      <c r="AD552" s="848"/>
      <c r="AE552" s="848"/>
      <c r="AF552" s="848">
        <f t="shared" si="524"/>
        <v>0</v>
      </c>
      <c r="AG552" s="848">
        <f t="shared" si="524"/>
        <v>0</v>
      </c>
      <c r="AH552" s="848">
        <f t="shared" si="524"/>
        <v>500</v>
      </c>
      <c r="AI552" s="848">
        <f t="shared" si="524"/>
        <v>500</v>
      </c>
      <c r="AJ552" s="848">
        <f t="shared" si="524"/>
        <v>0</v>
      </c>
      <c r="AK552" s="848">
        <f t="shared" si="524"/>
        <v>0</v>
      </c>
      <c r="AL552" s="848">
        <f t="shared" si="524"/>
        <v>0</v>
      </c>
      <c r="AM552" s="848">
        <f t="shared" si="524"/>
        <v>0</v>
      </c>
      <c r="AN552" s="848">
        <f t="shared" si="524"/>
        <v>0</v>
      </c>
      <c r="AO552" s="848">
        <f t="shared" si="524"/>
        <v>0</v>
      </c>
      <c r="AP552" s="848">
        <f t="shared" si="524"/>
        <v>0</v>
      </c>
      <c r="AQ552" s="848">
        <f t="shared" si="524"/>
        <v>0</v>
      </c>
      <c r="AR552" s="848">
        <f t="shared" si="524"/>
        <v>0</v>
      </c>
      <c r="AS552" s="848"/>
      <c r="AT552" s="848">
        <f t="shared" si="524"/>
        <v>0</v>
      </c>
      <c r="AU552" s="848">
        <f t="shared" si="524"/>
        <v>0</v>
      </c>
      <c r="AV552" s="848">
        <f t="shared" si="524"/>
        <v>0</v>
      </c>
      <c r="AW552" s="848">
        <f t="shared" si="524"/>
        <v>0</v>
      </c>
      <c r="AX552" s="848">
        <f t="shared" si="524"/>
        <v>500</v>
      </c>
      <c r="AY552" s="848">
        <f t="shared" si="523"/>
        <v>149</v>
      </c>
      <c r="AZ552" s="848">
        <f t="shared" si="523"/>
        <v>0</v>
      </c>
      <c r="BA552" s="848"/>
      <c r="BB552" s="848"/>
      <c r="BC552" s="848">
        <f t="shared" si="523"/>
        <v>0</v>
      </c>
      <c r="BD552" s="848">
        <f t="shared" si="523"/>
        <v>0</v>
      </c>
      <c r="BE552" s="848"/>
      <c r="BF552" s="848">
        <f t="shared" si="523"/>
        <v>0</v>
      </c>
      <c r="BG552" s="848">
        <f t="shared" si="523"/>
        <v>0</v>
      </c>
      <c r="BH552" s="848">
        <f t="shared" si="523"/>
        <v>0</v>
      </c>
      <c r="BI552" s="848">
        <f t="shared" si="523"/>
        <v>0</v>
      </c>
      <c r="BJ552" s="848">
        <f t="shared" si="523"/>
        <v>0</v>
      </c>
      <c r="BK552" s="848">
        <f t="shared" si="523"/>
        <v>149</v>
      </c>
      <c r="BL552" s="848">
        <f t="shared" si="523"/>
        <v>0</v>
      </c>
      <c r="BM552" s="848">
        <f t="shared" si="523"/>
        <v>0</v>
      </c>
      <c r="BN552" s="848">
        <f t="shared" si="523"/>
        <v>0</v>
      </c>
      <c r="BO552" s="848">
        <f t="shared" si="490"/>
        <v>148.000833</v>
      </c>
      <c r="BP552" s="848">
        <f t="shared" si="523"/>
        <v>0</v>
      </c>
      <c r="BQ552" s="848"/>
      <c r="BR552" s="848"/>
      <c r="BS552" s="848">
        <f t="shared" si="523"/>
        <v>0</v>
      </c>
      <c r="BT552" s="848">
        <f t="shared" si="523"/>
        <v>0</v>
      </c>
      <c r="BU552" s="848"/>
      <c r="BV552" s="848">
        <f t="shared" si="523"/>
        <v>0</v>
      </c>
      <c r="BW552" s="848">
        <f t="shared" si="523"/>
        <v>0</v>
      </c>
      <c r="BX552" s="848">
        <f t="shared" si="523"/>
        <v>0</v>
      </c>
      <c r="BY552" s="848">
        <f t="shared" si="523"/>
        <v>0</v>
      </c>
      <c r="BZ552" s="848">
        <f t="shared" si="523"/>
        <v>0</v>
      </c>
      <c r="CA552" s="848">
        <f t="shared" si="523"/>
        <v>148.000833</v>
      </c>
      <c r="CB552" s="848">
        <f t="shared" si="523"/>
        <v>0</v>
      </c>
      <c r="CC552" s="848">
        <f t="shared" si="523"/>
        <v>0</v>
      </c>
      <c r="CD552" s="848">
        <f t="shared" si="523"/>
        <v>0</v>
      </c>
      <c r="CE552" s="848">
        <f t="shared" si="523"/>
        <v>0</v>
      </c>
      <c r="CF552" s="848">
        <f>BO552/AY552%</f>
        <v>99.329418120805371</v>
      </c>
      <c r="CG552" s="848"/>
      <c r="CH552" s="848"/>
      <c r="CI552" s="848"/>
      <c r="CJ552" s="848"/>
      <c r="CK552" s="848"/>
      <c r="CL552" s="848"/>
      <c r="CM552" s="848"/>
      <c r="CN552" s="848"/>
      <c r="CO552" s="848"/>
      <c r="CP552" s="848"/>
      <c r="CQ552" s="848"/>
      <c r="CR552" s="848">
        <f t="shared" si="517"/>
        <v>99.329418120805371</v>
      </c>
      <c r="CS552" s="848"/>
      <c r="CT552" s="848"/>
      <c r="CU552" s="848"/>
      <c r="CV552" s="848"/>
      <c r="CW552" s="848"/>
    </row>
    <row r="553" spans="1:101" ht="52.9" customHeight="1">
      <c r="A553" s="845"/>
      <c r="B553" s="845" t="s">
        <v>357</v>
      </c>
      <c r="C553" s="852" t="s">
        <v>1231</v>
      </c>
      <c r="D553" s="846"/>
      <c r="E553" s="845"/>
      <c r="F553" s="853" t="s">
        <v>950</v>
      </c>
      <c r="G553" s="846" t="s">
        <v>1232</v>
      </c>
      <c r="H553" s="850">
        <f t="shared" si="503"/>
        <v>13037</v>
      </c>
      <c r="I553" s="855"/>
      <c r="J553" s="848"/>
      <c r="K553" s="848"/>
      <c r="L553" s="848"/>
      <c r="M553" s="848"/>
      <c r="N553" s="848"/>
      <c r="O553" s="848"/>
      <c r="P553" s="848"/>
      <c r="Q553" s="848"/>
      <c r="R553" s="855">
        <v>11949</v>
      </c>
      <c r="S553" s="855">
        <v>1088</v>
      </c>
      <c r="T553" s="855">
        <f t="shared" si="501"/>
        <v>500</v>
      </c>
      <c r="U553" s="848"/>
      <c r="V553" s="848"/>
      <c r="W553" s="848"/>
      <c r="X553" s="848"/>
      <c r="Y553" s="848"/>
      <c r="Z553" s="848"/>
      <c r="AA553" s="848"/>
      <c r="AB553" s="848"/>
      <c r="AC553" s="848"/>
      <c r="AD553" s="848"/>
      <c r="AE553" s="848"/>
      <c r="AF553" s="848"/>
      <c r="AG553" s="848"/>
      <c r="AH553" s="855">
        <v>500</v>
      </c>
      <c r="AI553" s="855">
        <f>AX553</f>
        <v>500</v>
      </c>
      <c r="AJ553" s="855"/>
      <c r="AK553" s="855"/>
      <c r="AL553" s="855"/>
      <c r="AM553" s="855"/>
      <c r="AN553" s="855"/>
      <c r="AO553" s="855"/>
      <c r="AP553" s="855"/>
      <c r="AQ553" s="855"/>
      <c r="AR553" s="855"/>
      <c r="AS553" s="855"/>
      <c r="AT553" s="855"/>
      <c r="AU553" s="855"/>
      <c r="AV553" s="855"/>
      <c r="AW553" s="855"/>
      <c r="AX553" s="855">
        <v>500</v>
      </c>
      <c r="AY553" s="855">
        <f t="shared" si="522"/>
        <v>149</v>
      </c>
      <c r="AZ553" s="855"/>
      <c r="BA553" s="855"/>
      <c r="BB553" s="855"/>
      <c r="BC553" s="855"/>
      <c r="BD553" s="855"/>
      <c r="BE553" s="855"/>
      <c r="BF553" s="855"/>
      <c r="BG553" s="855"/>
      <c r="BH553" s="855"/>
      <c r="BI553" s="855"/>
      <c r="BJ553" s="855"/>
      <c r="BK553" s="855">
        <v>149</v>
      </c>
      <c r="BL553" s="855"/>
      <c r="BM553" s="855"/>
      <c r="BN553" s="855"/>
      <c r="BO553" s="848">
        <f t="shared" si="490"/>
        <v>148.000833</v>
      </c>
      <c r="BP553" s="855"/>
      <c r="BQ553" s="855"/>
      <c r="BR553" s="855"/>
      <c r="BS553" s="855"/>
      <c r="BT553" s="855"/>
      <c r="BU553" s="855"/>
      <c r="BV553" s="855"/>
      <c r="BW553" s="855"/>
      <c r="BX553" s="855"/>
      <c r="BY553" s="855"/>
      <c r="BZ553" s="855"/>
      <c r="CA553" s="855">
        <v>148.000833</v>
      </c>
      <c r="CB553" s="855"/>
      <c r="CC553" s="855"/>
      <c r="CD553" s="855"/>
      <c r="CE553" s="855"/>
      <c r="CF553" s="848">
        <f>BO553/AY553%</f>
        <v>99.329418120805371</v>
      </c>
      <c r="CG553" s="848"/>
      <c r="CH553" s="848"/>
      <c r="CI553" s="848"/>
      <c r="CJ553" s="848"/>
      <c r="CK553" s="848"/>
      <c r="CL553" s="848"/>
      <c r="CM553" s="848"/>
      <c r="CN553" s="848"/>
      <c r="CO553" s="848"/>
      <c r="CP553" s="848"/>
      <c r="CQ553" s="848"/>
      <c r="CR553" s="848">
        <f t="shared" si="517"/>
        <v>99.329418120805371</v>
      </c>
      <c r="CS553" s="848"/>
      <c r="CT553" s="848"/>
      <c r="CU553" s="848"/>
      <c r="CV553" s="848"/>
      <c r="CW553" s="848"/>
    </row>
    <row r="554" spans="1:101" ht="24.75" customHeight="1">
      <c r="A554" s="845" t="s">
        <v>7</v>
      </c>
      <c r="B554" s="845"/>
      <c r="C554" s="845" t="s">
        <v>677</v>
      </c>
      <c r="D554" s="846">
        <f>D555</f>
        <v>0</v>
      </c>
      <c r="E554" s="845">
        <f t="shared" ref="E554:CE555" si="525">E555</f>
        <v>0</v>
      </c>
      <c r="F554" s="847"/>
      <c r="G554" s="845"/>
      <c r="H554" s="850">
        <f t="shared" si="503"/>
        <v>982870</v>
      </c>
      <c r="I554" s="848">
        <f t="shared" si="525"/>
        <v>0</v>
      </c>
      <c r="J554" s="848">
        <f t="shared" si="525"/>
        <v>0</v>
      </c>
      <c r="K554" s="848">
        <f t="shared" si="525"/>
        <v>0</v>
      </c>
      <c r="L554" s="848">
        <f t="shared" si="525"/>
        <v>0</v>
      </c>
      <c r="M554" s="848">
        <f t="shared" si="525"/>
        <v>0</v>
      </c>
      <c r="N554" s="848">
        <f t="shared" si="525"/>
        <v>98164</v>
      </c>
      <c r="O554" s="848">
        <f t="shared" si="525"/>
        <v>0</v>
      </c>
      <c r="P554" s="848">
        <f t="shared" si="525"/>
        <v>0</v>
      </c>
      <c r="Q554" s="848">
        <f t="shared" si="525"/>
        <v>0</v>
      </c>
      <c r="R554" s="848">
        <v>884706</v>
      </c>
      <c r="S554" s="848">
        <f t="shared" si="525"/>
        <v>0</v>
      </c>
      <c r="T554" s="848">
        <f t="shared" si="525"/>
        <v>0</v>
      </c>
      <c r="U554" s="848">
        <f t="shared" si="525"/>
        <v>0</v>
      </c>
      <c r="V554" s="848">
        <f t="shared" si="525"/>
        <v>0</v>
      </c>
      <c r="W554" s="848">
        <f t="shared" si="525"/>
        <v>0</v>
      </c>
      <c r="X554" s="848">
        <f t="shared" si="525"/>
        <v>0</v>
      </c>
      <c r="Y554" s="848">
        <f t="shared" si="525"/>
        <v>0</v>
      </c>
      <c r="Z554" s="848">
        <f t="shared" si="525"/>
        <v>0</v>
      </c>
      <c r="AA554" s="848">
        <f t="shared" si="525"/>
        <v>0</v>
      </c>
      <c r="AB554" s="848">
        <f t="shared" si="525"/>
        <v>0</v>
      </c>
      <c r="AC554" s="848">
        <f t="shared" si="525"/>
        <v>0</v>
      </c>
      <c r="AD554" s="848"/>
      <c r="AE554" s="848"/>
      <c r="AF554" s="848">
        <f t="shared" si="525"/>
        <v>0</v>
      </c>
      <c r="AG554" s="848">
        <f t="shared" si="525"/>
        <v>0</v>
      </c>
      <c r="AH554" s="848">
        <f t="shared" si="525"/>
        <v>0</v>
      </c>
      <c r="AI554" s="848">
        <f t="shared" si="525"/>
        <v>0</v>
      </c>
      <c r="AJ554" s="848">
        <f t="shared" si="525"/>
        <v>0</v>
      </c>
      <c r="AK554" s="848">
        <f t="shared" si="525"/>
        <v>0</v>
      </c>
      <c r="AL554" s="848">
        <f t="shared" si="525"/>
        <v>0</v>
      </c>
      <c r="AM554" s="848">
        <f t="shared" si="525"/>
        <v>0</v>
      </c>
      <c r="AN554" s="848">
        <f t="shared" si="525"/>
        <v>0</v>
      </c>
      <c r="AO554" s="848">
        <f t="shared" si="525"/>
        <v>0</v>
      </c>
      <c r="AP554" s="848">
        <f t="shared" si="525"/>
        <v>0</v>
      </c>
      <c r="AQ554" s="848">
        <f t="shared" si="525"/>
        <v>0</v>
      </c>
      <c r="AR554" s="848">
        <f t="shared" si="525"/>
        <v>0</v>
      </c>
      <c r="AS554" s="848"/>
      <c r="AT554" s="848">
        <f t="shared" si="525"/>
        <v>0</v>
      </c>
      <c r="AU554" s="848">
        <f t="shared" si="525"/>
        <v>0</v>
      </c>
      <c r="AV554" s="848">
        <f t="shared" si="525"/>
        <v>0</v>
      </c>
      <c r="AW554" s="848">
        <f t="shared" si="525"/>
        <v>0</v>
      </c>
      <c r="AX554" s="848">
        <f t="shared" si="525"/>
        <v>0</v>
      </c>
      <c r="AY554" s="848">
        <f t="shared" si="525"/>
        <v>312</v>
      </c>
      <c r="AZ554" s="848">
        <f t="shared" si="525"/>
        <v>0</v>
      </c>
      <c r="BA554" s="848">
        <f t="shared" si="525"/>
        <v>0</v>
      </c>
      <c r="BB554" s="848">
        <f t="shared" si="525"/>
        <v>0</v>
      </c>
      <c r="BC554" s="848">
        <f t="shared" si="525"/>
        <v>0</v>
      </c>
      <c r="BD554" s="848">
        <f t="shared" si="525"/>
        <v>0</v>
      </c>
      <c r="BE554" s="848">
        <f t="shared" si="525"/>
        <v>0</v>
      </c>
      <c r="BF554" s="848">
        <f t="shared" si="525"/>
        <v>0</v>
      </c>
      <c r="BG554" s="848">
        <f t="shared" si="525"/>
        <v>0</v>
      </c>
      <c r="BH554" s="848">
        <f t="shared" si="525"/>
        <v>0</v>
      </c>
      <c r="BI554" s="848">
        <f t="shared" si="525"/>
        <v>0</v>
      </c>
      <c r="BJ554" s="848">
        <f t="shared" si="525"/>
        <v>0</v>
      </c>
      <c r="BK554" s="848">
        <f t="shared" si="525"/>
        <v>0</v>
      </c>
      <c r="BL554" s="848">
        <f t="shared" si="525"/>
        <v>0</v>
      </c>
      <c r="BM554" s="848">
        <f t="shared" si="525"/>
        <v>0</v>
      </c>
      <c r="BN554" s="848">
        <f t="shared" si="525"/>
        <v>312</v>
      </c>
      <c r="BO554" s="848">
        <f t="shared" si="490"/>
        <v>0</v>
      </c>
      <c r="BP554" s="848">
        <f t="shared" si="525"/>
        <v>0</v>
      </c>
      <c r="BQ554" s="848">
        <f t="shared" si="525"/>
        <v>0</v>
      </c>
      <c r="BR554" s="848">
        <f t="shared" si="525"/>
        <v>0</v>
      </c>
      <c r="BS554" s="848">
        <f t="shared" si="525"/>
        <v>0</v>
      </c>
      <c r="BT554" s="848">
        <f t="shared" si="525"/>
        <v>0</v>
      </c>
      <c r="BU554" s="848">
        <f t="shared" si="525"/>
        <v>0</v>
      </c>
      <c r="BV554" s="848">
        <f t="shared" si="525"/>
        <v>0</v>
      </c>
      <c r="BW554" s="848">
        <f t="shared" si="525"/>
        <v>0</v>
      </c>
      <c r="BX554" s="848">
        <f t="shared" si="525"/>
        <v>0</v>
      </c>
      <c r="BY554" s="848">
        <f t="shared" si="525"/>
        <v>0</v>
      </c>
      <c r="BZ554" s="848">
        <f t="shared" si="525"/>
        <v>0</v>
      </c>
      <c r="CA554" s="848">
        <f t="shared" si="525"/>
        <v>0</v>
      </c>
      <c r="CB554" s="848">
        <f t="shared" si="525"/>
        <v>0</v>
      </c>
      <c r="CC554" s="848">
        <f t="shared" si="525"/>
        <v>0</v>
      </c>
      <c r="CD554" s="848">
        <f t="shared" si="525"/>
        <v>0</v>
      </c>
      <c r="CE554" s="848">
        <f t="shared" si="525"/>
        <v>0</v>
      </c>
      <c r="CF554" s="848">
        <f t="shared" ref="CF554:CS554" si="526">CF555</f>
        <v>0</v>
      </c>
      <c r="CG554" s="848"/>
      <c r="CH554" s="848"/>
      <c r="CI554" s="848"/>
      <c r="CJ554" s="848"/>
      <c r="CK554" s="848"/>
      <c r="CL554" s="848"/>
      <c r="CM554" s="848"/>
      <c r="CN554" s="848"/>
      <c r="CO554" s="848"/>
      <c r="CP554" s="848"/>
      <c r="CQ554" s="848"/>
      <c r="CR554" s="848"/>
      <c r="CS554" s="848">
        <f t="shared" si="526"/>
        <v>0</v>
      </c>
      <c r="CT554" s="848"/>
      <c r="CU554" s="848"/>
      <c r="CV554" s="848"/>
      <c r="CW554" s="848">
        <f t="shared" si="492"/>
        <v>0</v>
      </c>
    </row>
    <row r="555" spans="1:101" ht="24.75" customHeight="1">
      <c r="A555" s="845"/>
      <c r="B555" s="845"/>
      <c r="C555" s="845" t="s">
        <v>358</v>
      </c>
      <c r="D555" s="846">
        <f>D556</f>
        <v>0</v>
      </c>
      <c r="E555" s="845">
        <f t="shared" si="525"/>
        <v>0</v>
      </c>
      <c r="F555" s="847"/>
      <c r="G555" s="845"/>
      <c r="H555" s="850">
        <f t="shared" si="503"/>
        <v>982870</v>
      </c>
      <c r="I555" s="848">
        <f t="shared" si="525"/>
        <v>0</v>
      </c>
      <c r="J555" s="848">
        <f t="shared" si="525"/>
        <v>0</v>
      </c>
      <c r="K555" s="848">
        <f t="shared" si="525"/>
        <v>0</v>
      </c>
      <c r="L555" s="848">
        <f t="shared" si="525"/>
        <v>0</v>
      </c>
      <c r="M555" s="848">
        <f t="shared" si="525"/>
        <v>0</v>
      </c>
      <c r="N555" s="848">
        <f t="shared" si="525"/>
        <v>98164</v>
      </c>
      <c r="O555" s="848">
        <f t="shared" si="525"/>
        <v>0</v>
      </c>
      <c r="P555" s="848">
        <f t="shared" si="525"/>
        <v>0</v>
      </c>
      <c r="Q555" s="848">
        <f t="shared" si="525"/>
        <v>0</v>
      </c>
      <c r="R555" s="848">
        <v>884706</v>
      </c>
      <c r="S555" s="848">
        <f t="shared" si="525"/>
        <v>0</v>
      </c>
      <c r="T555" s="848">
        <f t="shared" si="525"/>
        <v>0</v>
      </c>
      <c r="U555" s="848">
        <f t="shared" si="525"/>
        <v>0</v>
      </c>
      <c r="V555" s="848">
        <f t="shared" si="525"/>
        <v>0</v>
      </c>
      <c r="W555" s="848">
        <f t="shared" si="525"/>
        <v>0</v>
      </c>
      <c r="X555" s="848">
        <f t="shared" si="525"/>
        <v>0</v>
      </c>
      <c r="Y555" s="848">
        <f t="shared" si="525"/>
        <v>0</v>
      </c>
      <c r="Z555" s="848">
        <f t="shared" si="525"/>
        <v>0</v>
      </c>
      <c r="AA555" s="848">
        <f t="shared" si="525"/>
        <v>0</v>
      </c>
      <c r="AB555" s="848">
        <f t="shared" si="525"/>
        <v>0</v>
      </c>
      <c r="AC555" s="848">
        <f t="shared" si="525"/>
        <v>0</v>
      </c>
      <c r="AD555" s="848"/>
      <c r="AE555" s="848"/>
      <c r="AF555" s="848">
        <f t="shared" si="525"/>
        <v>0</v>
      </c>
      <c r="AG555" s="848">
        <f t="shared" si="525"/>
        <v>0</v>
      </c>
      <c r="AH555" s="848">
        <f t="shared" si="525"/>
        <v>0</v>
      </c>
      <c r="AI555" s="848">
        <f t="shared" si="525"/>
        <v>0</v>
      </c>
      <c r="AJ555" s="848">
        <f t="shared" si="525"/>
        <v>0</v>
      </c>
      <c r="AK555" s="848">
        <f t="shared" si="525"/>
        <v>0</v>
      </c>
      <c r="AL555" s="848">
        <f t="shared" si="525"/>
        <v>0</v>
      </c>
      <c r="AM555" s="848">
        <f t="shared" si="525"/>
        <v>0</v>
      </c>
      <c r="AN555" s="848">
        <f t="shared" si="525"/>
        <v>0</v>
      </c>
      <c r="AO555" s="848">
        <f t="shared" si="525"/>
        <v>0</v>
      </c>
      <c r="AP555" s="848">
        <f t="shared" si="525"/>
        <v>0</v>
      </c>
      <c r="AQ555" s="848">
        <f t="shared" si="525"/>
        <v>0</v>
      </c>
      <c r="AR555" s="848">
        <f t="shared" si="525"/>
        <v>0</v>
      </c>
      <c r="AS555" s="848"/>
      <c r="AT555" s="848">
        <f t="shared" si="525"/>
        <v>0</v>
      </c>
      <c r="AU555" s="848">
        <f t="shared" si="525"/>
        <v>0</v>
      </c>
      <c r="AV555" s="848">
        <f t="shared" si="525"/>
        <v>0</v>
      </c>
      <c r="AW555" s="848">
        <f t="shared" si="525"/>
        <v>0</v>
      </c>
      <c r="AX555" s="848">
        <f t="shared" si="525"/>
        <v>0</v>
      </c>
      <c r="AY555" s="848">
        <f t="shared" si="525"/>
        <v>312</v>
      </c>
      <c r="AZ555" s="848">
        <f t="shared" si="525"/>
        <v>0</v>
      </c>
      <c r="BA555" s="848">
        <f t="shared" si="525"/>
        <v>0</v>
      </c>
      <c r="BB555" s="848">
        <f t="shared" si="525"/>
        <v>0</v>
      </c>
      <c r="BC555" s="848">
        <f t="shared" si="525"/>
        <v>0</v>
      </c>
      <c r="BD555" s="848">
        <f t="shared" si="525"/>
        <v>0</v>
      </c>
      <c r="BE555" s="848">
        <f t="shared" si="525"/>
        <v>0</v>
      </c>
      <c r="BF555" s="848">
        <f t="shared" si="525"/>
        <v>0</v>
      </c>
      <c r="BG555" s="848">
        <f t="shared" si="525"/>
        <v>0</v>
      </c>
      <c r="BH555" s="848">
        <f t="shared" si="525"/>
        <v>0</v>
      </c>
      <c r="BI555" s="848">
        <f t="shared" si="525"/>
        <v>0</v>
      </c>
      <c r="BJ555" s="848">
        <f t="shared" si="525"/>
        <v>0</v>
      </c>
      <c r="BK555" s="848">
        <f t="shared" si="525"/>
        <v>0</v>
      </c>
      <c r="BL555" s="848">
        <f t="shared" si="525"/>
        <v>0</v>
      </c>
      <c r="BM555" s="848">
        <f t="shared" si="525"/>
        <v>0</v>
      </c>
      <c r="BN555" s="848">
        <f t="shared" si="525"/>
        <v>312</v>
      </c>
      <c r="BO555" s="848">
        <f t="shared" si="490"/>
        <v>0</v>
      </c>
      <c r="BP555" s="848">
        <f t="shared" si="525"/>
        <v>0</v>
      </c>
      <c r="BQ555" s="848">
        <f t="shared" si="525"/>
        <v>0</v>
      </c>
      <c r="BR555" s="848">
        <f t="shared" si="525"/>
        <v>0</v>
      </c>
      <c r="BS555" s="848">
        <f t="shared" si="525"/>
        <v>0</v>
      </c>
      <c r="BT555" s="848">
        <f t="shared" si="525"/>
        <v>0</v>
      </c>
      <c r="BU555" s="848">
        <f t="shared" si="525"/>
        <v>0</v>
      </c>
      <c r="BV555" s="848">
        <f t="shared" si="525"/>
        <v>0</v>
      </c>
      <c r="BW555" s="848">
        <f t="shared" si="525"/>
        <v>0</v>
      </c>
      <c r="BX555" s="848">
        <f t="shared" si="525"/>
        <v>0</v>
      </c>
      <c r="BY555" s="848">
        <f t="shared" si="525"/>
        <v>0</v>
      </c>
      <c r="BZ555" s="848">
        <f t="shared" si="525"/>
        <v>0</v>
      </c>
      <c r="CA555" s="848">
        <f t="shared" si="525"/>
        <v>0</v>
      </c>
      <c r="CB555" s="848">
        <f t="shared" si="525"/>
        <v>0</v>
      </c>
      <c r="CC555" s="848">
        <f t="shared" si="525"/>
        <v>0</v>
      </c>
      <c r="CD555" s="848">
        <f t="shared" si="525"/>
        <v>0</v>
      </c>
      <c r="CE555" s="848">
        <f t="shared" si="525"/>
        <v>0</v>
      </c>
      <c r="CF555" s="848">
        <f>BO555/AY555%</f>
        <v>0</v>
      </c>
      <c r="CG555" s="848"/>
      <c r="CH555" s="848"/>
      <c r="CI555" s="848"/>
      <c r="CJ555" s="848"/>
      <c r="CK555" s="848"/>
      <c r="CL555" s="848"/>
      <c r="CM555" s="848"/>
      <c r="CN555" s="848"/>
      <c r="CO555" s="848"/>
      <c r="CP555" s="848"/>
      <c r="CQ555" s="848"/>
      <c r="CR555" s="848"/>
      <c r="CS555" s="848"/>
      <c r="CT555" s="848"/>
      <c r="CU555" s="848"/>
      <c r="CV555" s="848"/>
      <c r="CW555" s="848">
        <f t="shared" si="492"/>
        <v>0</v>
      </c>
    </row>
    <row r="556" spans="1:101" ht="33.6" customHeight="1">
      <c r="A556" s="845"/>
      <c r="B556" s="846" t="s">
        <v>677</v>
      </c>
      <c r="C556" s="852" t="s">
        <v>1233</v>
      </c>
      <c r="D556" s="846"/>
      <c r="E556" s="845"/>
      <c r="F556" s="853">
        <v>2009</v>
      </c>
      <c r="G556" s="846" t="s">
        <v>1234</v>
      </c>
      <c r="H556" s="850">
        <f t="shared" si="503"/>
        <v>982870</v>
      </c>
      <c r="I556" s="850"/>
      <c r="J556" s="848"/>
      <c r="K556" s="848"/>
      <c r="L556" s="848"/>
      <c r="M556" s="848"/>
      <c r="N556" s="855">
        <v>98164</v>
      </c>
      <c r="O556" s="848"/>
      <c r="P556" s="848"/>
      <c r="Q556" s="848"/>
      <c r="R556" s="855">
        <v>884706</v>
      </c>
      <c r="S556" s="848"/>
      <c r="T556" s="855">
        <f t="shared" si="501"/>
        <v>0</v>
      </c>
      <c r="U556" s="848"/>
      <c r="V556" s="848"/>
      <c r="W556" s="848"/>
      <c r="X556" s="848"/>
      <c r="Y556" s="848"/>
      <c r="Z556" s="848"/>
      <c r="AA556" s="848"/>
      <c r="AB556" s="848"/>
      <c r="AC556" s="855"/>
      <c r="AD556" s="848"/>
      <c r="AE556" s="848"/>
      <c r="AF556" s="848"/>
      <c r="AG556" s="848"/>
      <c r="AH556" s="855"/>
      <c r="AI556" s="855"/>
      <c r="AJ556" s="855"/>
      <c r="AK556" s="855"/>
      <c r="AL556" s="855"/>
      <c r="AM556" s="855"/>
      <c r="AN556" s="855"/>
      <c r="AO556" s="855"/>
      <c r="AP556" s="855"/>
      <c r="AQ556" s="855"/>
      <c r="AR556" s="855"/>
      <c r="AS556" s="855"/>
      <c r="AT556" s="855"/>
      <c r="AU556" s="855"/>
      <c r="AV556" s="855"/>
      <c r="AW556" s="855"/>
      <c r="AX556" s="855"/>
      <c r="AY556" s="855">
        <f t="shared" ref="AY556" si="527">SUM(AZ556:BN556)</f>
        <v>312</v>
      </c>
      <c r="AZ556" s="855"/>
      <c r="BA556" s="855"/>
      <c r="BB556" s="855"/>
      <c r="BC556" s="855"/>
      <c r="BD556" s="855"/>
      <c r="BE556" s="855"/>
      <c r="BF556" s="855"/>
      <c r="BG556" s="855"/>
      <c r="BH556" s="855"/>
      <c r="BI556" s="855"/>
      <c r="BJ556" s="855"/>
      <c r="BK556" s="855"/>
      <c r="BL556" s="855"/>
      <c r="BM556" s="855"/>
      <c r="BN556" s="855">
        <v>312</v>
      </c>
      <c r="BO556" s="848">
        <f t="shared" si="490"/>
        <v>0</v>
      </c>
      <c r="BP556" s="855"/>
      <c r="BQ556" s="855"/>
      <c r="BR556" s="855"/>
      <c r="BS556" s="855"/>
      <c r="BT556" s="855"/>
      <c r="BU556" s="855"/>
      <c r="BV556" s="855"/>
      <c r="BW556" s="855"/>
      <c r="BX556" s="855"/>
      <c r="BY556" s="855"/>
      <c r="BZ556" s="855"/>
      <c r="CA556" s="855"/>
      <c r="CB556" s="855"/>
      <c r="CC556" s="855"/>
      <c r="CD556" s="855"/>
      <c r="CE556" s="855"/>
      <c r="CF556" s="848">
        <f>BO556/AY556%</f>
        <v>0</v>
      </c>
      <c r="CG556" s="848"/>
      <c r="CH556" s="848"/>
      <c r="CI556" s="848"/>
      <c r="CJ556" s="848"/>
      <c r="CK556" s="848"/>
      <c r="CL556" s="848"/>
      <c r="CM556" s="848"/>
      <c r="CN556" s="848"/>
      <c r="CO556" s="848"/>
      <c r="CP556" s="848"/>
      <c r="CQ556" s="848"/>
      <c r="CR556" s="848"/>
      <c r="CS556" s="848"/>
      <c r="CT556" s="848"/>
      <c r="CU556" s="848"/>
      <c r="CV556" s="848"/>
      <c r="CW556" s="848">
        <f t="shared" si="492"/>
        <v>0</v>
      </c>
    </row>
    <row r="557" spans="1:101" ht="24.75" customHeight="1">
      <c r="A557" s="845" t="s">
        <v>8</v>
      </c>
      <c r="B557" s="845"/>
      <c r="C557" s="845" t="s">
        <v>409</v>
      </c>
      <c r="D557" s="846">
        <f>D558+D560</f>
        <v>0</v>
      </c>
      <c r="E557" s="845">
        <f t="shared" ref="E557:CE557" si="528">E558+E560</f>
        <v>0</v>
      </c>
      <c r="F557" s="847"/>
      <c r="G557" s="845"/>
      <c r="H557" s="850">
        <f t="shared" si="503"/>
        <v>8467</v>
      </c>
      <c r="I557" s="848">
        <f t="shared" si="528"/>
        <v>0</v>
      </c>
      <c r="J557" s="848">
        <f t="shared" si="528"/>
        <v>5435</v>
      </c>
      <c r="K557" s="848">
        <f t="shared" si="528"/>
        <v>0</v>
      </c>
      <c r="L557" s="848">
        <f t="shared" si="528"/>
        <v>0</v>
      </c>
      <c r="M557" s="848">
        <f t="shared" si="528"/>
        <v>0</v>
      </c>
      <c r="N557" s="848">
        <f t="shared" si="528"/>
        <v>0</v>
      </c>
      <c r="O557" s="848">
        <f t="shared" si="528"/>
        <v>0</v>
      </c>
      <c r="P557" s="848">
        <f t="shared" si="528"/>
        <v>0</v>
      </c>
      <c r="Q557" s="848">
        <f t="shared" si="528"/>
        <v>0</v>
      </c>
      <c r="R557" s="848">
        <v>0</v>
      </c>
      <c r="S557" s="848">
        <f t="shared" si="528"/>
        <v>3032</v>
      </c>
      <c r="T557" s="848">
        <f t="shared" si="528"/>
        <v>6101.3620000000001</v>
      </c>
      <c r="U557" s="848">
        <f t="shared" si="528"/>
        <v>0</v>
      </c>
      <c r="V557" s="848">
        <f t="shared" si="528"/>
        <v>0</v>
      </c>
      <c r="W557" s="848">
        <f t="shared" si="528"/>
        <v>4101.3620000000001</v>
      </c>
      <c r="X557" s="848">
        <f t="shared" si="528"/>
        <v>0</v>
      </c>
      <c r="Y557" s="848">
        <f t="shared" si="528"/>
        <v>0</v>
      </c>
      <c r="Z557" s="848">
        <f t="shared" si="528"/>
        <v>0</v>
      </c>
      <c r="AA557" s="848">
        <f t="shared" si="528"/>
        <v>0</v>
      </c>
      <c r="AB557" s="848">
        <f t="shared" si="528"/>
        <v>0</v>
      </c>
      <c r="AC557" s="848">
        <f t="shared" si="528"/>
        <v>0</v>
      </c>
      <c r="AD557" s="848"/>
      <c r="AE557" s="848"/>
      <c r="AF557" s="848">
        <f t="shared" si="528"/>
        <v>0</v>
      </c>
      <c r="AG557" s="848">
        <f t="shared" si="528"/>
        <v>0</v>
      </c>
      <c r="AH557" s="848">
        <f t="shared" si="528"/>
        <v>2000</v>
      </c>
      <c r="AI557" s="848">
        <f t="shared" si="528"/>
        <v>4604</v>
      </c>
      <c r="AJ557" s="848">
        <f t="shared" si="528"/>
        <v>0</v>
      </c>
      <c r="AK557" s="848">
        <f t="shared" si="528"/>
        <v>0</v>
      </c>
      <c r="AL557" s="848">
        <f t="shared" si="528"/>
        <v>2604</v>
      </c>
      <c r="AM557" s="848">
        <f t="shared" si="528"/>
        <v>0</v>
      </c>
      <c r="AN557" s="848">
        <f t="shared" si="528"/>
        <v>0</v>
      </c>
      <c r="AO557" s="848">
        <f t="shared" si="528"/>
        <v>0</v>
      </c>
      <c r="AP557" s="848">
        <f t="shared" si="528"/>
        <v>0</v>
      </c>
      <c r="AQ557" s="848">
        <f t="shared" si="528"/>
        <v>0</v>
      </c>
      <c r="AR557" s="848">
        <f t="shared" si="528"/>
        <v>0</v>
      </c>
      <c r="AS557" s="848"/>
      <c r="AT557" s="848">
        <f t="shared" si="528"/>
        <v>0</v>
      </c>
      <c r="AU557" s="848">
        <f t="shared" si="528"/>
        <v>0</v>
      </c>
      <c r="AV557" s="848">
        <f t="shared" si="528"/>
        <v>0</v>
      </c>
      <c r="AW557" s="848">
        <f t="shared" si="528"/>
        <v>0</v>
      </c>
      <c r="AX557" s="848">
        <f t="shared" si="528"/>
        <v>2000</v>
      </c>
      <c r="AY557" s="848">
        <f t="shared" si="528"/>
        <v>1659.7819999999999</v>
      </c>
      <c r="AZ557" s="848">
        <f t="shared" si="528"/>
        <v>0</v>
      </c>
      <c r="BA557" s="848">
        <f t="shared" si="528"/>
        <v>0</v>
      </c>
      <c r="BB557" s="848">
        <f t="shared" si="528"/>
        <v>0</v>
      </c>
      <c r="BC557" s="848">
        <f t="shared" si="528"/>
        <v>628</v>
      </c>
      <c r="BD557" s="848">
        <f t="shared" si="528"/>
        <v>0</v>
      </c>
      <c r="BE557" s="848">
        <f t="shared" si="528"/>
        <v>0</v>
      </c>
      <c r="BF557" s="848">
        <f t="shared" si="528"/>
        <v>0</v>
      </c>
      <c r="BG557" s="848">
        <f t="shared" si="528"/>
        <v>0</v>
      </c>
      <c r="BH557" s="848">
        <f t="shared" si="528"/>
        <v>0</v>
      </c>
      <c r="BI557" s="848">
        <f t="shared" si="528"/>
        <v>0</v>
      </c>
      <c r="BJ557" s="848">
        <f t="shared" si="528"/>
        <v>0</v>
      </c>
      <c r="BK557" s="848">
        <f t="shared" si="528"/>
        <v>0</v>
      </c>
      <c r="BL557" s="848">
        <f t="shared" si="528"/>
        <v>0</v>
      </c>
      <c r="BM557" s="848">
        <f t="shared" si="528"/>
        <v>0</v>
      </c>
      <c r="BN557" s="848">
        <f t="shared" si="528"/>
        <v>1031.7819999999999</v>
      </c>
      <c r="BO557" s="848">
        <f t="shared" si="490"/>
        <v>1659.6169</v>
      </c>
      <c r="BP557" s="848">
        <f t="shared" si="528"/>
        <v>0</v>
      </c>
      <c r="BQ557" s="848">
        <f t="shared" si="528"/>
        <v>0</v>
      </c>
      <c r="BR557" s="848">
        <f t="shared" si="528"/>
        <v>0</v>
      </c>
      <c r="BS557" s="848">
        <f t="shared" si="528"/>
        <v>628</v>
      </c>
      <c r="BT557" s="848">
        <f t="shared" si="528"/>
        <v>0</v>
      </c>
      <c r="BU557" s="848">
        <f t="shared" si="528"/>
        <v>0</v>
      </c>
      <c r="BV557" s="848">
        <f t="shared" si="528"/>
        <v>0</v>
      </c>
      <c r="BW557" s="848">
        <f t="shared" si="528"/>
        <v>0</v>
      </c>
      <c r="BX557" s="848">
        <f t="shared" si="528"/>
        <v>0</v>
      </c>
      <c r="BY557" s="848">
        <f t="shared" si="528"/>
        <v>0</v>
      </c>
      <c r="BZ557" s="848">
        <f t="shared" si="528"/>
        <v>0</v>
      </c>
      <c r="CA557" s="848">
        <f t="shared" si="528"/>
        <v>0</v>
      </c>
      <c r="CB557" s="848">
        <f t="shared" si="528"/>
        <v>0</v>
      </c>
      <c r="CC557" s="848">
        <f t="shared" si="528"/>
        <v>0</v>
      </c>
      <c r="CD557" s="848">
        <f t="shared" si="528"/>
        <v>0</v>
      </c>
      <c r="CE557" s="848">
        <f t="shared" si="528"/>
        <v>1031.6169</v>
      </c>
      <c r="CF557" s="848">
        <f t="shared" ref="CF557:CS557" si="529">CF558+CF560</f>
        <v>199.98399855783489</v>
      </c>
      <c r="CG557" s="848"/>
      <c r="CH557" s="848"/>
      <c r="CI557" s="848"/>
      <c r="CJ557" s="848"/>
      <c r="CK557" s="848"/>
      <c r="CL557" s="848"/>
      <c r="CM557" s="848"/>
      <c r="CN557" s="848"/>
      <c r="CO557" s="848"/>
      <c r="CP557" s="848"/>
      <c r="CQ557" s="848"/>
      <c r="CR557" s="848"/>
      <c r="CS557" s="848">
        <f t="shared" si="529"/>
        <v>0</v>
      </c>
      <c r="CT557" s="848"/>
      <c r="CU557" s="848"/>
      <c r="CV557" s="848"/>
      <c r="CW557" s="848">
        <f t="shared" si="492"/>
        <v>99.983998557834894</v>
      </c>
    </row>
    <row r="558" spans="1:101" ht="24.75" customHeight="1">
      <c r="A558" s="845" t="s">
        <v>30</v>
      </c>
      <c r="B558" s="845"/>
      <c r="C558" s="845" t="s">
        <v>358</v>
      </c>
      <c r="D558" s="846">
        <f>D559</f>
        <v>0</v>
      </c>
      <c r="E558" s="845">
        <f t="shared" ref="E558:CE558" si="530">E559</f>
        <v>0</v>
      </c>
      <c r="F558" s="847"/>
      <c r="G558" s="845"/>
      <c r="H558" s="850">
        <f t="shared" si="503"/>
        <v>3032</v>
      </c>
      <c r="I558" s="848">
        <f t="shared" ref="I558:AX558" si="531">I559</f>
        <v>0</v>
      </c>
      <c r="J558" s="848">
        <f t="shared" si="531"/>
        <v>0</v>
      </c>
      <c r="K558" s="848">
        <f t="shared" si="531"/>
        <v>0</v>
      </c>
      <c r="L558" s="848">
        <f t="shared" si="531"/>
        <v>0</v>
      </c>
      <c r="M558" s="848">
        <f t="shared" si="531"/>
        <v>0</v>
      </c>
      <c r="N558" s="848">
        <f t="shared" si="531"/>
        <v>0</v>
      </c>
      <c r="O558" s="848">
        <f t="shared" si="531"/>
        <v>0</v>
      </c>
      <c r="P558" s="848">
        <f t="shared" si="531"/>
        <v>0</v>
      </c>
      <c r="Q558" s="848">
        <f t="shared" si="531"/>
        <v>0</v>
      </c>
      <c r="R558" s="848">
        <v>0</v>
      </c>
      <c r="S558" s="848">
        <f t="shared" si="531"/>
        <v>3032</v>
      </c>
      <c r="T558" s="848">
        <f t="shared" si="531"/>
        <v>2000</v>
      </c>
      <c r="U558" s="848">
        <f t="shared" si="531"/>
        <v>0</v>
      </c>
      <c r="V558" s="848">
        <f t="shared" si="531"/>
        <v>0</v>
      </c>
      <c r="W558" s="848">
        <f t="shared" si="531"/>
        <v>0</v>
      </c>
      <c r="X558" s="848">
        <f t="shared" si="531"/>
        <v>0</v>
      </c>
      <c r="Y558" s="848">
        <f t="shared" si="531"/>
        <v>0</v>
      </c>
      <c r="Z558" s="848">
        <f t="shared" si="531"/>
        <v>0</v>
      </c>
      <c r="AA558" s="848">
        <f t="shared" si="531"/>
        <v>0</v>
      </c>
      <c r="AB558" s="848">
        <f t="shared" si="531"/>
        <v>0</v>
      </c>
      <c r="AC558" s="848">
        <f t="shared" si="531"/>
        <v>0</v>
      </c>
      <c r="AD558" s="848"/>
      <c r="AE558" s="848"/>
      <c r="AF558" s="848">
        <f t="shared" si="531"/>
        <v>0</v>
      </c>
      <c r="AG558" s="848">
        <f t="shared" si="531"/>
        <v>0</v>
      </c>
      <c r="AH558" s="848">
        <f t="shared" si="531"/>
        <v>2000</v>
      </c>
      <c r="AI558" s="848">
        <f t="shared" si="531"/>
        <v>2000</v>
      </c>
      <c r="AJ558" s="848">
        <f t="shared" si="531"/>
        <v>0</v>
      </c>
      <c r="AK558" s="848">
        <f t="shared" si="531"/>
        <v>0</v>
      </c>
      <c r="AL558" s="848">
        <f t="shared" si="531"/>
        <v>0</v>
      </c>
      <c r="AM558" s="848">
        <f t="shared" si="531"/>
        <v>0</v>
      </c>
      <c r="AN558" s="848">
        <f t="shared" si="531"/>
        <v>0</v>
      </c>
      <c r="AO558" s="848">
        <f t="shared" si="531"/>
        <v>0</v>
      </c>
      <c r="AP558" s="848">
        <f t="shared" si="531"/>
        <v>0</v>
      </c>
      <c r="AQ558" s="848">
        <f t="shared" si="531"/>
        <v>0</v>
      </c>
      <c r="AR558" s="848">
        <f t="shared" si="531"/>
        <v>0</v>
      </c>
      <c r="AS558" s="848"/>
      <c r="AT558" s="848">
        <f t="shared" si="531"/>
        <v>0</v>
      </c>
      <c r="AU558" s="848">
        <f t="shared" si="531"/>
        <v>0</v>
      </c>
      <c r="AV558" s="848">
        <f t="shared" si="531"/>
        <v>0</v>
      </c>
      <c r="AW558" s="848">
        <f t="shared" si="531"/>
        <v>0</v>
      </c>
      <c r="AX558" s="848">
        <f t="shared" si="531"/>
        <v>2000</v>
      </c>
      <c r="AY558" s="848">
        <f t="shared" si="530"/>
        <v>1031.7819999999999</v>
      </c>
      <c r="AZ558" s="848">
        <f t="shared" si="530"/>
        <v>0</v>
      </c>
      <c r="BA558" s="848"/>
      <c r="BB558" s="848"/>
      <c r="BC558" s="848">
        <f t="shared" si="530"/>
        <v>0</v>
      </c>
      <c r="BD558" s="848">
        <f t="shared" si="530"/>
        <v>0</v>
      </c>
      <c r="BE558" s="848"/>
      <c r="BF558" s="848">
        <f t="shared" si="530"/>
        <v>0</v>
      </c>
      <c r="BG558" s="848">
        <f t="shared" si="530"/>
        <v>0</v>
      </c>
      <c r="BH558" s="848">
        <f t="shared" si="530"/>
        <v>0</v>
      </c>
      <c r="BI558" s="848">
        <f t="shared" si="530"/>
        <v>0</v>
      </c>
      <c r="BJ558" s="848">
        <f t="shared" si="530"/>
        <v>0</v>
      </c>
      <c r="BK558" s="848">
        <f t="shared" si="530"/>
        <v>0</v>
      </c>
      <c r="BL558" s="848">
        <f t="shared" si="530"/>
        <v>0</v>
      </c>
      <c r="BM558" s="848">
        <f t="shared" si="530"/>
        <v>0</v>
      </c>
      <c r="BN558" s="848">
        <f t="shared" si="530"/>
        <v>1031.7819999999999</v>
      </c>
      <c r="BO558" s="848">
        <f t="shared" si="490"/>
        <v>1031.6169</v>
      </c>
      <c r="BP558" s="848">
        <f t="shared" si="530"/>
        <v>0</v>
      </c>
      <c r="BQ558" s="848"/>
      <c r="BR558" s="848"/>
      <c r="BS558" s="848">
        <f t="shared" si="530"/>
        <v>0</v>
      </c>
      <c r="BT558" s="848">
        <f t="shared" si="530"/>
        <v>0</v>
      </c>
      <c r="BU558" s="848"/>
      <c r="BV558" s="848">
        <f t="shared" si="530"/>
        <v>0</v>
      </c>
      <c r="BW558" s="848">
        <f t="shared" si="530"/>
        <v>0</v>
      </c>
      <c r="BX558" s="848">
        <f t="shared" si="530"/>
        <v>0</v>
      </c>
      <c r="BY558" s="848">
        <f t="shared" si="530"/>
        <v>0</v>
      </c>
      <c r="BZ558" s="848">
        <f t="shared" si="530"/>
        <v>0</v>
      </c>
      <c r="CA558" s="848">
        <f t="shared" si="530"/>
        <v>0</v>
      </c>
      <c r="CB558" s="848">
        <f t="shared" si="530"/>
        <v>0</v>
      </c>
      <c r="CC558" s="848">
        <f t="shared" si="530"/>
        <v>0</v>
      </c>
      <c r="CD558" s="848">
        <f t="shared" si="530"/>
        <v>0</v>
      </c>
      <c r="CE558" s="848">
        <f t="shared" si="530"/>
        <v>1031.6169</v>
      </c>
      <c r="CF558" s="848">
        <f>BO558/AY558%</f>
        <v>99.983998557834894</v>
      </c>
      <c r="CG558" s="848"/>
      <c r="CH558" s="848"/>
      <c r="CI558" s="848"/>
      <c r="CJ558" s="848"/>
      <c r="CK558" s="848"/>
      <c r="CL558" s="848"/>
      <c r="CM558" s="848"/>
      <c r="CN558" s="848"/>
      <c r="CO558" s="848"/>
      <c r="CP558" s="848"/>
      <c r="CQ558" s="848"/>
      <c r="CR558" s="848"/>
      <c r="CS558" s="848"/>
      <c r="CT558" s="848"/>
      <c r="CU558" s="848"/>
      <c r="CV558" s="848"/>
      <c r="CW558" s="848">
        <f t="shared" si="492"/>
        <v>99.983998557834894</v>
      </c>
    </row>
    <row r="559" spans="1:101" ht="24.75" customHeight="1">
      <c r="A559" s="845"/>
      <c r="B559" s="846" t="s">
        <v>409</v>
      </c>
      <c r="C559" s="852" t="s">
        <v>1235</v>
      </c>
      <c r="D559" s="846"/>
      <c r="E559" s="845"/>
      <c r="F559" s="853" t="s">
        <v>412</v>
      </c>
      <c r="G559" s="846" t="s">
        <v>1236</v>
      </c>
      <c r="H559" s="850">
        <f t="shared" si="503"/>
        <v>3032</v>
      </c>
      <c r="I559" s="860"/>
      <c r="J559" s="848"/>
      <c r="K559" s="848"/>
      <c r="L559" s="848"/>
      <c r="M559" s="848"/>
      <c r="N559" s="848"/>
      <c r="O559" s="848"/>
      <c r="P559" s="848"/>
      <c r="Q559" s="848"/>
      <c r="R559" s="848"/>
      <c r="S559" s="855">
        <v>3032</v>
      </c>
      <c r="T559" s="855">
        <f t="shared" si="501"/>
        <v>2000</v>
      </c>
      <c r="U559" s="848"/>
      <c r="V559" s="848"/>
      <c r="W559" s="848"/>
      <c r="X559" s="848"/>
      <c r="Y559" s="848"/>
      <c r="Z559" s="848"/>
      <c r="AA559" s="848"/>
      <c r="AB559" s="848"/>
      <c r="AC559" s="848"/>
      <c r="AD559" s="848"/>
      <c r="AE559" s="848"/>
      <c r="AF559" s="848"/>
      <c r="AG559" s="848"/>
      <c r="AH559" s="855">
        <v>2000</v>
      </c>
      <c r="AI559" s="855">
        <f>AX559</f>
        <v>2000</v>
      </c>
      <c r="AJ559" s="855"/>
      <c r="AK559" s="855"/>
      <c r="AL559" s="855"/>
      <c r="AM559" s="855"/>
      <c r="AN559" s="855"/>
      <c r="AO559" s="855"/>
      <c r="AP559" s="855"/>
      <c r="AQ559" s="855"/>
      <c r="AR559" s="855"/>
      <c r="AS559" s="855"/>
      <c r="AT559" s="855"/>
      <c r="AU559" s="855"/>
      <c r="AV559" s="855"/>
      <c r="AW559" s="855"/>
      <c r="AX559" s="855">
        <f>700+800+500</f>
        <v>2000</v>
      </c>
      <c r="AY559" s="855">
        <f t="shared" ref="AY559" si="532">SUM(AZ559:BN559)</f>
        <v>1031.7819999999999</v>
      </c>
      <c r="AZ559" s="855"/>
      <c r="BA559" s="855"/>
      <c r="BB559" s="855"/>
      <c r="BC559" s="855"/>
      <c r="BD559" s="855"/>
      <c r="BE559" s="855"/>
      <c r="BF559" s="855"/>
      <c r="BG559" s="855"/>
      <c r="BH559" s="855"/>
      <c r="BI559" s="855"/>
      <c r="BJ559" s="855"/>
      <c r="BK559" s="855"/>
      <c r="BL559" s="855"/>
      <c r="BM559" s="855"/>
      <c r="BN559" s="855">
        <v>1031.7819999999999</v>
      </c>
      <c r="BO559" s="848">
        <f t="shared" si="490"/>
        <v>1031.6169</v>
      </c>
      <c r="BP559" s="855"/>
      <c r="BQ559" s="855"/>
      <c r="BR559" s="855"/>
      <c r="BS559" s="855"/>
      <c r="BT559" s="855"/>
      <c r="BU559" s="855"/>
      <c r="BV559" s="855"/>
      <c r="BW559" s="855"/>
      <c r="BX559" s="855"/>
      <c r="BY559" s="855"/>
      <c r="BZ559" s="855"/>
      <c r="CA559" s="855"/>
      <c r="CB559" s="855"/>
      <c r="CC559" s="855"/>
      <c r="CD559" s="855"/>
      <c r="CE559" s="855">
        <v>1031.6169</v>
      </c>
      <c r="CF559" s="848">
        <f>BO559/AY559%</f>
        <v>99.983998557834894</v>
      </c>
      <c r="CG559" s="848"/>
      <c r="CH559" s="848"/>
      <c r="CI559" s="848"/>
      <c r="CJ559" s="848"/>
      <c r="CK559" s="848"/>
      <c r="CL559" s="848"/>
      <c r="CM559" s="848"/>
      <c r="CN559" s="848"/>
      <c r="CO559" s="848"/>
      <c r="CP559" s="848"/>
      <c r="CQ559" s="848"/>
      <c r="CR559" s="848"/>
      <c r="CS559" s="848"/>
      <c r="CT559" s="848"/>
      <c r="CU559" s="848"/>
      <c r="CV559" s="848"/>
      <c r="CW559" s="848">
        <f t="shared" si="492"/>
        <v>99.983998557834894</v>
      </c>
    </row>
    <row r="560" spans="1:101" ht="34.15" customHeight="1">
      <c r="A560" s="845" t="s">
        <v>31</v>
      </c>
      <c r="B560" s="846"/>
      <c r="C560" s="857" t="s">
        <v>406</v>
      </c>
      <c r="D560" s="846">
        <f>D561</f>
        <v>0</v>
      </c>
      <c r="E560" s="845">
        <f t="shared" ref="E560" si="533">E561</f>
        <v>0</v>
      </c>
      <c r="F560" s="847"/>
      <c r="G560" s="845"/>
      <c r="H560" s="850">
        <f t="shared" si="503"/>
        <v>5435</v>
      </c>
      <c r="I560" s="848">
        <f t="shared" ref="I560:BT560" si="534">I561</f>
        <v>0</v>
      </c>
      <c r="J560" s="848">
        <f t="shared" si="534"/>
        <v>5435</v>
      </c>
      <c r="K560" s="848">
        <f t="shared" si="534"/>
        <v>0</v>
      </c>
      <c r="L560" s="848">
        <f t="shared" si="534"/>
        <v>0</v>
      </c>
      <c r="M560" s="848">
        <f t="shared" si="534"/>
        <v>0</v>
      </c>
      <c r="N560" s="848">
        <f t="shared" si="534"/>
        <v>0</v>
      </c>
      <c r="O560" s="848">
        <f t="shared" si="534"/>
        <v>0</v>
      </c>
      <c r="P560" s="848">
        <f t="shared" si="534"/>
        <v>0</v>
      </c>
      <c r="Q560" s="848">
        <f t="shared" si="534"/>
        <v>0</v>
      </c>
      <c r="R560" s="848">
        <v>0</v>
      </c>
      <c r="S560" s="848">
        <f t="shared" si="534"/>
        <v>0</v>
      </c>
      <c r="T560" s="848">
        <f t="shared" si="534"/>
        <v>4101.3620000000001</v>
      </c>
      <c r="U560" s="848">
        <f t="shared" si="534"/>
        <v>0</v>
      </c>
      <c r="V560" s="848">
        <f t="shared" si="534"/>
        <v>0</v>
      </c>
      <c r="W560" s="848">
        <f t="shared" si="534"/>
        <v>4101.3620000000001</v>
      </c>
      <c r="X560" s="848">
        <f t="shared" si="534"/>
        <v>0</v>
      </c>
      <c r="Y560" s="848">
        <f t="shared" si="534"/>
        <v>0</v>
      </c>
      <c r="Z560" s="848">
        <f t="shared" si="534"/>
        <v>0</v>
      </c>
      <c r="AA560" s="848">
        <f t="shared" si="534"/>
        <v>0</v>
      </c>
      <c r="AB560" s="848">
        <f t="shared" si="534"/>
        <v>0</v>
      </c>
      <c r="AC560" s="848">
        <f t="shared" si="534"/>
        <v>0</v>
      </c>
      <c r="AD560" s="848"/>
      <c r="AE560" s="848"/>
      <c r="AF560" s="848">
        <f t="shared" si="534"/>
        <v>0</v>
      </c>
      <c r="AG560" s="848">
        <f t="shared" si="534"/>
        <v>0</v>
      </c>
      <c r="AH560" s="848">
        <f t="shared" si="534"/>
        <v>0</v>
      </c>
      <c r="AI560" s="848">
        <f t="shared" si="534"/>
        <v>2604</v>
      </c>
      <c r="AJ560" s="848">
        <f t="shared" si="534"/>
        <v>0</v>
      </c>
      <c r="AK560" s="848">
        <f t="shared" si="534"/>
        <v>0</v>
      </c>
      <c r="AL560" s="848">
        <f t="shared" si="534"/>
        <v>2604</v>
      </c>
      <c r="AM560" s="848">
        <f t="shared" si="534"/>
        <v>0</v>
      </c>
      <c r="AN560" s="848">
        <f t="shared" si="534"/>
        <v>0</v>
      </c>
      <c r="AO560" s="848">
        <f t="shared" si="534"/>
        <v>0</v>
      </c>
      <c r="AP560" s="848">
        <f t="shared" si="534"/>
        <v>0</v>
      </c>
      <c r="AQ560" s="848">
        <f t="shared" si="534"/>
        <v>0</v>
      </c>
      <c r="AR560" s="848">
        <f t="shared" si="534"/>
        <v>0</v>
      </c>
      <c r="AS560" s="848"/>
      <c r="AT560" s="848">
        <f t="shared" si="534"/>
        <v>0</v>
      </c>
      <c r="AU560" s="848">
        <f t="shared" si="534"/>
        <v>0</v>
      </c>
      <c r="AV560" s="848">
        <f t="shared" si="534"/>
        <v>0</v>
      </c>
      <c r="AW560" s="848">
        <f t="shared" si="534"/>
        <v>0</v>
      </c>
      <c r="AX560" s="848">
        <f t="shared" si="534"/>
        <v>0</v>
      </c>
      <c r="AY560" s="848">
        <f t="shared" si="534"/>
        <v>628</v>
      </c>
      <c r="AZ560" s="848">
        <f t="shared" si="534"/>
        <v>0</v>
      </c>
      <c r="BA560" s="848">
        <f t="shared" si="534"/>
        <v>0</v>
      </c>
      <c r="BB560" s="848">
        <f t="shared" si="534"/>
        <v>0</v>
      </c>
      <c r="BC560" s="848">
        <f t="shared" si="534"/>
        <v>628</v>
      </c>
      <c r="BD560" s="848">
        <f t="shared" si="534"/>
        <v>0</v>
      </c>
      <c r="BE560" s="848">
        <f t="shared" si="534"/>
        <v>0</v>
      </c>
      <c r="BF560" s="848">
        <f t="shared" si="534"/>
        <v>0</v>
      </c>
      <c r="BG560" s="848">
        <f t="shared" si="534"/>
        <v>0</v>
      </c>
      <c r="BH560" s="848">
        <f t="shared" si="534"/>
        <v>0</v>
      </c>
      <c r="BI560" s="848">
        <f t="shared" si="534"/>
        <v>0</v>
      </c>
      <c r="BJ560" s="848">
        <f t="shared" si="534"/>
        <v>0</v>
      </c>
      <c r="BK560" s="848">
        <f t="shared" si="534"/>
        <v>0</v>
      </c>
      <c r="BL560" s="848">
        <f t="shared" si="534"/>
        <v>0</v>
      </c>
      <c r="BM560" s="848">
        <f t="shared" si="534"/>
        <v>0</v>
      </c>
      <c r="BN560" s="848">
        <f t="shared" si="534"/>
        <v>0</v>
      </c>
      <c r="BO560" s="848">
        <f t="shared" si="490"/>
        <v>628</v>
      </c>
      <c r="BP560" s="848">
        <f t="shared" si="534"/>
        <v>0</v>
      </c>
      <c r="BQ560" s="848">
        <f t="shared" si="534"/>
        <v>0</v>
      </c>
      <c r="BR560" s="848">
        <f t="shared" si="534"/>
        <v>0</v>
      </c>
      <c r="BS560" s="848">
        <f t="shared" si="534"/>
        <v>628</v>
      </c>
      <c r="BT560" s="848">
        <f t="shared" si="534"/>
        <v>0</v>
      </c>
      <c r="BU560" s="848">
        <f t="shared" ref="BU560:CS560" si="535">BU561</f>
        <v>0</v>
      </c>
      <c r="BV560" s="848">
        <f t="shared" si="535"/>
        <v>0</v>
      </c>
      <c r="BW560" s="848">
        <f t="shared" si="535"/>
        <v>0</v>
      </c>
      <c r="BX560" s="848">
        <f t="shared" si="535"/>
        <v>0</v>
      </c>
      <c r="BY560" s="848">
        <f t="shared" si="535"/>
        <v>0</v>
      </c>
      <c r="BZ560" s="848">
        <f t="shared" si="535"/>
        <v>0</v>
      </c>
      <c r="CA560" s="848">
        <f t="shared" si="535"/>
        <v>0</v>
      </c>
      <c r="CB560" s="848">
        <f t="shared" si="535"/>
        <v>0</v>
      </c>
      <c r="CC560" s="848">
        <f t="shared" si="535"/>
        <v>0</v>
      </c>
      <c r="CD560" s="848">
        <f t="shared" si="535"/>
        <v>0</v>
      </c>
      <c r="CE560" s="848">
        <f t="shared" si="535"/>
        <v>0</v>
      </c>
      <c r="CF560" s="848">
        <f t="shared" si="535"/>
        <v>100</v>
      </c>
      <c r="CG560" s="848"/>
      <c r="CH560" s="848"/>
      <c r="CI560" s="848"/>
      <c r="CJ560" s="848"/>
      <c r="CK560" s="848"/>
      <c r="CL560" s="848"/>
      <c r="CM560" s="848"/>
      <c r="CN560" s="848"/>
      <c r="CO560" s="848"/>
      <c r="CP560" s="848"/>
      <c r="CQ560" s="848"/>
      <c r="CR560" s="848"/>
      <c r="CS560" s="848">
        <f t="shared" si="535"/>
        <v>0</v>
      </c>
      <c r="CT560" s="848"/>
      <c r="CU560" s="848"/>
      <c r="CV560" s="848"/>
      <c r="CW560" s="848"/>
    </row>
    <row r="561" spans="1:101" ht="24.75" customHeight="1">
      <c r="A561" s="845"/>
      <c r="B561" s="846" t="s">
        <v>409</v>
      </c>
      <c r="C561" s="852" t="s">
        <v>1237</v>
      </c>
      <c r="D561" s="846"/>
      <c r="E561" s="845"/>
      <c r="F561" s="853" t="s">
        <v>1177</v>
      </c>
      <c r="G561" s="846" t="s">
        <v>1238</v>
      </c>
      <c r="H561" s="850">
        <f t="shared" si="503"/>
        <v>5435</v>
      </c>
      <c r="I561" s="860"/>
      <c r="J561" s="855">
        <v>5435</v>
      </c>
      <c r="K561" s="848"/>
      <c r="L561" s="848"/>
      <c r="M561" s="848"/>
      <c r="N561" s="848"/>
      <c r="O561" s="848"/>
      <c r="P561" s="848"/>
      <c r="Q561" s="848"/>
      <c r="R561" s="848"/>
      <c r="S561" s="848"/>
      <c r="T561" s="855">
        <f t="shared" si="501"/>
        <v>4101.3620000000001</v>
      </c>
      <c r="U561" s="848"/>
      <c r="V561" s="848"/>
      <c r="W561" s="855">
        <v>4101.3620000000001</v>
      </c>
      <c r="X561" s="848"/>
      <c r="Y561" s="848"/>
      <c r="Z561" s="848"/>
      <c r="AA561" s="848"/>
      <c r="AB561" s="848"/>
      <c r="AC561" s="848"/>
      <c r="AD561" s="848"/>
      <c r="AE561" s="848"/>
      <c r="AF561" s="848"/>
      <c r="AG561" s="848"/>
      <c r="AH561" s="855"/>
      <c r="AI561" s="855">
        <f>AL561</f>
        <v>2604</v>
      </c>
      <c r="AJ561" s="855"/>
      <c r="AK561" s="855"/>
      <c r="AL561" s="855">
        <v>2604</v>
      </c>
      <c r="AM561" s="855"/>
      <c r="AN561" s="855"/>
      <c r="AO561" s="855"/>
      <c r="AP561" s="855"/>
      <c r="AQ561" s="855"/>
      <c r="AR561" s="855"/>
      <c r="AS561" s="855"/>
      <c r="AT561" s="855"/>
      <c r="AU561" s="855"/>
      <c r="AV561" s="855"/>
      <c r="AW561" s="855"/>
      <c r="AX561" s="855"/>
      <c r="AY561" s="855">
        <f t="shared" ref="AY561" si="536">SUM(AZ561:BN561)</f>
        <v>628</v>
      </c>
      <c r="AZ561" s="855"/>
      <c r="BA561" s="855"/>
      <c r="BB561" s="855"/>
      <c r="BC561" s="855">
        <v>628</v>
      </c>
      <c r="BD561" s="855"/>
      <c r="BE561" s="855"/>
      <c r="BF561" s="855"/>
      <c r="BG561" s="855"/>
      <c r="BH561" s="855"/>
      <c r="BI561" s="855"/>
      <c r="BJ561" s="855"/>
      <c r="BK561" s="855"/>
      <c r="BL561" s="855"/>
      <c r="BM561" s="855"/>
      <c r="BN561" s="855"/>
      <c r="BO561" s="848">
        <f t="shared" si="490"/>
        <v>628</v>
      </c>
      <c r="BP561" s="855"/>
      <c r="BQ561" s="855"/>
      <c r="BR561" s="855"/>
      <c r="BS561" s="855">
        <v>628</v>
      </c>
      <c r="BT561" s="855"/>
      <c r="BU561" s="855"/>
      <c r="BV561" s="855"/>
      <c r="BW561" s="855"/>
      <c r="BX561" s="855"/>
      <c r="BY561" s="855"/>
      <c r="BZ561" s="855"/>
      <c r="CA561" s="855"/>
      <c r="CB561" s="855"/>
      <c r="CC561" s="855"/>
      <c r="CD561" s="855"/>
      <c r="CE561" s="855"/>
      <c r="CF561" s="848">
        <f>BO561/AY561%</f>
        <v>100</v>
      </c>
      <c r="CG561" s="848"/>
      <c r="CH561" s="848"/>
      <c r="CI561" s="848"/>
      <c r="CJ561" s="848"/>
      <c r="CK561" s="848"/>
      <c r="CL561" s="848"/>
      <c r="CM561" s="848"/>
      <c r="CN561" s="848"/>
      <c r="CO561" s="848"/>
      <c r="CP561" s="848"/>
      <c r="CQ561" s="848"/>
      <c r="CR561" s="848"/>
      <c r="CS561" s="848"/>
      <c r="CT561" s="848"/>
      <c r="CU561" s="848"/>
      <c r="CV561" s="848"/>
      <c r="CW561" s="848"/>
    </row>
    <row r="562" spans="1:101" ht="24.75" customHeight="1">
      <c r="A562" s="845" t="s">
        <v>9</v>
      </c>
      <c r="B562" s="845"/>
      <c r="C562" s="845" t="s">
        <v>1239</v>
      </c>
      <c r="D562" s="846">
        <f>D563</f>
        <v>0</v>
      </c>
      <c r="E562" s="845">
        <f t="shared" ref="E562:CE562" si="537">E563</f>
        <v>0</v>
      </c>
      <c r="F562" s="847"/>
      <c r="G562" s="845"/>
      <c r="H562" s="850">
        <f t="shared" si="503"/>
        <v>1055267</v>
      </c>
      <c r="I562" s="848">
        <f t="shared" si="537"/>
        <v>0</v>
      </c>
      <c r="J562" s="848">
        <f t="shared" si="537"/>
        <v>33023</v>
      </c>
      <c r="K562" s="848">
        <f t="shared" si="537"/>
        <v>0</v>
      </c>
      <c r="L562" s="848">
        <f t="shared" si="537"/>
        <v>988076</v>
      </c>
      <c r="M562" s="848">
        <f t="shared" si="537"/>
        <v>0</v>
      </c>
      <c r="N562" s="848">
        <f t="shared" si="537"/>
        <v>0</v>
      </c>
      <c r="O562" s="848">
        <f t="shared" si="537"/>
        <v>0</v>
      </c>
      <c r="P562" s="848">
        <f t="shared" si="537"/>
        <v>0</v>
      </c>
      <c r="Q562" s="848">
        <f t="shared" si="537"/>
        <v>0</v>
      </c>
      <c r="R562" s="848">
        <v>19471</v>
      </c>
      <c r="S562" s="848">
        <f t="shared" si="537"/>
        <v>14697</v>
      </c>
      <c r="T562" s="848">
        <f t="shared" si="537"/>
        <v>887523.661983</v>
      </c>
      <c r="U562" s="848">
        <f t="shared" si="537"/>
        <v>787678.168221</v>
      </c>
      <c r="V562" s="848">
        <f t="shared" si="537"/>
        <v>0</v>
      </c>
      <c r="W562" s="848">
        <f t="shared" si="537"/>
        <v>47844.285499999998</v>
      </c>
      <c r="X562" s="848">
        <f t="shared" si="537"/>
        <v>0</v>
      </c>
      <c r="Y562" s="848">
        <f t="shared" si="537"/>
        <v>2704.7990199999999</v>
      </c>
      <c r="Z562" s="848">
        <f t="shared" si="537"/>
        <v>5000</v>
      </c>
      <c r="AA562" s="848">
        <f t="shared" si="537"/>
        <v>0</v>
      </c>
      <c r="AB562" s="848">
        <f t="shared" si="537"/>
        <v>0</v>
      </c>
      <c r="AC562" s="848">
        <f t="shared" si="537"/>
        <v>44166.409242000002</v>
      </c>
      <c r="AD562" s="848">
        <f t="shared" si="537"/>
        <v>0</v>
      </c>
      <c r="AE562" s="848"/>
      <c r="AF562" s="848">
        <f t="shared" si="537"/>
        <v>0</v>
      </c>
      <c r="AG562" s="848">
        <f t="shared" si="537"/>
        <v>0</v>
      </c>
      <c r="AH562" s="848">
        <f t="shared" si="537"/>
        <v>130</v>
      </c>
      <c r="AI562" s="848">
        <f t="shared" si="537"/>
        <v>814897</v>
      </c>
      <c r="AJ562" s="848">
        <f t="shared" si="537"/>
        <v>757546</v>
      </c>
      <c r="AK562" s="848">
        <f t="shared" si="537"/>
        <v>0</v>
      </c>
      <c r="AL562" s="848">
        <f t="shared" si="537"/>
        <v>40427</v>
      </c>
      <c r="AM562" s="848">
        <f t="shared" si="537"/>
        <v>0</v>
      </c>
      <c r="AN562" s="848">
        <f t="shared" si="537"/>
        <v>0</v>
      </c>
      <c r="AO562" s="848">
        <f t="shared" si="537"/>
        <v>8500</v>
      </c>
      <c r="AP562" s="848">
        <f t="shared" si="537"/>
        <v>0</v>
      </c>
      <c r="AQ562" s="848">
        <f t="shared" si="537"/>
        <v>0</v>
      </c>
      <c r="AR562" s="848">
        <f t="shared" si="537"/>
        <v>0</v>
      </c>
      <c r="AS562" s="848"/>
      <c r="AT562" s="848">
        <f t="shared" si="537"/>
        <v>0</v>
      </c>
      <c r="AU562" s="848">
        <f t="shared" si="537"/>
        <v>0</v>
      </c>
      <c r="AV562" s="848">
        <f t="shared" si="537"/>
        <v>0</v>
      </c>
      <c r="AW562" s="848">
        <f t="shared" si="537"/>
        <v>6540</v>
      </c>
      <c r="AX562" s="848">
        <f t="shared" si="537"/>
        <v>1884</v>
      </c>
      <c r="AY562" s="848">
        <f t="shared" si="537"/>
        <v>3000</v>
      </c>
      <c r="AZ562" s="848">
        <f t="shared" si="537"/>
        <v>0</v>
      </c>
      <c r="BA562" s="848">
        <f t="shared" si="537"/>
        <v>0</v>
      </c>
      <c r="BB562" s="848">
        <f t="shared" si="537"/>
        <v>0</v>
      </c>
      <c r="BC562" s="848">
        <f t="shared" si="537"/>
        <v>0</v>
      </c>
      <c r="BD562" s="848">
        <f t="shared" si="537"/>
        <v>0</v>
      </c>
      <c r="BE562" s="848">
        <f t="shared" si="537"/>
        <v>0</v>
      </c>
      <c r="BF562" s="848">
        <f t="shared" si="537"/>
        <v>0</v>
      </c>
      <c r="BG562" s="848">
        <f t="shared" si="537"/>
        <v>0</v>
      </c>
      <c r="BH562" s="848">
        <f t="shared" si="537"/>
        <v>0</v>
      </c>
      <c r="BI562" s="848">
        <f t="shared" si="537"/>
        <v>0</v>
      </c>
      <c r="BJ562" s="848">
        <f t="shared" si="537"/>
        <v>0</v>
      </c>
      <c r="BK562" s="848">
        <f t="shared" si="537"/>
        <v>0</v>
      </c>
      <c r="BL562" s="848">
        <f t="shared" si="537"/>
        <v>0</v>
      </c>
      <c r="BM562" s="848">
        <f t="shared" si="537"/>
        <v>0</v>
      </c>
      <c r="BN562" s="848">
        <f t="shared" si="537"/>
        <v>3000</v>
      </c>
      <c r="BO562" s="848">
        <f t="shared" si="490"/>
        <v>28029.717145000002</v>
      </c>
      <c r="BP562" s="848">
        <f t="shared" si="537"/>
        <v>3840.8784970000002</v>
      </c>
      <c r="BQ562" s="848">
        <f t="shared" si="537"/>
        <v>0</v>
      </c>
      <c r="BR562" s="848">
        <f t="shared" si="537"/>
        <v>1180.6386480000001</v>
      </c>
      <c r="BS562" s="848">
        <f t="shared" si="537"/>
        <v>20008.2</v>
      </c>
      <c r="BT562" s="848">
        <f t="shared" si="537"/>
        <v>0</v>
      </c>
      <c r="BU562" s="848">
        <f t="shared" si="537"/>
        <v>0</v>
      </c>
      <c r="BV562" s="848">
        <f t="shared" si="537"/>
        <v>0</v>
      </c>
      <c r="BW562" s="848">
        <f t="shared" si="537"/>
        <v>0</v>
      </c>
      <c r="BX562" s="848">
        <f t="shared" si="537"/>
        <v>0</v>
      </c>
      <c r="BY562" s="848">
        <f t="shared" si="537"/>
        <v>0</v>
      </c>
      <c r="BZ562" s="848">
        <f t="shared" si="537"/>
        <v>0</v>
      </c>
      <c r="CA562" s="848">
        <f t="shared" si="537"/>
        <v>0</v>
      </c>
      <c r="CB562" s="848">
        <f t="shared" si="537"/>
        <v>0</v>
      </c>
      <c r="CC562" s="848">
        <f t="shared" si="537"/>
        <v>0</v>
      </c>
      <c r="CD562" s="848">
        <f t="shared" si="537"/>
        <v>0</v>
      </c>
      <c r="CE562" s="848">
        <f t="shared" si="537"/>
        <v>3000</v>
      </c>
      <c r="CF562" s="848">
        <f t="shared" ref="CF562:CS562" si="538">CF563</f>
        <v>100</v>
      </c>
      <c r="CG562" s="848"/>
      <c r="CH562" s="848"/>
      <c r="CI562" s="848"/>
      <c r="CJ562" s="848"/>
      <c r="CK562" s="848"/>
      <c r="CL562" s="848"/>
      <c r="CM562" s="848"/>
      <c r="CN562" s="848"/>
      <c r="CO562" s="848"/>
      <c r="CP562" s="848"/>
      <c r="CQ562" s="848"/>
      <c r="CR562" s="848"/>
      <c r="CS562" s="848">
        <f t="shared" si="538"/>
        <v>0</v>
      </c>
      <c r="CT562" s="848"/>
      <c r="CU562" s="848"/>
      <c r="CV562" s="848"/>
      <c r="CW562" s="848">
        <f t="shared" si="492"/>
        <v>100</v>
      </c>
    </row>
    <row r="563" spans="1:101" ht="35.450000000000003" customHeight="1">
      <c r="A563" s="845"/>
      <c r="B563" s="845"/>
      <c r="C563" s="857" t="s">
        <v>410</v>
      </c>
      <c r="D563" s="846">
        <f>SUM(D564:D567)</f>
        <v>0</v>
      </c>
      <c r="E563" s="845">
        <f t="shared" ref="E563" si="539">SUM(E564:E567)</f>
        <v>0</v>
      </c>
      <c r="F563" s="847"/>
      <c r="G563" s="845"/>
      <c r="H563" s="848">
        <f>SUM(H564:H567)</f>
        <v>1055267</v>
      </c>
      <c r="I563" s="848">
        <f t="shared" ref="I563:BT563" si="540">SUM(I564:I567)</f>
        <v>0</v>
      </c>
      <c r="J563" s="848">
        <f t="shared" si="540"/>
        <v>33023</v>
      </c>
      <c r="K563" s="848">
        <f t="shared" si="540"/>
        <v>0</v>
      </c>
      <c r="L563" s="848">
        <f>SUM(L564:L567)</f>
        <v>988076</v>
      </c>
      <c r="M563" s="848">
        <f t="shared" si="540"/>
        <v>0</v>
      </c>
      <c r="N563" s="848">
        <f t="shared" si="540"/>
        <v>0</v>
      </c>
      <c r="O563" s="848">
        <f t="shared" si="540"/>
        <v>0</v>
      </c>
      <c r="P563" s="848">
        <f t="shared" si="540"/>
        <v>0</v>
      </c>
      <c r="Q563" s="848">
        <f t="shared" si="540"/>
        <v>0</v>
      </c>
      <c r="R563" s="848">
        <v>19471</v>
      </c>
      <c r="S563" s="848">
        <f t="shared" si="540"/>
        <v>14697</v>
      </c>
      <c r="T563" s="848">
        <f t="shared" si="540"/>
        <v>887523.661983</v>
      </c>
      <c r="U563" s="848">
        <f t="shared" si="540"/>
        <v>787678.168221</v>
      </c>
      <c r="V563" s="848">
        <f t="shared" si="540"/>
        <v>0</v>
      </c>
      <c r="W563" s="848">
        <f t="shared" si="540"/>
        <v>47844.285499999998</v>
      </c>
      <c r="X563" s="848">
        <f t="shared" si="540"/>
        <v>0</v>
      </c>
      <c r="Y563" s="848">
        <f t="shared" si="540"/>
        <v>2704.7990199999999</v>
      </c>
      <c r="Z563" s="848">
        <f t="shared" si="540"/>
        <v>5000</v>
      </c>
      <c r="AA563" s="848">
        <f t="shared" si="540"/>
        <v>0</v>
      </c>
      <c r="AB563" s="848">
        <f t="shared" si="540"/>
        <v>0</v>
      </c>
      <c r="AC563" s="848">
        <f t="shared" si="540"/>
        <v>44166.409242000002</v>
      </c>
      <c r="AD563" s="848"/>
      <c r="AE563" s="848"/>
      <c r="AF563" s="848">
        <f t="shared" si="540"/>
        <v>0</v>
      </c>
      <c r="AG563" s="848">
        <f t="shared" si="540"/>
        <v>0</v>
      </c>
      <c r="AH563" s="848">
        <f t="shared" si="540"/>
        <v>130</v>
      </c>
      <c r="AI563" s="848">
        <f t="shared" si="540"/>
        <v>814897</v>
      </c>
      <c r="AJ563" s="848">
        <f t="shared" si="540"/>
        <v>757546</v>
      </c>
      <c r="AK563" s="848">
        <f t="shared" si="540"/>
        <v>0</v>
      </c>
      <c r="AL563" s="848">
        <f t="shared" si="540"/>
        <v>40427</v>
      </c>
      <c r="AM563" s="848">
        <f t="shared" si="540"/>
        <v>0</v>
      </c>
      <c r="AN563" s="848">
        <f t="shared" si="540"/>
        <v>0</v>
      </c>
      <c r="AO563" s="848">
        <f t="shared" si="540"/>
        <v>8500</v>
      </c>
      <c r="AP563" s="848">
        <f t="shared" si="540"/>
        <v>0</v>
      </c>
      <c r="AQ563" s="848">
        <f t="shared" si="540"/>
        <v>0</v>
      </c>
      <c r="AR563" s="848">
        <f t="shared" si="540"/>
        <v>0</v>
      </c>
      <c r="AS563" s="848"/>
      <c r="AT563" s="848">
        <f t="shared" si="540"/>
        <v>0</v>
      </c>
      <c r="AU563" s="848">
        <f t="shared" si="540"/>
        <v>0</v>
      </c>
      <c r="AV563" s="848">
        <f t="shared" si="540"/>
        <v>0</v>
      </c>
      <c r="AW563" s="848">
        <f t="shared" si="540"/>
        <v>6540</v>
      </c>
      <c r="AX563" s="848">
        <f t="shared" si="540"/>
        <v>1884</v>
      </c>
      <c r="AY563" s="848">
        <f t="shared" si="540"/>
        <v>3000</v>
      </c>
      <c r="AZ563" s="848">
        <f t="shared" si="540"/>
        <v>0</v>
      </c>
      <c r="BA563" s="848">
        <f t="shared" si="540"/>
        <v>0</v>
      </c>
      <c r="BB563" s="848">
        <f t="shared" si="540"/>
        <v>0</v>
      </c>
      <c r="BC563" s="848">
        <f t="shared" si="540"/>
        <v>0</v>
      </c>
      <c r="BD563" s="848">
        <f t="shared" si="540"/>
        <v>0</v>
      </c>
      <c r="BE563" s="848">
        <f t="shared" si="540"/>
        <v>0</v>
      </c>
      <c r="BF563" s="848">
        <f t="shared" si="540"/>
        <v>0</v>
      </c>
      <c r="BG563" s="848">
        <f t="shared" si="540"/>
        <v>0</v>
      </c>
      <c r="BH563" s="848">
        <f t="shared" si="540"/>
        <v>0</v>
      </c>
      <c r="BI563" s="848">
        <f t="shared" si="540"/>
        <v>0</v>
      </c>
      <c r="BJ563" s="848">
        <f t="shared" si="540"/>
        <v>0</v>
      </c>
      <c r="BK563" s="848">
        <f t="shared" si="540"/>
        <v>0</v>
      </c>
      <c r="BL563" s="848">
        <f t="shared" si="540"/>
        <v>0</v>
      </c>
      <c r="BM563" s="848">
        <f t="shared" si="540"/>
        <v>0</v>
      </c>
      <c r="BN563" s="848">
        <f t="shared" si="540"/>
        <v>3000</v>
      </c>
      <c r="BO563" s="848">
        <f t="shared" si="490"/>
        <v>28029.717145000002</v>
      </c>
      <c r="BP563" s="848">
        <f t="shared" si="540"/>
        <v>3840.8784970000002</v>
      </c>
      <c r="BQ563" s="848">
        <f t="shared" si="540"/>
        <v>0</v>
      </c>
      <c r="BR563" s="848">
        <f t="shared" si="540"/>
        <v>1180.6386480000001</v>
      </c>
      <c r="BS563" s="848">
        <f t="shared" si="540"/>
        <v>20008.2</v>
      </c>
      <c r="BT563" s="848">
        <f t="shared" si="540"/>
        <v>0</v>
      </c>
      <c r="BU563" s="848">
        <f t="shared" ref="BU563:CS563" si="541">SUM(BU564:BU567)</f>
        <v>0</v>
      </c>
      <c r="BV563" s="848">
        <f t="shared" si="541"/>
        <v>0</v>
      </c>
      <c r="BW563" s="848">
        <f t="shared" si="541"/>
        <v>0</v>
      </c>
      <c r="BX563" s="848">
        <f t="shared" si="541"/>
        <v>0</v>
      </c>
      <c r="BY563" s="848">
        <f t="shared" si="541"/>
        <v>0</v>
      </c>
      <c r="BZ563" s="848">
        <f t="shared" si="541"/>
        <v>0</v>
      </c>
      <c r="CA563" s="848">
        <f t="shared" si="541"/>
        <v>0</v>
      </c>
      <c r="CB563" s="848">
        <f t="shared" si="541"/>
        <v>0</v>
      </c>
      <c r="CC563" s="848">
        <f t="shared" si="541"/>
        <v>0</v>
      </c>
      <c r="CD563" s="848">
        <f t="shared" si="541"/>
        <v>0</v>
      </c>
      <c r="CE563" s="848">
        <f t="shared" si="541"/>
        <v>3000</v>
      </c>
      <c r="CF563" s="848">
        <f t="shared" si="541"/>
        <v>100</v>
      </c>
      <c r="CG563" s="848"/>
      <c r="CH563" s="848"/>
      <c r="CI563" s="848"/>
      <c r="CJ563" s="848"/>
      <c r="CK563" s="848"/>
      <c r="CL563" s="848"/>
      <c r="CM563" s="848"/>
      <c r="CN563" s="848"/>
      <c r="CO563" s="848"/>
      <c r="CP563" s="848"/>
      <c r="CQ563" s="848"/>
      <c r="CR563" s="848"/>
      <c r="CS563" s="848">
        <f t="shared" si="541"/>
        <v>0</v>
      </c>
      <c r="CT563" s="848"/>
      <c r="CU563" s="848"/>
      <c r="CV563" s="848"/>
      <c r="CW563" s="848">
        <f t="shared" si="492"/>
        <v>100</v>
      </c>
    </row>
    <row r="564" spans="1:101" ht="40.9" customHeight="1">
      <c r="A564" s="845"/>
      <c r="B564" s="846" t="s">
        <v>1239</v>
      </c>
      <c r="C564" s="852" t="s">
        <v>1240</v>
      </c>
      <c r="D564" s="846"/>
      <c r="E564" s="845"/>
      <c r="F564" s="853" t="s">
        <v>1241</v>
      </c>
      <c r="G564" s="846" t="s">
        <v>1242</v>
      </c>
      <c r="H564" s="850">
        <f t="shared" si="503"/>
        <v>34168</v>
      </c>
      <c r="I564" s="876"/>
      <c r="J564" s="848"/>
      <c r="K564" s="848"/>
      <c r="L564" s="855"/>
      <c r="M564" s="855"/>
      <c r="N564" s="855"/>
      <c r="O564" s="855"/>
      <c r="P564" s="855"/>
      <c r="Q564" s="855"/>
      <c r="R564" s="855">
        <v>19471</v>
      </c>
      <c r="S564" s="855">
        <v>14697</v>
      </c>
      <c r="T564" s="855">
        <f>SUM(U564:AH564)</f>
        <v>27971.249500000002</v>
      </c>
      <c r="U564" s="848"/>
      <c r="V564" s="848"/>
      <c r="W564" s="855">
        <v>22841.249500000002</v>
      </c>
      <c r="X564" s="848"/>
      <c r="Y564" s="848"/>
      <c r="Z564" s="855">
        <v>5000</v>
      </c>
      <c r="AA564" s="848"/>
      <c r="AB564" s="848"/>
      <c r="AC564" s="848"/>
      <c r="AD564" s="848"/>
      <c r="AE564" s="848"/>
      <c r="AF564" s="848"/>
      <c r="AG564" s="848"/>
      <c r="AH564" s="855">
        <v>130</v>
      </c>
      <c r="AI564" s="855">
        <f>SUM(AJ564:AX564)</f>
        <v>20088</v>
      </c>
      <c r="AJ564" s="855"/>
      <c r="AK564" s="855"/>
      <c r="AL564" s="855">
        <f>5500+5800+3451</f>
        <v>14751</v>
      </c>
      <c r="AM564" s="855"/>
      <c r="AN564" s="855"/>
      <c r="AO564" s="855">
        <v>5000</v>
      </c>
      <c r="AP564" s="855"/>
      <c r="AQ564" s="855"/>
      <c r="AR564" s="855"/>
      <c r="AS564" s="855"/>
      <c r="AT564" s="855"/>
      <c r="AU564" s="855"/>
      <c r="AV564" s="855"/>
      <c r="AW564" s="855"/>
      <c r="AX564" s="855">
        <v>337</v>
      </c>
      <c r="AY564" s="855">
        <f t="shared" ref="AY564:AY567" si="542">SUM(AZ564:BN564)</f>
        <v>3000</v>
      </c>
      <c r="AZ564" s="855"/>
      <c r="BA564" s="855"/>
      <c r="BB564" s="855"/>
      <c r="BC564" s="855"/>
      <c r="BD564" s="855"/>
      <c r="BE564" s="855"/>
      <c r="BF564" s="855"/>
      <c r="BG564" s="855"/>
      <c r="BH564" s="855"/>
      <c r="BI564" s="855"/>
      <c r="BJ564" s="855"/>
      <c r="BK564" s="855"/>
      <c r="BL564" s="855"/>
      <c r="BM564" s="855"/>
      <c r="BN564" s="855">
        <f>'[10]bieu cu'!H101</f>
        <v>3000</v>
      </c>
      <c r="BO564" s="848">
        <f t="shared" si="490"/>
        <v>3000</v>
      </c>
      <c r="BP564" s="855"/>
      <c r="BQ564" s="855"/>
      <c r="BR564" s="855"/>
      <c r="BS564" s="855"/>
      <c r="BT564" s="855"/>
      <c r="BU564" s="855"/>
      <c r="BV564" s="855"/>
      <c r="BW564" s="855"/>
      <c r="BX564" s="855"/>
      <c r="BY564" s="855"/>
      <c r="BZ564" s="855"/>
      <c r="CA564" s="855"/>
      <c r="CB564" s="855"/>
      <c r="CC564" s="855"/>
      <c r="CD564" s="855"/>
      <c r="CE564" s="855">
        <f>'[10]bieu cu'!H101</f>
        <v>3000</v>
      </c>
      <c r="CF564" s="848">
        <f>BO564/AY564%</f>
        <v>100</v>
      </c>
      <c r="CG564" s="848"/>
      <c r="CH564" s="848"/>
      <c r="CI564" s="848"/>
      <c r="CJ564" s="848"/>
      <c r="CK564" s="848"/>
      <c r="CL564" s="848"/>
      <c r="CM564" s="848"/>
      <c r="CN564" s="848"/>
      <c r="CO564" s="848"/>
      <c r="CP564" s="848"/>
      <c r="CQ564" s="848"/>
      <c r="CR564" s="848"/>
      <c r="CS564" s="848"/>
      <c r="CT564" s="848"/>
      <c r="CU564" s="848"/>
      <c r="CV564" s="848"/>
      <c r="CW564" s="848">
        <f t="shared" si="492"/>
        <v>100</v>
      </c>
    </row>
    <row r="565" spans="1:101" ht="40.9" customHeight="1">
      <c r="A565" s="845"/>
      <c r="B565" s="846" t="s">
        <v>1239</v>
      </c>
      <c r="C565" s="852" t="s">
        <v>1243</v>
      </c>
      <c r="D565" s="846"/>
      <c r="E565" s="845"/>
      <c r="F565" s="853">
        <v>2013</v>
      </c>
      <c r="G565" s="846" t="s">
        <v>1244</v>
      </c>
      <c r="H565" s="850">
        <f t="shared" si="503"/>
        <v>5206</v>
      </c>
      <c r="I565" s="860"/>
      <c r="J565" s="848"/>
      <c r="K565" s="848"/>
      <c r="L565" s="855">
        <v>5206</v>
      </c>
      <c r="M565" s="855"/>
      <c r="N565" s="855"/>
      <c r="O565" s="855"/>
      <c r="P565" s="855"/>
      <c r="Q565" s="855"/>
      <c r="R565" s="855"/>
      <c r="S565" s="855"/>
      <c r="T565" s="855">
        <f t="shared" si="501"/>
        <v>2704.7990199999999</v>
      </c>
      <c r="U565" s="848"/>
      <c r="V565" s="848"/>
      <c r="W565" s="848"/>
      <c r="X565" s="848"/>
      <c r="Y565" s="855">
        <v>2704.7990199999999</v>
      </c>
      <c r="Z565" s="848"/>
      <c r="AA565" s="848"/>
      <c r="AB565" s="848"/>
      <c r="AC565" s="848"/>
      <c r="AD565" s="848"/>
      <c r="AE565" s="848"/>
      <c r="AF565" s="848"/>
      <c r="AG565" s="848"/>
      <c r="AH565" s="855"/>
      <c r="AI565" s="855">
        <f>AO565</f>
        <v>3500</v>
      </c>
      <c r="AJ565" s="855"/>
      <c r="AK565" s="855"/>
      <c r="AL565" s="855"/>
      <c r="AM565" s="855"/>
      <c r="AN565" s="855"/>
      <c r="AO565" s="855">
        <v>3500</v>
      </c>
      <c r="AP565" s="855"/>
      <c r="AQ565" s="855"/>
      <c r="AR565" s="855"/>
      <c r="AS565" s="855"/>
      <c r="AT565" s="855"/>
      <c r="AU565" s="855"/>
      <c r="AV565" s="855"/>
      <c r="AW565" s="855"/>
      <c r="AX565" s="855"/>
      <c r="AY565" s="855">
        <f t="shared" si="542"/>
        <v>0</v>
      </c>
      <c r="AZ565" s="855"/>
      <c r="BA565" s="855"/>
      <c r="BB565" s="855"/>
      <c r="BC565" s="855"/>
      <c r="BD565" s="855"/>
      <c r="BE565" s="855"/>
      <c r="BF565" s="855"/>
      <c r="BG565" s="855"/>
      <c r="BH565" s="855"/>
      <c r="BI565" s="855"/>
      <c r="BJ565" s="855"/>
      <c r="BK565" s="855"/>
      <c r="BL565" s="855"/>
      <c r="BM565" s="855"/>
      <c r="BN565" s="855"/>
      <c r="BO565" s="848">
        <f t="shared" si="490"/>
        <v>1180.6386480000001</v>
      </c>
      <c r="BP565" s="855"/>
      <c r="BQ565" s="855"/>
      <c r="BR565" s="855">
        <v>1180.6386480000001</v>
      </c>
      <c r="BS565" s="855"/>
      <c r="BT565" s="855"/>
      <c r="BU565" s="855"/>
      <c r="BV565" s="855"/>
      <c r="BW565" s="855"/>
      <c r="BX565" s="855"/>
      <c r="BY565" s="855"/>
      <c r="BZ565" s="855"/>
      <c r="CA565" s="855"/>
      <c r="CB565" s="855"/>
      <c r="CC565" s="855"/>
      <c r="CD565" s="855"/>
      <c r="CE565" s="855"/>
      <c r="CF565" s="848"/>
      <c r="CG565" s="848"/>
      <c r="CH565" s="848"/>
      <c r="CI565" s="848"/>
      <c r="CJ565" s="848"/>
      <c r="CK565" s="848"/>
      <c r="CL565" s="848"/>
      <c r="CM565" s="848"/>
      <c r="CN565" s="848"/>
      <c r="CO565" s="848"/>
      <c r="CP565" s="848"/>
      <c r="CQ565" s="848"/>
      <c r="CR565" s="848"/>
      <c r="CS565" s="848"/>
      <c r="CT565" s="848"/>
      <c r="CU565" s="848"/>
      <c r="CV565" s="848"/>
      <c r="CW565" s="848"/>
    </row>
    <row r="566" spans="1:101" ht="40.9" customHeight="1">
      <c r="A566" s="845"/>
      <c r="B566" s="846" t="s">
        <v>1239</v>
      </c>
      <c r="C566" s="852" t="s">
        <v>1245</v>
      </c>
      <c r="D566" s="846"/>
      <c r="E566" s="845"/>
      <c r="F566" s="853" t="s">
        <v>1246</v>
      </c>
      <c r="G566" s="846" t="s">
        <v>1247</v>
      </c>
      <c r="H566" s="850">
        <f t="shared" si="503"/>
        <v>33023</v>
      </c>
      <c r="I566" s="860"/>
      <c r="J566" s="855">
        <v>33023</v>
      </c>
      <c r="K566" s="848"/>
      <c r="L566" s="848"/>
      <c r="M566" s="848"/>
      <c r="N566" s="848"/>
      <c r="O566" s="848"/>
      <c r="P566" s="848"/>
      <c r="Q566" s="848"/>
      <c r="R566" s="848"/>
      <c r="S566" s="848"/>
      <c r="T566" s="855">
        <f>SUM(U566:AH566)</f>
        <v>25003.036</v>
      </c>
      <c r="U566" s="848"/>
      <c r="V566" s="848"/>
      <c r="W566" s="855">
        <v>25003.036</v>
      </c>
      <c r="X566" s="848"/>
      <c r="Y566" s="848"/>
      <c r="Z566" s="848"/>
      <c r="AA566" s="848"/>
      <c r="AB566" s="848"/>
      <c r="AC566" s="848"/>
      <c r="AD566" s="848"/>
      <c r="AE566" s="848"/>
      <c r="AF566" s="848"/>
      <c r="AG566" s="855"/>
      <c r="AH566" s="855"/>
      <c r="AI566" s="855">
        <f>SUM(AJ566:AX566)</f>
        <v>33763</v>
      </c>
      <c r="AJ566" s="855"/>
      <c r="AK566" s="855"/>
      <c r="AL566" s="855">
        <f>25238+438</f>
        <v>25676</v>
      </c>
      <c r="AM566" s="855"/>
      <c r="AN566" s="855"/>
      <c r="AO566" s="855"/>
      <c r="AP566" s="855"/>
      <c r="AQ566" s="855"/>
      <c r="AR566" s="855"/>
      <c r="AS566" s="855"/>
      <c r="AT566" s="855"/>
      <c r="AU566" s="855"/>
      <c r="AV566" s="855"/>
      <c r="AW566" s="855">
        <v>6540</v>
      </c>
      <c r="AX566" s="855">
        <v>1547</v>
      </c>
      <c r="AY566" s="855">
        <f t="shared" si="542"/>
        <v>0</v>
      </c>
      <c r="AZ566" s="855"/>
      <c r="BA566" s="855"/>
      <c r="BB566" s="855"/>
      <c r="BC566" s="855"/>
      <c r="BD566" s="855"/>
      <c r="BE566" s="855"/>
      <c r="BF566" s="855"/>
      <c r="BG566" s="855"/>
      <c r="BH566" s="855"/>
      <c r="BI566" s="855"/>
      <c r="BJ566" s="855"/>
      <c r="BK566" s="855"/>
      <c r="BL566" s="855"/>
      <c r="BM566" s="855"/>
      <c r="BN566" s="855"/>
      <c r="BO566" s="848">
        <f t="shared" si="490"/>
        <v>20008.2</v>
      </c>
      <c r="BP566" s="855"/>
      <c r="BQ566" s="855"/>
      <c r="BR566" s="855"/>
      <c r="BS566" s="855">
        <v>20008.2</v>
      </c>
      <c r="BT566" s="855"/>
      <c r="BU566" s="855"/>
      <c r="BV566" s="855"/>
      <c r="BW566" s="855"/>
      <c r="BX566" s="855"/>
      <c r="BY566" s="855"/>
      <c r="BZ566" s="855"/>
      <c r="CA566" s="855"/>
      <c r="CB566" s="855"/>
      <c r="CC566" s="855"/>
      <c r="CD566" s="855"/>
      <c r="CE566" s="855"/>
      <c r="CF566" s="848"/>
      <c r="CG566" s="848"/>
      <c r="CH566" s="848"/>
      <c r="CI566" s="848"/>
      <c r="CJ566" s="848"/>
      <c r="CK566" s="848"/>
      <c r="CL566" s="848"/>
      <c r="CM566" s="848"/>
      <c r="CN566" s="848"/>
      <c r="CO566" s="848"/>
      <c r="CP566" s="848"/>
      <c r="CQ566" s="848"/>
      <c r="CR566" s="848"/>
      <c r="CS566" s="848"/>
      <c r="CT566" s="848"/>
      <c r="CU566" s="848"/>
      <c r="CV566" s="848"/>
      <c r="CW566" s="848"/>
    </row>
    <row r="567" spans="1:101" ht="40.9" customHeight="1">
      <c r="A567" s="845"/>
      <c r="B567" s="846" t="s">
        <v>1239</v>
      </c>
      <c r="C567" s="852" t="s">
        <v>1248</v>
      </c>
      <c r="D567" s="846"/>
      <c r="E567" s="845"/>
      <c r="F567" s="853">
        <v>2009</v>
      </c>
      <c r="G567" s="846" t="s">
        <v>1234</v>
      </c>
      <c r="H567" s="850">
        <f t="shared" si="503"/>
        <v>982870</v>
      </c>
      <c r="I567" s="850"/>
      <c r="J567" s="848"/>
      <c r="K567" s="848"/>
      <c r="L567" s="855">
        <v>982870</v>
      </c>
      <c r="M567" s="890"/>
      <c r="N567" s="848"/>
      <c r="O567" s="848"/>
      <c r="P567" s="848"/>
      <c r="Q567" s="848"/>
      <c r="R567" s="848"/>
      <c r="S567" s="848"/>
      <c r="T567" s="855">
        <f t="shared" si="501"/>
        <v>831844.57746299997</v>
      </c>
      <c r="U567" s="855">
        <v>787678.168221</v>
      </c>
      <c r="V567" s="848"/>
      <c r="W567" s="848"/>
      <c r="X567" s="848"/>
      <c r="Y567" s="855"/>
      <c r="Z567" s="848"/>
      <c r="AA567" s="848"/>
      <c r="AB567" s="848"/>
      <c r="AC567" s="855">
        <v>44166.409242000002</v>
      </c>
      <c r="AD567" s="848"/>
      <c r="AE567" s="848"/>
      <c r="AF567" s="848"/>
      <c r="AG567" s="848"/>
      <c r="AH567" s="855"/>
      <c r="AI567" s="855">
        <f>AJ567</f>
        <v>757546</v>
      </c>
      <c r="AJ567" s="855">
        <v>757546</v>
      </c>
      <c r="AK567" s="855"/>
      <c r="AL567" s="855"/>
      <c r="AM567" s="855"/>
      <c r="AN567" s="855"/>
      <c r="AO567" s="855"/>
      <c r="AP567" s="855"/>
      <c r="AQ567" s="855"/>
      <c r="AR567" s="855"/>
      <c r="AS567" s="855"/>
      <c r="AT567" s="855"/>
      <c r="AU567" s="855"/>
      <c r="AV567" s="855"/>
      <c r="AW567" s="855"/>
      <c r="AX567" s="855"/>
      <c r="AY567" s="855">
        <f t="shared" si="542"/>
        <v>0</v>
      </c>
      <c r="AZ567" s="855"/>
      <c r="BA567" s="855"/>
      <c r="BB567" s="855"/>
      <c r="BC567" s="855"/>
      <c r="BD567" s="855"/>
      <c r="BE567" s="855"/>
      <c r="BF567" s="855"/>
      <c r="BG567" s="855"/>
      <c r="BH567" s="855"/>
      <c r="BI567" s="855"/>
      <c r="BJ567" s="855"/>
      <c r="BK567" s="855"/>
      <c r="BL567" s="855"/>
      <c r="BM567" s="855"/>
      <c r="BN567" s="855"/>
      <c r="BO567" s="848">
        <f t="shared" si="490"/>
        <v>3840.8784970000002</v>
      </c>
      <c r="BP567" s="855">
        <v>3840.8784970000002</v>
      </c>
      <c r="BQ567" s="855"/>
      <c r="BR567" s="855"/>
      <c r="BS567" s="855"/>
      <c r="BT567" s="855"/>
      <c r="BU567" s="855"/>
      <c r="BV567" s="855"/>
      <c r="BW567" s="855"/>
      <c r="BX567" s="855"/>
      <c r="BY567" s="855"/>
      <c r="BZ567" s="855"/>
      <c r="CA567" s="855"/>
      <c r="CB567" s="855"/>
      <c r="CC567" s="855"/>
      <c r="CD567" s="855"/>
      <c r="CE567" s="855"/>
      <c r="CF567" s="848"/>
      <c r="CG567" s="848"/>
      <c r="CH567" s="848"/>
      <c r="CI567" s="848"/>
      <c r="CJ567" s="848"/>
      <c r="CK567" s="848"/>
      <c r="CL567" s="848"/>
      <c r="CM567" s="848"/>
      <c r="CN567" s="848"/>
      <c r="CO567" s="848"/>
      <c r="CP567" s="848"/>
      <c r="CQ567" s="848"/>
      <c r="CR567" s="848"/>
      <c r="CS567" s="848"/>
      <c r="CT567" s="848"/>
      <c r="CU567" s="848"/>
      <c r="CV567" s="848"/>
      <c r="CW567" s="848"/>
    </row>
    <row r="568" spans="1:101" ht="24.75" customHeight="1">
      <c r="A568" s="845" t="s">
        <v>23</v>
      </c>
      <c r="B568" s="845"/>
      <c r="C568" s="845" t="s">
        <v>1249</v>
      </c>
      <c r="D568" s="846">
        <f>D569</f>
        <v>0</v>
      </c>
      <c r="E568" s="845">
        <f t="shared" ref="E568:CE569" si="543">E569</f>
        <v>0</v>
      </c>
      <c r="F568" s="847"/>
      <c r="G568" s="845"/>
      <c r="H568" s="848">
        <f t="shared" si="543"/>
        <v>351978</v>
      </c>
      <c r="I568" s="848">
        <f t="shared" si="543"/>
        <v>0</v>
      </c>
      <c r="J568" s="848">
        <f t="shared" si="543"/>
        <v>0</v>
      </c>
      <c r="K568" s="848">
        <f t="shared" si="543"/>
        <v>0</v>
      </c>
      <c r="L568" s="848">
        <f t="shared" si="543"/>
        <v>0</v>
      </c>
      <c r="M568" s="848">
        <f t="shared" si="543"/>
        <v>0</v>
      </c>
      <c r="N568" s="848">
        <f t="shared" si="543"/>
        <v>102300</v>
      </c>
      <c r="O568" s="848">
        <f t="shared" si="543"/>
        <v>0</v>
      </c>
      <c r="P568" s="848">
        <f t="shared" si="543"/>
        <v>0</v>
      </c>
      <c r="Q568" s="848">
        <f t="shared" si="543"/>
        <v>0</v>
      </c>
      <c r="R568" s="848">
        <v>249678</v>
      </c>
      <c r="S568" s="848">
        <f t="shared" si="543"/>
        <v>0</v>
      </c>
      <c r="T568" s="848">
        <f t="shared" si="543"/>
        <v>96338</v>
      </c>
      <c r="U568" s="848">
        <f t="shared" si="543"/>
        <v>0</v>
      </c>
      <c r="V568" s="848">
        <f t="shared" si="543"/>
        <v>0</v>
      </c>
      <c r="W568" s="848">
        <f t="shared" si="543"/>
        <v>0</v>
      </c>
      <c r="X568" s="848">
        <f t="shared" si="543"/>
        <v>0</v>
      </c>
      <c r="Y568" s="848">
        <f t="shared" si="543"/>
        <v>0</v>
      </c>
      <c r="Z568" s="848">
        <f t="shared" si="543"/>
        <v>0</v>
      </c>
      <c r="AA568" s="848">
        <f t="shared" si="543"/>
        <v>0</v>
      </c>
      <c r="AB568" s="848">
        <f t="shared" si="543"/>
        <v>0</v>
      </c>
      <c r="AC568" s="848">
        <f t="shared" si="543"/>
        <v>96338</v>
      </c>
      <c r="AD568" s="848">
        <f t="shared" si="543"/>
        <v>0</v>
      </c>
      <c r="AE568" s="848"/>
      <c r="AF568" s="848">
        <f t="shared" si="543"/>
        <v>0</v>
      </c>
      <c r="AG568" s="848">
        <f t="shared" si="543"/>
        <v>0</v>
      </c>
      <c r="AH568" s="848">
        <f t="shared" si="543"/>
        <v>0</v>
      </c>
      <c r="AI568" s="848">
        <f t="shared" si="543"/>
        <v>102300</v>
      </c>
      <c r="AJ568" s="848">
        <f t="shared" si="543"/>
        <v>0</v>
      </c>
      <c r="AK568" s="848">
        <f t="shared" si="543"/>
        <v>0</v>
      </c>
      <c r="AL568" s="848">
        <f t="shared" si="543"/>
        <v>0</v>
      </c>
      <c r="AM568" s="848">
        <f t="shared" si="543"/>
        <v>0</v>
      </c>
      <c r="AN568" s="848">
        <f t="shared" si="543"/>
        <v>0</v>
      </c>
      <c r="AO568" s="848">
        <f t="shared" si="543"/>
        <v>0</v>
      </c>
      <c r="AP568" s="848">
        <f t="shared" si="543"/>
        <v>0</v>
      </c>
      <c r="AQ568" s="848">
        <f t="shared" si="543"/>
        <v>0</v>
      </c>
      <c r="AR568" s="848">
        <f t="shared" si="543"/>
        <v>102300</v>
      </c>
      <c r="AS568" s="848"/>
      <c r="AT568" s="848">
        <f t="shared" si="543"/>
        <v>0</v>
      </c>
      <c r="AU568" s="848">
        <f t="shared" si="543"/>
        <v>0</v>
      </c>
      <c r="AV568" s="848">
        <f t="shared" si="543"/>
        <v>0</v>
      </c>
      <c r="AW568" s="848">
        <f t="shared" si="543"/>
        <v>0</v>
      </c>
      <c r="AX568" s="848">
        <f t="shared" si="543"/>
        <v>0</v>
      </c>
      <c r="AY568" s="848">
        <f t="shared" si="543"/>
        <v>14000</v>
      </c>
      <c r="AZ568" s="848">
        <f t="shared" si="543"/>
        <v>0</v>
      </c>
      <c r="BA568" s="848"/>
      <c r="BB568" s="848"/>
      <c r="BC568" s="848">
        <f t="shared" si="543"/>
        <v>13000</v>
      </c>
      <c r="BD568" s="848">
        <f t="shared" si="543"/>
        <v>0</v>
      </c>
      <c r="BE568" s="848"/>
      <c r="BF568" s="848">
        <f t="shared" si="543"/>
        <v>0</v>
      </c>
      <c r="BG568" s="848">
        <f t="shared" si="543"/>
        <v>0</v>
      </c>
      <c r="BH568" s="848">
        <f t="shared" si="543"/>
        <v>0</v>
      </c>
      <c r="BI568" s="848">
        <f t="shared" si="543"/>
        <v>0</v>
      </c>
      <c r="BJ568" s="848">
        <f t="shared" si="543"/>
        <v>0</v>
      </c>
      <c r="BK568" s="848">
        <f t="shared" si="543"/>
        <v>1000</v>
      </c>
      <c r="BL568" s="848">
        <f t="shared" si="543"/>
        <v>0</v>
      </c>
      <c r="BM568" s="848">
        <f t="shared" si="543"/>
        <v>0</v>
      </c>
      <c r="BN568" s="848">
        <f t="shared" si="543"/>
        <v>0</v>
      </c>
      <c r="BO568" s="848">
        <f t="shared" si="490"/>
        <v>14718.557452000001</v>
      </c>
      <c r="BP568" s="848">
        <f t="shared" si="543"/>
        <v>718.55745200000001</v>
      </c>
      <c r="BQ568" s="848">
        <f t="shared" si="543"/>
        <v>0</v>
      </c>
      <c r="BR568" s="848">
        <f t="shared" si="543"/>
        <v>0</v>
      </c>
      <c r="BS568" s="848">
        <f t="shared" si="543"/>
        <v>13000</v>
      </c>
      <c r="BT568" s="848">
        <f t="shared" si="543"/>
        <v>0</v>
      </c>
      <c r="BU568" s="848">
        <f t="shared" si="543"/>
        <v>0</v>
      </c>
      <c r="BV568" s="848">
        <f t="shared" si="543"/>
        <v>0</v>
      </c>
      <c r="BW568" s="848">
        <f t="shared" si="543"/>
        <v>0</v>
      </c>
      <c r="BX568" s="848">
        <f t="shared" si="543"/>
        <v>0</v>
      </c>
      <c r="BY568" s="848">
        <f t="shared" si="543"/>
        <v>0</v>
      </c>
      <c r="BZ568" s="848">
        <f t="shared" si="543"/>
        <v>0</v>
      </c>
      <c r="CA568" s="848">
        <f t="shared" si="543"/>
        <v>1000</v>
      </c>
      <c r="CB568" s="848">
        <f t="shared" si="543"/>
        <v>0</v>
      </c>
      <c r="CC568" s="848">
        <f t="shared" si="543"/>
        <v>0</v>
      </c>
      <c r="CD568" s="848">
        <f t="shared" si="543"/>
        <v>0</v>
      </c>
      <c r="CE568" s="848">
        <f t="shared" si="543"/>
        <v>0</v>
      </c>
      <c r="CF568" s="848">
        <f>BO568/AY568%</f>
        <v>105.13255322857144</v>
      </c>
      <c r="CG568" s="848"/>
      <c r="CH568" s="848"/>
      <c r="CI568" s="848"/>
      <c r="CJ568" s="848">
        <f t="shared" si="493"/>
        <v>100</v>
      </c>
      <c r="CK568" s="848"/>
      <c r="CL568" s="848"/>
      <c r="CM568" s="848"/>
      <c r="CN568" s="848"/>
      <c r="CO568" s="848"/>
      <c r="CP568" s="848"/>
      <c r="CQ568" s="848"/>
      <c r="CR568" s="848">
        <f t="shared" si="517"/>
        <v>100</v>
      </c>
      <c r="CS568" s="848"/>
      <c r="CT568" s="848"/>
      <c r="CU568" s="848"/>
      <c r="CV568" s="848"/>
      <c r="CW568" s="848"/>
    </row>
    <row r="569" spans="1:101" ht="24.75" customHeight="1">
      <c r="A569" s="845"/>
      <c r="B569" s="845"/>
      <c r="C569" s="845" t="s">
        <v>598</v>
      </c>
      <c r="D569" s="846">
        <f>D570</f>
        <v>0</v>
      </c>
      <c r="E569" s="845">
        <f t="shared" si="543"/>
        <v>0</v>
      </c>
      <c r="F569" s="847"/>
      <c r="G569" s="845"/>
      <c r="H569" s="850">
        <f t="shared" si="503"/>
        <v>351978</v>
      </c>
      <c r="I569" s="848">
        <f t="shared" si="543"/>
        <v>0</v>
      </c>
      <c r="J569" s="848">
        <f t="shared" si="543"/>
        <v>0</v>
      </c>
      <c r="K569" s="848">
        <f t="shared" si="543"/>
        <v>0</v>
      </c>
      <c r="L569" s="848">
        <f t="shared" si="543"/>
        <v>0</v>
      </c>
      <c r="M569" s="848">
        <f t="shared" si="543"/>
        <v>0</v>
      </c>
      <c r="N569" s="848">
        <f t="shared" si="543"/>
        <v>102300</v>
      </c>
      <c r="O569" s="848">
        <f t="shared" si="543"/>
        <v>0</v>
      </c>
      <c r="P569" s="848">
        <f t="shared" si="543"/>
        <v>0</v>
      </c>
      <c r="Q569" s="848">
        <f t="shared" si="543"/>
        <v>0</v>
      </c>
      <c r="R569" s="848">
        <v>249678</v>
      </c>
      <c r="S569" s="848">
        <f t="shared" si="543"/>
        <v>0</v>
      </c>
      <c r="T569" s="848">
        <f t="shared" si="543"/>
        <v>96338</v>
      </c>
      <c r="U569" s="848">
        <f t="shared" si="543"/>
        <v>0</v>
      </c>
      <c r="V569" s="848">
        <f t="shared" si="543"/>
        <v>0</v>
      </c>
      <c r="W569" s="848">
        <f t="shared" si="543"/>
        <v>0</v>
      </c>
      <c r="X569" s="848">
        <f t="shared" si="543"/>
        <v>0</v>
      </c>
      <c r="Y569" s="848">
        <f t="shared" si="543"/>
        <v>0</v>
      </c>
      <c r="Z569" s="848">
        <f t="shared" si="543"/>
        <v>0</v>
      </c>
      <c r="AA569" s="848">
        <f t="shared" si="543"/>
        <v>0</v>
      </c>
      <c r="AB569" s="848">
        <f t="shared" si="543"/>
        <v>0</v>
      </c>
      <c r="AC569" s="848">
        <f t="shared" si="543"/>
        <v>96338</v>
      </c>
      <c r="AD569" s="848">
        <f t="shared" si="543"/>
        <v>0</v>
      </c>
      <c r="AE569" s="848"/>
      <c r="AF569" s="848">
        <f t="shared" si="543"/>
        <v>0</v>
      </c>
      <c r="AG569" s="848">
        <f t="shared" si="543"/>
        <v>0</v>
      </c>
      <c r="AH569" s="848">
        <f t="shared" si="543"/>
        <v>0</v>
      </c>
      <c r="AI569" s="848">
        <f t="shared" si="543"/>
        <v>102300</v>
      </c>
      <c r="AJ569" s="848">
        <f t="shared" si="543"/>
        <v>0</v>
      </c>
      <c r="AK569" s="848">
        <f t="shared" si="543"/>
        <v>0</v>
      </c>
      <c r="AL569" s="848">
        <f t="shared" si="543"/>
        <v>0</v>
      </c>
      <c r="AM569" s="848">
        <f t="shared" si="543"/>
        <v>0</v>
      </c>
      <c r="AN569" s="848">
        <f t="shared" si="543"/>
        <v>0</v>
      </c>
      <c r="AO569" s="848">
        <f t="shared" si="543"/>
        <v>0</v>
      </c>
      <c r="AP569" s="848">
        <f t="shared" si="543"/>
        <v>0</v>
      </c>
      <c r="AQ569" s="848">
        <f t="shared" si="543"/>
        <v>0</v>
      </c>
      <c r="AR569" s="848">
        <f t="shared" si="543"/>
        <v>102300</v>
      </c>
      <c r="AS569" s="848"/>
      <c r="AT569" s="848">
        <f t="shared" si="543"/>
        <v>0</v>
      </c>
      <c r="AU569" s="848">
        <f t="shared" si="543"/>
        <v>0</v>
      </c>
      <c r="AV569" s="848">
        <f t="shared" si="543"/>
        <v>0</v>
      </c>
      <c r="AW569" s="848">
        <f t="shared" si="543"/>
        <v>0</v>
      </c>
      <c r="AX569" s="848">
        <f t="shared" si="543"/>
        <v>0</v>
      </c>
      <c r="AY569" s="848">
        <f t="shared" si="543"/>
        <v>14000</v>
      </c>
      <c r="AZ569" s="848">
        <f t="shared" si="543"/>
        <v>0</v>
      </c>
      <c r="BA569" s="848">
        <f t="shared" si="543"/>
        <v>0</v>
      </c>
      <c r="BB569" s="848">
        <f t="shared" si="543"/>
        <v>0</v>
      </c>
      <c r="BC569" s="848">
        <f t="shared" si="543"/>
        <v>13000</v>
      </c>
      <c r="BD569" s="848">
        <f t="shared" si="543"/>
        <v>0</v>
      </c>
      <c r="BE569" s="848">
        <f t="shared" si="543"/>
        <v>0</v>
      </c>
      <c r="BF569" s="848">
        <f t="shared" si="543"/>
        <v>0</v>
      </c>
      <c r="BG569" s="848">
        <f t="shared" si="543"/>
        <v>0</v>
      </c>
      <c r="BH569" s="848">
        <f t="shared" si="543"/>
        <v>0</v>
      </c>
      <c r="BI569" s="848">
        <f t="shared" si="543"/>
        <v>0</v>
      </c>
      <c r="BJ569" s="848">
        <f t="shared" si="543"/>
        <v>0</v>
      </c>
      <c r="BK569" s="848">
        <f t="shared" si="543"/>
        <v>1000</v>
      </c>
      <c r="BL569" s="848">
        <f t="shared" si="543"/>
        <v>0</v>
      </c>
      <c r="BM569" s="848">
        <f t="shared" si="543"/>
        <v>0</v>
      </c>
      <c r="BN569" s="848">
        <f t="shared" si="543"/>
        <v>0</v>
      </c>
      <c r="BO569" s="848">
        <f t="shared" si="490"/>
        <v>14718.557452000001</v>
      </c>
      <c r="BP569" s="848">
        <f t="shared" si="543"/>
        <v>718.55745200000001</v>
      </c>
      <c r="BQ569" s="848">
        <f t="shared" si="543"/>
        <v>0</v>
      </c>
      <c r="BR569" s="848">
        <f t="shared" si="543"/>
        <v>0</v>
      </c>
      <c r="BS569" s="848">
        <f t="shared" si="543"/>
        <v>13000</v>
      </c>
      <c r="BT569" s="848">
        <f t="shared" si="543"/>
        <v>0</v>
      </c>
      <c r="BU569" s="848">
        <f t="shared" si="543"/>
        <v>0</v>
      </c>
      <c r="BV569" s="848">
        <f t="shared" si="543"/>
        <v>0</v>
      </c>
      <c r="BW569" s="848">
        <f t="shared" si="543"/>
        <v>0</v>
      </c>
      <c r="BX569" s="848">
        <f t="shared" si="543"/>
        <v>0</v>
      </c>
      <c r="BY569" s="848">
        <f t="shared" si="543"/>
        <v>0</v>
      </c>
      <c r="BZ569" s="848">
        <f t="shared" si="543"/>
        <v>0</v>
      </c>
      <c r="CA569" s="848">
        <f t="shared" si="543"/>
        <v>1000</v>
      </c>
      <c r="CB569" s="848">
        <f t="shared" si="543"/>
        <v>0</v>
      </c>
      <c r="CC569" s="848">
        <f t="shared" si="543"/>
        <v>0</v>
      </c>
      <c r="CD569" s="848">
        <f t="shared" si="543"/>
        <v>0</v>
      </c>
      <c r="CE569" s="848">
        <f t="shared" si="543"/>
        <v>0</v>
      </c>
      <c r="CF569" s="848">
        <f t="shared" ref="CF569:CS569" si="544">CF570</f>
        <v>105.13255322857144</v>
      </c>
      <c r="CG569" s="848"/>
      <c r="CH569" s="848"/>
      <c r="CI569" s="848"/>
      <c r="CJ569" s="848">
        <f t="shared" si="493"/>
        <v>100</v>
      </c>
      <c r="CK569" s="848"/>
      <c r="CL569" s="848"/>
      <c r="CM569" s="848"/>
      <c r="CN569" s="848"/>
      <c r="CO569" s="848"/>
      <c r="CP569" s="848"/>
      <c r="CQ569" s="848"/>
      <c r="CR569" s="848">
        <f t="shared" si="517"/>
        <v>100</v>
      </c>
      <c r="CS569" s="848">
        <f t="shared" si="544"/>
        <v>0</v>
      </c>
      <c r="CT569" s="848"/>
      <c r="CU569" s="848"/>
      <c r="CV569" s="848"/>
      <c r="CW569" s="848"/>
    </row>
    <row r="570" spans="1:101" ht="33" customHeight="1">
      <c r="A570" s="845"/>
      <c r="B570" s="846" t="s">
        <v>1249</v>
      </c>
      <c r="C570" s="852" t="s">
        <v>1250</v>
      </c>
      <c r="D570" s="846"/>
      <c r="E570" s="845"/>
      <c r="F570" s="853" t="s">
        <v>1251</v>
      </c>
      <c r="G570" s="846" t="s">
        <v>1252</v>
      </c>
      <c r="H570" s="850">
        <f t="shared" si="503"/>
        <v>351978</v>
      </c>
      <c r="I570" s="855"/>
      <c r="J570" s="855"/>
      <c r="K570" s="848"/>
      <c r="L570" s="848"/>
      <c r="M570" s="848"/>
      <c r="N570" s="855">
        <v>102300</v>
      </c>
      <c r="O570" s="848"/>
      <c r="P570" s="848"/>
      <c r="Q570" s="848"/>
      <c r="R570" s="855">
        <v>249678</v>
      </c>
      <c r="S570" s="848"/>
      <c r="T570" s="855">
        <f t="shared" si="501"/>
        <v>96338</v>
      </c>
      <c r="U570" s="855"/>
      <c r="V570" s="848"/>
      <c r="W570" s="848"/>
      <c r="X570" s="848"/>
      <c r="Y570" s="848"/>
      <c r="Z570" s="848"/>
      <c r="AA570" s="848"/>
      <c r="AB570" s="848"/>
      <c r="AC570" s="855">
        <v>96338</v>
      </c>
      <c r="AD570" s="848"/>
      <c r="AE570" s="848"/>
      <c r="AF570" s="848"/>
      <c r="AG570" s="848"/>
      <c r="AH570" s="855"/>
      <c r="AI570" s="855">
        <f>AR570</f>
        <v>102300</v>
      </c>
      <c r="AJ570" s="855"/>
      <c r="AK570" s="855"/>
      <c r="AL570" s="855"/>
      <c r="AM570" s="855"/>
      <c r="AN570" s="855"/>
      <c r="AO570" s="855"/>
      <c r="AP570" s="855"/>
      <c r="AQ570" s="855"/>
      <c r="AR570" s="855">
        <v>102300</v>
      </c>
      <c r="AS570" s="855"/>
      <c r="AT570" s="855"/>
      <c r="AU570" s="855"/>
      <c r="AV570" s="855"/>
      <c r="AW570" s="855"/>
      <c r="AX570" s="855"/>
      <c r="AY570" s="855">
        <f t="shared" ref="AY570" si="545">SUM(AZ570:BN570)</f>
        <v>14000</v>
      </c>
      <c r="AZ570" s="855"/>
      <c r="BA570" s="855"/>
      <c r="BB570" s="855"/>
      <c r="BC570" s="855">
        <f>'[10]bieu cu'!H293</f>
        <v>13000</v>
      </c>
      <c r="BD570" s="855"/>
      <c r="BE570" s="855"/>
      <c r="BF570" s="855"/>
      <c r="BG570" s="855"/>
      <c r="BH570" s="855"/>
      <c r="BI570" s="855"/>
      <c r="BJ570" s="855"/>
      <c r="BK570" s="855">
        <f>'[10]bieu cu'!H133</f>
        <v>1000</v>
      </c>
      <c r="BL570" s="855"/>
      <c r="BM570" s="855"/>
      <c r="BN570" s="855"/>
      <c r="BO570" s="848">
        <f t="shared" si="490"/>
        <v>14718.557452000001</v>
      </c>
      <c r="BP570" s="855">
        <v>718.55745200000001</v>
      </c>
      <c r="BQ570" s="855"/>
      <c r="BR570" s="855"/>
      <c r="BS570" s="855">
        <f>'[10]bieu cu'!M293</f>
        <v>13000</v>
      </c>
      <c r="BT570" s="855"/>
      <c r="BU570" s="855"/>
      <c r="BV570" s="855"/>
      <c r="BW570" s="855"/>
      <c r="BX570" s="855"/>
      <c r="BY570" s="855"/>
      <c r="BZ570" s="855"/>
      <c r="CA570" s="855">
        <f>'[10]bieu cu'!M133</f>
        <v>1000</v>
      </c>
      <c r="CB570" s="855"/>
      <c r="CC570" s="855"/>
      <c r="CD570" s="855"/>
      <c r="CE570" s="855"/>
      <c r="CF570" s="848">
        <f>BO570/AY570%</f>
        <v>105.13255322857144</v>
      </c>
      <c r="CG570" s="848"/>
      <c r="CH570" s="848"/>
      <c r="CI570" s="848"/>
      <c r="CJ570" s="848">
        <f t="shared" si="493"/>
        <v>100</v>
      </c>
      <c r="CK570" s="848"/>
      <c r="CL570" s="848"/>
      <c r="CM570" s="848"/>
      <c r="CN570" s="848"/>
      <c r="CO570" s="848"/>
      <c r="CP570" s="848"/>
      <c r="CQ570" s="848"/>
      <c r="CR570" s="848">
        <f t="shared" si="517"/>
        <v>100</v>
      </c>
      <c r="CS570" s="848"/>
      <c r="CT570" s="848"/>
      <c r="CU570" s="848"/>
      <c r="CV570" s="848"/>
      <c r="CW570" s="848"/>
    </row>
    <row r="571" spans="1:101" ht="24.75" customHeight="1">
      <c r="A571" s="845" t="s">
        <v>1253</v>
      </c>
      <c r="B571" s="845"/>
      <c r="C571" s="845" t="s">
        <v>1254</v>
      </c>
      <c r="D571" s="846">
        <f>D572+D575</f>
        <v>0</v>
      </c>
      <c r="E571" s="845">
        <f t="shared" ref="E571" si="546">E572+E575</f>
        <v>0</v>
      </c>
      <c r="F571" s="847"/>
      <c r="G571" s="845"/>
      <c r="H571" s="848">
        <f t="shared" ref="H571:BS571" si="547">H572+H575</f>
        <v>425684.24</v>
      </c>
      <c r="I571" s="848">
        <f t="shared" si="547"/>
        <v>0</v>
      </c>
      <c r="J571" s="848">
        <f t="shared" si="547"/>
        <v>0</v>
      </c>
      <c r="K571" s="848">
        <f t="shared" si="547"/>
        <v>0</v>
      </c>
      <c r="L571" s="848">
        <f t="shared" si="547"/>
        <v>0</v>
      </c>
      <c r="M571" s="848">
        <f t="shared" si="547"/>
        <v>0</v>
      </c>
      <c r="N571" s="848">
        <f t="shared" si="547"/>
        <v>152106.23999999999</v>
      </c>
      <c r="O571" s="848">
        <f t="shared" si="547"/>
        <v>0</v>
      </c>
      <c r="P571" s="848">
        <f t="shared" si="547"/>
        <v>0</v>
      </c>
      <c r="Q571" s="848">
        <f t="shared" si="547"/>
        <v>5767</v>
      </c>
      <c r="R571" s="848">
        <v>267811</v>
      </c>
      <c r="S571" s="848">
        <f t="shared" si="547"/>
        <v>0</v>
      </c>
      <c r="T571" s="848">
        <f t="shared" si="547"/>
        <v>60049</v>
      </c>
      <c r="U571" s="848">
        <f t="shared" si="547"/>
        <v>0</v>
      </c>
      <c r="V571" s="848">
        <f t="shared" si="547"/>
        <v>0</v>
      </c>
      <c r="W571" s="848">
        <f t="shared" si="547"/>
        <v>8800</v>
      </c>
      <c r="X571" s="848">
        <f t="shared" si="547"/>
        <v>0</v>
      </c>
      <c r="Y571" s="848">
        <f t="shared" si="547"/>
        <v>0</v>
      </c>
      <c r="Z571" s="848">
        <f t="shared" si="547"/>
        <v>0</v>
      </c>
      <c r="AA571" s="848">
        <f t="shared" si="547"/>
        <v>0</v>
      </c>
      <c r="AB571" s="848">
        <f t="shared" si="547"/>
        <v>0</v>
      </c>
      <c r="AC571" s="848">
        <f t="shared" si="547"/>
        <v>51249</v>
      </c>
      <c r="AD571" s="848"/>
      <c r="AE571" s="848"/>
      <c r="AF571" s="848">
        <f t="shared" si="547"/>
        <v>0</v>
      </c>
      <c r="AG571" s="848">
        <f t="shared" si="547"/>
        <v>0</v>
      </c>
      <c r="AH571" s="848">
        <f t="shared" si="547"/>
        <v>0</v>
      </c>
      <c r="AI571" s="848">
        <f t="shared" si="547"/>
        <v>8800</v>
      </c>
      <c r="AJ571" s="848">
        <f t="shared" si="547"/>
        <v>0</v>
      </c>
      <c r="AK571" s="848">
        <f t="shared" si="547"/>
        <v>0</v>
      </c>
      <c r="AL571" s="848">
        <f t="shared" si="547"/>
        <v>0</v>
      </c>
      <c r="AM571" s="848">
        <f t="shared" si="547"/>
        <v>0</v>
      </c>
      <c r="AN571" s="848">
        <f t="shared" si="547"/>
        <v>0</v>
      </c>
      <c r="AO571" s="848">
        <f t="shared" si="547"/>
        <v>0</v>
      </c>
      <c r="AP571" s="848">
        <f t="shared" si="547"/>
        <v>0</v>
      </c>
      <c r="AQ571" s="848">
        <f t="shared" si="547"/>
        <v>0</v>
      </c>
      <c r="AR571" s="848">
        <f t="shared" si="547"/>
        <v>0</v>
      </c>
      <c r="AS571" s="848"/>
      <c r="AT571" s="848">
        <f t="shared" si="547"/>
        <v>0</v>
      </c>
      <c r="AU571" s="848">
        <f t="shared" si="547"/>
        <v>0</v>
      </c>
      <c r="AV571" s="848">
        <f t="shared" si="547"/>
        <v>0</v>
      </c>
      <c r="AW571" s="848">
        <f t="shared" si="547"/>
        <v>8800</v>
      </c>
      <c r="AX571" s="848">
        <f t="shared" si="547"/>
        <v>0</v>
      </c>
      <c r="AY571" s="848">
        <f t="shared" si="547"/>
        <v>68864</v>
      </c>
      <c r="AZ571" s="848">
        <f t="shared" si="547"/>
        <v>0</v>
      </c>
      <c r="BA571" s="848">
        <f t="shared" si="547"/>
        <v>0</v>
      </c>
      <c r="BB571" s="848">
        <f t="shared" si="547"/>
        <v>0</v>
      </c>
      <c r="BC571" s="848">
        <f t="shared" si="547"/>
        <v>21000</v>
      </c>
      <c r="BD571" s="848">
        <f t="shared" si="547"/>
        <v>0</v>
      </c>
      <c r="BE571" s="848">
        <f t="shared" si="547"/>
        <v>0</v>
      </c>
      <c r="BF571" s="848">
        <f t="shared" si="547"/>
        <v>41165.519999999997</v>
      </c>
      <c r="BG571" s="848">
        <f t="shared" si="547"/>
        <v>0</v>
      </c>
      <c r="BH571" s="848">
        <f t="shared" si="547"/>
        <v>0</v>
      </c>
      <c r="BI571" s="848">
        <f t="shared" si="547"/>
        <v>0</v>
      </c>
      <c r="BJ571" s="848">
        <f t="shared" si="547"/>
        <v>3098.48</v>
      </c>
      <c r="BK571" s="848">
        <f t="shared" si="547"/>
        <v>3600</v>
      </c>
      <c r="BL571" s="848">
        <f t="shared" si="547"/>
        <v>0</v>
      </c>
      <c r="BM571" s="848">
        <f t="shared" si="547"/>
        <v>0</v>
      </c>
      <c r="BN571" s="848">
        <f t="shared" si="547"/>
        <v>0</v>
      </c>
      <c r="BO571" s="848">
        <f t="shared" si="490"/>
        <v>67647.159921999992</v>
      </c>
      <c r="BP571" s="848">
        <f t="shared" si="547"/>
        <v>0</v>
      </c>
      <c r="BQ571" s="848">
        <f t="shared" si="547"/>
        <v>0</v>
      </c>
      <c r="BR571" s="848">
        <f t="shared" si="547"/>
        <v>0</v>
      </c>
      <c r="BS571" s="848">
        <f t="shared" si="547"/>
        <v>20383.159921999999</v>
      </c>
      <c r="BT571" s="848">
        <f t="shared" ref="BT571:CS571" si="548">BT572+BT575</f>
        <v>0</v>
      </c>
      <c r="BU571" s="848">
        <f t="shared" si="548"/>
        <v>0</v>
      </c>
      <c r="BV571" s="848">
        <f t="shared" si="548"/>
        <v>0</v>
      </c>
      <c r="BW571" s="848">
        <f t="shared" si="548"/>
        <v>0</v>
      </c>
      <c r="BX571" s="848">
        <f t="shared" si="548"/>
        <v>41165.519999999997</v>
      </c>
      <c r="BY571" s="848">
        <f t="shared" si="548"/>
        <v>0</v>
      </c>
      <c r="BZ571" s="848">
        <f t="shared" si="548"/>
        <v>3098.48</v>
      </c>
      <c r="CA571" s="848">
        <f t="shared" si="548"/>
        <v>3000</v>
      </c>
      <c r="CB571" s="848">
        <f t="shared" si="548"/>
        <v>0</v>
      </c>
      <c r="CC571" s="848">
        <f t="shared" si="548"/>
        <v>0</v>
      </c>
      <c r="CD571" s="848">
        <f t="shared" si="548"/>
        <v>0</v>
      </c>
      <c r="CE571" s="848">
        <f t="shared" si="548"/>
        <v>0</v>
      </c>
      <c r="CF571" s="848">
        <f t="shared" si="548"/>
        <v>198.15249593404593</v>
      </c>
      <c r="CG571" s="848"/>
      <c r="CH571" s="848"/>
      <c r="CI571" s="848"/>
      <c r="CJ571" s="848">
        <f t="shared" si="493"/>
        <v>97.062666295238088</v>
      </c>
      <c r="CK571" s="848"/>
      <c r="CL571" s="848"/>
      <c r="CM571" s="848">
        <f t="shared" si="493"/>
        <v>0</v>
      </c>
      <c r="CN571" s="848"/>
      <c r="CO571" s="848"/>
      <c r="CP571" s="848"/>
      <c r="CQ571" s="848">
        <f t="shared" si="517"/>
        <v>100</v>
      </c>
      <c r="CR571" s="848">
        <f t="shared" si="517"/>
        <v>83.333333333333343</v>
      </c>
      <c r="CS571" s="848">
        <f t="shared" si="548"/>
        <v>0</v>
      </c>
      <c r="CT571" s="848"/>
      <c r="CU571" s="848"/>
      <c r="CV571" s="848"/>
      <c r="CW571" s="848"/>
    </row>
    <row r="572" spans="1:101" ht="31.9" customHeight="1">
      <c r="A572" s="845" t="s">
        <v>11</v>
      </c>
      <c r="B572" s="845"/>
      <c r="C572" s="845" t="s">
        <v>1255</v>
      </c>
      <c r="D572" s="846">
        <f>D573</f>
        <v>0</v>
      </c>
      <c r="E572" s="845">
        <f t="shared" ref="E572:CE573" si="549">E573</f>
        <v>0</v>
      </c>
      <c r="F572" s="847"/>
      <c r="G572" s="845"/>
      <c r="H572" s="848">
        <f t="shared" si="549"/>
        <v>48236</v>
      </c>
      <c r="I572" s="848">
        <f t="shared" si="549"/>
        <v>0</v>
      </c>
      <c r="J572" s="848">
        <f t="shared" si="549"/>
        <v>0</v>
      </c>
      <c r="K572" s="848">
        <f t="shared" si="549"/>
        <v>0</v>
      </c>
      <c r="L572" s="848">
        <f t="shared" si="549"/>
        <v>0</v>
      </c>
      <c r="M572" s="848">
        <f t="shared" si="549"/>
        <v>0</v>
      </c>
      <c r="N572" s="848">
        <f t="shared" si="549"/>
        <v>0</v>
      </c>
      <c r="O572" s="848">
        <f t="shared" si="549"/>
        <v>0</v>
      </c>
      <c r="P572" s="848">
        <f t="shared" si="549"/>
        <v>0</v>
      </c>
      <c r="Q572" s="848">
        <f t="shared" si="549"/>
        <v>5767</v>
      </c>
      <c r="R572" s="848">
        <v>42469</v>
      </c>
      <c r="S572" s="848">
        <f t="shared" si="549"/>
        <v>0</v>
      </c>
      <c r="T572" s="848">
        <f t="shared" si="549"/>
        <v>0</v>
      </c>
      <c r="U572" s="848">
        <f t="shared" si="549"/>
        <v>0</v>
      </c>
      <c r="V572" s="848">
        <f t="shared" si="549"/>
        <v>0</v>
      </c>
      <c r="W572" s="848">
        <f t="shared" si="549"/>
        <v>0</v>
      </c>
      <c r="X572" s="848">
        <f t="shared" si="549"/>
        <v>0</v>
      </c>
      <c r="Y572" s="848">
        <f t="shared" si="549"/>
        <v>0</v>
      </c>
      <c r="Z572" s="848">
        <f t="shared" si="549"/>
        <v>0</v>
      </c>
      <c r="AA572" s="848">
        <f t="shared" si="549"/>
        <v>0</v>
      </c>
      <c r="AB572" s="848">
        <f t="shared" si="549"/>
        <v>0</v>
      </c>
      <c r="AC572" s="848">
        <f t="shared" si="549"/>
        <v>0</v>
      </c>
      <c r="AD572" s="848"/>
      <c r="AE572" s="848"/>
      <c r="AF572" s="848">
        <f t="shared" si="549"/>
        <v>0</v>
      </c>
      <c r="AG572" s="848">
        <f t="shared" si="549"/>
        <v>0</v>
      </c>
      <c r="AH572" s="848">
        <f t="shared" si="549"/>
        <v>0</v>
      </c>
      <c r="AI572" s="848">
        <f t="shared" si="549"/>
        <v>0</v>
      </c>
      <c r="AJ572" s="848">
        <f t="shared" si="549"/>
        <v>0</v>
      </c>
      <c r="AK572" s="848">
        <f t="shared" si="549"/>
        <v>0</v>
      </c>
      <c r="AL572" s="848">
        <f t="shared" si="549"/>
        <v>0</v>
      </c>
      <c r="AM572" s="848">
        <f t="shared" si="549"/>
        <v>0</v>
      </c>
      <c r="AN572" s="848">
        <f t="shared" si="549"/>
        <v>0</v>
      </c>
      <c r="AO572" s="848">
        <f t="shared" si="549"/>
        <v>0</v>
      </c>
      <c r="AP572" s="848">
        <f t="shared" si="549"/>
        <v>0</v>
      </c>
      <c r="AQ572" s="848">
        <f t="shared" si="549"/>
        <v>0</v>
      </c>
      <c r="AR572" s="848">
        <f t="shared" si="549"/>
        <v>0</v>
      </c>
      <c r="AS572" s="848"/>
      <c r="AT572" s="848">
        <f t="shared" si="549"/>
        <v>0</v>
      </c>
      <c r="AU572" s="848">
        <f t="shared" si="549"/>
        <v>0</v>
      </c>
      <c r="AV572" s="848">
        <f t="shared" si="549"/>
        <v>0</v>
      </c>
      <c r="AW572" s="848">
        <f t="shared" si="549"/>
        <v>0</v>
      </c>
      <c r="AX572" s="848">
        <f t="shared" si="549"/>
        <v>0</v>
      </c>
      <c r="AY572" s="848">
        <f t="shared" si="549"/>
        <v>3000</v>
      </c>
      <c r="AZ572" s="848">
        <f t="shared" si="549"/>
        <v>0</v>
      </c>
      <c r="BA572" s="848"/>
      <c r="BB572" s="848"/>
      <c r="BC572" s="848">
        <f t="shared" si="549"/>
        <v>1000</v>
      </c>
      <c r="BD572" s="848">
        <f t="shared" si="549"/>
        <v>0</v>
      </c>
      <c r="BE572" s="848"/>
      <c r="BF572" s="848">
        <f t="shared" si="549"/>
        <v>0</v>
      </c>
      <c r="BG572" s="848">
        <f t="shared" si="549"/>
        <v>0</v>
      </c>
      <c r="BH572" s="848">
        <f t="shared" si="549"/>
        <v>0</v>
      </c>
      <c r="BI572" s="848">
        <f t="shared" si="549"/>
        <v>0</v>
      </c>
      <c r="BJ572" s="848">
        <f t="shared" si="549"/>
        <v>0</v>
      </c>
      <c r="BK572" s="848">
        <f t="shared" si="549"/>
        <v>2000</v>
      </c>
      <c r="BL572" s="848">
        <f t="shared" si="549"/>
        <v>0</v>
      </c>
      <c r="BM572" s="848">
        <f t="shared" si="549"/>
        <v>0</v>
      </c>
      <c r="BN572" s="848">
        <f t="shared" si="549"/>
        <v>0</v>
      </c>
      <c r="BO572" s="848">
        <f t="shared" si="490"/>
        <v>3000</v>
      </c>
      <c r="BP572" s="848">
        <f t="shared" si="549"/>
        <v>0</v>
      </c>
      <c r="BQ572" s="848"/>
      <c r="BR572" s="848"/>
      <c r="BS572" s="848">
        <f t="shared" si="549"/>
        <v>1000</v>
      </c>
      <c r="BT572" s="848">
        <f t="shared" si="549"/>
        <v>0</v>
      </c>
      <c r="BU572" s="848"/>
      <c r="BV572" s="848">
        <f t="shared" si="549"/>
        <v>0</v>
      </c>
      <c r="BW572" s="848">
        <f t="shared" si="549"/>
        <v>0</v>
      </c>
      <c r="BX572" s="848">
        <f t="shared" si="549"/>
        <v>0</v>
      </c>
      <c r="BY572" s="848">
        <f t="shared" si="549"/>
        <v>0</v>
      </c>
      <c r="BZ572" s="848">
        <f t="shared" si="549"/>
        <v>0</v>
      </c>
      <c r="CA572" s="848">
        <f t="shared" si="549"/>
        <v>2000</v>
      </c>
      <c r="CB572" s="848">
        <f t="shared" si="549"/>
        <v>0</v>
      </c>
      <c r="CC572" s="848">
        <f t="shared" si="549"/>
        <v>0</v>
      </c>
      <c r="CD572" s="848">
        <f t="shared" si="549"/>
        <v>0</v>
      </c>
      <c r="CE572" s="848">
        <f t="shared" si="549"/>
        <v>0</v>
      </c>
      <c r="CF572" s="848">
        <f t="shared" ref="CF572:CF578" si="550">BO572/AY572%</f>
        <v>100</v>
      </c>
      <c r="CG572" s="848"/>
      <c r="CH572" s="848"/>
      <c r="CI572" s="848"/>
      <c r="CJ572" s="848">
        <f t="shared" si="493"/>
        <v>100</v>
      </c>
      <c r="CK572" s="848"/>
      <c r="CL572" s="848"/>
      <c r="CM572" s="848"/>
      <c r="CN572" s="848"/>
      <c r="CO572" s="848"/>
      <c r="CP572" s="848"/>
      <c r="CQ572" s="848"/>
      <c r="CR572" s="848">
        <f t="shared" si="517"/>
        <v>100</v>
      </c>
      <c r="CS572" s="848"/>
      <c r="CT572" s="848"/>
      <c r="CU572" s="848"/>
      <c r="CV572" s="848"/>
      <c r="CW572" s="848"/>
    </row>
    <row r="573" spans="1:101" ht="16.899999999999999" customHeight="1">
      <c r="A573" s="845"/>
      <c r="B573" s="845"/>
      <c r="C573" s="845" t="s">
        <v>598</v>
      </c>
      <c r="D573" s="846">
        <f>D574</f>
        <v>0</v>
      </c>
      <c r="E573" s="845">
        <f t="shared" si="549"/>
        <v>0</v>
      </c>
      <c r="F573" s="847"/>
      <c r="G573" s="845"/>
      <c r="H573" s="850">
        <f t="shared" si="503"/>
        <v>48236</v>
      </c>
      <c r="I573" s="848">
        <f t="shared" si="549"/>
        <v>0</v>
      </c>
      <c r="J573" s="848">
        <f t="shared" si="549"/>
        <v>0</v>
      </c>
      <c r="K573" s="848">
        <f t="shared" si="549"/>
        <v>0</v>
      </c>
      <c r="L573" s="848">
        <f t="shared" si="549"/>
        <v>0</v>
      </c>
      <c r="M573" s="848">
        <f t="shared" si="549"/>
        <v>0</v>
      </c>
      <c r="N573" s="848">
        <f t="shared" si="549"/>
        <v>0</v>
      </c>
      <c r="O573" s="848">
        <f t="shared" si="549"/>
        <v>0</v>
      </c>
      <c r="P573" s="848">
        <f t="shared" si="549"/>
        <v>0</v>
      </c>
      <c r="Q573" s="848">
        <f t="shared" si="549"/>
        <v>5767</v>
      </c>
      <c r="R573" s="848">
        <v>42469</v>
      </c>
      <c r="S573" s="848">
        <f t="shared" si="549"/>
        <v>0</v>
      </c>
      <c r="T573" s="848">
        <f t="shared" si="549"/>
        <v>0</v>
      </c>
      <c r="U573" s="848">
        <f t="shared" si="549"/>
        <v>0</v>
      </c>
      <c r="V573" s="848">
        <f t="shared" si="549"/>
        <v>0</v>
      </c>
      <c r="W573" s="848">
        <f t="shared" si="549"/>
        <v>0</v>
      </c>
      <c r="X573" s="848">
        <f t="shared" si="549"/>
        <v>0</v>
      </c>
      <c r="Y573" s="848">
        <f t="shared" si="549"/>
        <v>0</v>
      </c>
      <c r="Z573" s="848">
        <f t="shared" si="549"/>
        <v>0</v>
      </c>
      <c r="AA573" s="848">
        <f t="shared" si="549"/>
        <v>0</v>
      </c>
      <c r="AB573" s="848">
        <f t="shared" si="549"/>
        <v>0</v>
      </c>
      <c r="AC573" s="848">
        <f t="shared" si="549"/>
        <v>0</v>
      </c>
      <c r="AD573" s="848"/>
      <c r="AE573" s="848"/>
      <c r="AF573" s="848">
        <f t="shared" si="549"/>
        <v>0</v>
      </c>
      <c r="AG573" s="848">
        <f t="shared" si="549"/>
        <v>0</v>
      </c>
      <c r="AH573" s="848">
        <f t="shared" si="549"/>
        <v>0</v>
      </c>
      <c r="AI573" s="848">
        <f t="shared" si="549"/>
        <v>0</v>
      </c>
      <c r="AJ573" s="848">
        <f t="shared" si="549"/>
        <v>0</v>
      </c>
      <c r="AK573" s="848">
        <f t="shared" si="549"/>
        <v>0</v>
      </c>
      <c r="AL573" s="848">
        <f t="shared" si="549"/>
        <v>0</v>
      </c>
      <c r="AM573" s="848">
        <f t="shared" si="549"/>
        <v>0</v>
      </c>
      <c r="AN573" s="848">
        <f t="shared" si="549"/>
        <v>0</v>
      </c>
      <c r="AO573" s="848">
        <f t="shared" si="549"/>
        <v>0</v>
      </c>
      <c r="AP573" s="848">
        <f t="shared" si="549"/>
        <v>0</v>
      </c>
      <c r="AQ573" s="848">
        <f t="shared" si="549"/>
        <v>0</v>
      </c>
      <c r="AR573" s="848">
        <f t="shared" si="549"/>
        <v>0</v>
      </c>
      <c r="AS573" s="848"/>
      <c r="AT573" s="848">
        <f t="shared" si="549"/>
        <v>0</v>
      </c>
      <c r="AU573" s="848">
        <f t="shared" si="549"/>
        <v>0</v>
      </c>
      <c r="AV573" s="848">
        <f t="shared" si="549"/>
        <v>0</v>
      </c>
      <c r="AW573" s="848">
        <f t="shared" si="549"/>
        <v>0</v>
      </c>
      <c r="AX573" s="848">
        <f t="shared" si="549"/>
        <v>0</v>
      </c>
      <c r="AY573" s="848">
        <f t="shared" si="549"/>
        <v>3000</v>
      </c>
      <c r="AZ573" s="848">
        <f t="shared" si="549"/>
        <v>0</v>
      </c>
      <c r="BA573" s="848"/>
      <c r="BB573" s="848"/>
      <c r="BC573" s="848">
        <f t="shared" si="549"/>
        <v>1000</v>
      </c>
      <c r="BD573" s="848">
        <f t="shared" si="549"/>
        <v>0</v>
      </c>
      <c r="BE573" s="848"/>
      <c r="BF573" s="848">
        <f t="shared" si="549"/>
        <v>0</v>
      </c>
      <c r="BG573" s="848">
        <f t="shared" si="549"/>
        <v>0</v>
      </c>
      <c r="BH573" s="848">
        <f t="shared" si="549"/>
        <v>0</v>
      </c>
      <c r="BI573" s="848">
        <f t="shared" si="549"/>
        <v>0</v>
      </c>
      <c r="BJ573" s="848">
        <f t="shared" si="549"/>
        <v>0</v>
      </c>
      <c r="BK573" s="848">
        <f t="shared" si="549"/>
        <v>2000</v>
      </c>
      <c r="BL573" s="848">
        <f t="shared" si="549"/>
        <v>0</v>
      </c>
      <c r="BM573" s="848">
        <f t="shared" si="549"/>
        <v>0</v>
      </c>
      <c r="BN573" s="848">
        <f t="shared" si="549"/>
        <v>0</v>
      </c>
      <c r="BO573" s="848">
        <f t="shared" si="490"/>
        <v>3000</v>
      </c>
      <c r="BP573" s="848">
        <f t="shared" si="549"/>
        <v>0</v>
      </c>
      <c r="BQ573" s="848"/>
      <c r="BR573" s="848"/>
      <c r="BS573" s="848">
        <f t="shared" si="549"/>
        <v>1000</v>
      </c>
      <c r="BT573" s="848">
        <f t="shared" si="549"/>
        <v>0</v>
      </c>
      <c r="BU573" s="848"/>
      <c r="BV573" s="848">
        <f t="shared" si="549"/>
        <v>0</v>
      </c>
      <c r="BW573" s="848">
        <f t="shared" si="549"/>
        <v>0</v>
      </c>
      <c r="BX573" s="848">
        <f t="shared" si="549"/>
        <v>0</v>
      </c>
      <c r="BY573" s="848">
        <f t="shared" si="549"/>
        <v>0</v>
      </c>
      <c r="BZ573" s="848">
        <f t="shared" si="549"/>
        <v>0</v>
      </c>
      <c r="CA573" s="848">
        <f t="shared" si="549"/>
        <v>2000</v>
      </c>
      <c r="CB573" s="848">
        <f t="shared" si="549"/>
        <v>0</v>
      </c>
      <c r="CC573" s="848">
        <f t="shared" si="549"/>
        <v>0</v>
      </c>
      <c r="CD573" s="848">
        <f t="shared" si="549"/>
        <v>0</v>
      </c>
      <c r="CE573" s="848">
        <f t="shared" si="549"/>
        <v>0</v>
      </c>
      <c r="CF573" s="848">
        <f t="shared" si="550"/>
        <v>100</v>
      </c>
      <c r="CG573" s="848"/>
      <c r="CH573" s="848"/>
      <c r="CI573" s="848"/>
      <c r="CJ573" s="848">
        <f t="shared" si="493"/>
        <v>100</v>
      </c>
      <c r="CK573" s="848"/>
      <c r="CL573" s="848"/>
      <c r="CM573" s="848"/>
      <c r="CN573" s="848"/>
      <c r="CO573" s="848"/>
      <c r="CP573" s="848"/>
      <c r="CQ573" s="848"/>
      <c r="CR573" s="848">
        <f t="shared" si="517"/>
        <v>100</v>
      </c>
      <c r="CS573" s="848"/>
      <c r="CT573" s="848"/>
      <c r="CU573" s="848"/>
      <c r="CV573" s="848"/>
      <c r="CW573" s="848"/>
    </row>
    <row r="574" spans="1:101" ht="34.15" customHeight="1">
      <c r="A574" s="845"/>
      <c r="B574" s="846" t="s">
        <v>1255</v>
      </c>
      <c r="C574" s="852" t="s">
        <v>1256</v>
      </c>
      <c r="D574" s="846"/>
      <c r="E574" s="845"/>
      <c r="F574" s="853"/>
      <c r="G574" s="846" t="s">
        <v>1257</v>
      </c>
      <c r="H574" s="850">
        <f t="shared" si="503"/>
        <v>48236</v>
      </c>
      <c r="I574" s="850"/>
      <c r="J574" s="848"/>
      <c r="K574" s="848"/>
      <c r="L574" s="848"/>
      <c r="M574" s="848"/>
      <c r="N574" s="848"/>
      <c r="O574" s="848"/>
      <c r="P574" s="848"/>
      <c r="Q574" s="855">
        <v>5767</v>
      </c>
      <c r="R574" s="855">
        <v>42469</v>
      </c>
      <c r="S574" s="848"/>
      <c r="T574" s="855">
        <f t="shared" si="501"/>
        <v>0</v>
      </c>
      <c r="U574" s="848"/>
      <c r="V574" s="848"/>
      <c r="W574" s="848"/>
      <c r="X574" s="848"/>
      <c r="Y574" s="848"/>
      <c r="Z574" s="848"/>
      <c r="AA574" s="848"/>
      <c r="AB574" s="848"/>
      <c r="AC574" s="848"/>
      <c r="AD574" s="848"/>
      <c r="AE574" s="848"/>
      <c r="AF574" s="848"/>
      <c r="AG574" s="848"/>
      <c r="AH574" s="855"/>
      <c r="AI574" s="855"/>
      <c r="AJ574" s="855"/>
      <c r="AK574" s="855"/>
      <c r="AL574" s="855"/>
      <c r="AM574" s="855"/>
      <c r="AN574" s="855"/>
      <c r="AO574" s="855"/>
      <c r="AP574" s="855"/>
      <c r="AQ574" s="855"/>
      <c r="AR574" s="855"/>
      <c r="AS574" s="855"/>
      <c r="AT574" s="855"/>
      <c r="AU574" s="855"/>
      <c r="AV574" s="855"/>
      <c r="AW574" s="855"/>
      <c r="AX574" s="855"/>
      <c r="AY574" s="855">
        <f>BC574+BK574</f>
        <v>3000</v>
      </c>
      <c r="AZ574" s="855"/>
      <c r="BA574" s="855"/>
      <c r="BB574" s="855"/>
      <c r="BC574" s="855">
        <f>'[10]bieu cu'!H295</f>
        <v>1000</v>
      </c>
      <c r="BD574" s="855"/>
      <c r="BE574" s="855"/>
      <c r="BF574" s="855"/>
      <c r="BG574" s="855"/>
      <c r="BH574" s="855"/>
      <c r="BI574" s="855"/>
      <c r="BJ574" s="855"/>
      <c r="BK574" s="855">
        <f>'[10]bieu cu'!H134</f>
        <v>2000</v>
      </c>
      <c r="BL574" s="855"/>
      <c r="BM574" s="855"/>
      <c r="BN574" s="855"/>
      <c r="BO574" s="848">
        <f t="shared" si="490"/>
        <v>3000</v>
      </c>
      <c r="BP574" s="855"/>
      <c r="BQ574" s="855"/>
      <c r="BR574" s="855"/>
      <c r="BS574" s="855">
        <f>'[10]bieu cu'!M295</f>
        <v>1000</v>
      </c>
      <c r="BT574" s="855"/>
      <c r="BU574" s="855"/>
      <c r="BV574" s="855"/>
      <c r="BW574" s="855"/>
      <c r="BX574" s="855"/>
      <c r="BY574" s="855"/>
      <c r="BZ574" s="855"/>
      <c r="CA574" s="855">
        <f>'[10]bieu cu'!M134</f>
        <v>2000</v>
      </c>
      <c r="CB574" s="855"/>
      <c r="CC574" s="855"/>
      <c r="CD574" s="855"/>
      <c r="CE574" s="855"/>
      <c r="CF574" s="848">
        <f t="shared" si="550"/>
        <v>100</v>
      </c>
      <c r="CG574" s="848"/>
      <c r="CH574" s="848"/>
      <c r="CI574" s="848"/>
      <c r="CJ574" s="848">
        <f t="shared" si="493"/>
        <v>100</v>
      </c>
      <c r="CK574" s="848"/>
      <c r="CL574" s="848"/>
      <c r="CM574" s="848"/>
      <c r="CN574" s="848"/>
      <c r="CO574" s="848"/>
      <c r="CP574" s="848"/>
      <c r="CQ574" s="848"/>
      <c r="CR574" s="848">
        <f t="shared" si="517"/>
        <v>100</v>
      </c>
      <c r="CS574" s="848"/>
      <c r="CT574" s="848"/>
      <c r="CU574" s="848"/>
      <c r="CV574" s="848"/>
      <c r="CW574" s="848"/>
    </row>
    <row r="575" spans="1:101" ht="24.75" customHeight="1">
      <c r="A575" s="845" t="s">
        <v>7</v>
      </c>
      <c r="B575" s="845"/>
      <c r="C575" s="845" t="s">
        <v>677</v>
      </c>
      <c r="D575" s="846">
        <f>D576</f>
        <v>0</v>
      </c>
      <c r="E575" s="845">
        <f t="shared" ref="E575:CE575" si="551">E576</f>
        <v>0</v>
      </c>
      <c r="F575" s="847"/>
      <c r="G575" s="845"/>
      <c r="H575" s="848">
        <f t="shared" si="551"/>
        <v>377448.24</v>
      </c>
      <c r="I575" s="848">
        <f t="shared" si="551"/>
        <v>0</v>
      </c>
      <c r="J575" s="848">
        <f t="shared" si="551"/>
        <v>0</v>
      </c>
      <c r="K575" s="848">
        <f t="shared" si="551"/>
        <v>0</v>
      </c>
      <c r="L575" s="848">
        <f t="shared" si="551"/>
        <v>0</v>
      </c>
      <c r="M575" s="848">
        <f t="shared" si="551"/>
        <v>0</v>
      </c>
      <c r="N575" s="848">
        <f t="shared" si="551"/>
        <v>152106.23999999999</v>
      </c>
      <c r="O575" s="848">
        <f t="shared" si="551"/>
        <v>0</v>
      </c>
      <c r="P575" s="848">
        <f t="shared" si="551"/>
        <v>0</v>
      </c>
      <c r="Q575" s="848">
        <f t="shared" si="551"/>
        <v>0</v>
      </c>
      <c r="R575" s="848">
        <v>225342</v>
      </c>
      <c r="S575" s="848">
        <f t="shared" si="551"/>
        <v>0</v>
      </c>
      <c r="T575" s="848">
        <f t="shared" si="551"/>
        <v>60049</v>
      </c>
      <c r="U575" s="848">
        <f t="shared" si="551"/>
        <v>0</v>
      </c>
      <c r="V575" s="848">
        <f t="shared" si="551"/>
        <v>0</v>
      </c>
      <c r="W575" s="848">
        <f t="shared" si="551"/>
        <v>8800</v>
      </c>
      <c r="X575" s="848">
        <f t="shared" si="551"/>
        <v>0</v>
      </c>
      <c r="Y575" s="848">
        <f t="shared" si="551"/>
        <v>0</v>
      </c>
      <c r="Z575" s="848">
        <f t="shared" si="551"/>
        <v>0</v>
      </c>
      <c r="AA575" s="848">
        <f t="shared" si="551"/>
        <v>0</v>
      </c>
      <c r="AB575" s="848">
        <f t="shared" si="551"/>
        <v>0</v>
      </c>
      <c r="AC575" s="848">
        <f t="shared" si="551"/>
        <v>51249</v>
      </c>
      <c r="AD575" s="848"/>
      <c r="AE575" s="848"/>
      <c r="AF575" s="848">
        <f t="shared" si="551"/>
        <v>0</v>
      </c>
      <c r="AG575" s="848">
        <f t="shared" si="551"/>
        <v>0</v>
      </c>
      <c r="AH575" s="848">
        <f t="shared" si="551"/>
        <v>0</v>
      </c>
      <c r="AI575" s="848">
        <f t="shared" si="551"/>
        <v>8800</v>
      </c>
      <c r="AJ575" s="848">
        <f t="shared" si="551"/>
        <v>0</v>
      </c>
      <c r="AK575" s="848">
        <f t="shared" si="551"/>
        <v>0</v>
      </c>
      <c r="AL575" s="848">
        <f t="shared" si="551"/>
        <v>0</v>
      </c>
      <c r="AM575" s="848">
        <f t="shared" si="551"/>
        <v>0</v>
      </c>
      <c r="AN575" s="848">
        <f t="shared" si="551"/>
        <v>0</v>
      </c>
      <c r="AO575" s="848">
        <f t="shared" si="551"/>
        <v>0</v>
      </c>
      <c r="AP575" s="848">
        <f t="shared" si="551"/>
        <v>0</v>
      </c>
      <c r="AQ575" s="848">
        <f t="shared" si="551"/>
        <v>0</v>
      </c>
      <c r="AR575" s="848">
        <f t="shared" si="551"/>
        <v>0</v>
      </c>
      <c r="AS575" s="848"/>
      <c r="AT575" s="848">
        <f t="shared" si="551"/>
        <v>0</v>
      </c>
      <c r="AU575" s="848">
        <f t="shared" si="551"/>
        <v>0</v>
      </c>
      <c r="AV575" s="848">
        <f t="shared" si="551"/>
        <v>0</v>
      </c>
      <c r="AW575" s="848">
        <f t="shared" si="551"/>
        <v>8800</v>
      </c>
      <c r="AX575" s="848">
        <f t="shared" si="551"/>
        <v>0</v>
      </c>
      <c r="AY575" s="848">
        <f t="shared" si="551"/>
        <v>65864</v>
      </c>
      <c r="AZ575" s="848">
        <f t="shared" si="551"/>
        <v>0</v>
      </c>
      <c r="BA575" s="848"/>
      <c r="BB575" s="848"/>
      <c r="BC575" s="848">
        <f t="shared" si="551"/>
        <v>20000</v>
      </c>
      <c r="BD575" s="848">
        <f t="shared" si="551"/>
        <v>0</v>
      </c>
      <c r="BE575" s="848"/>
      <c r="BF575" s="848">
        <f t="shared" si="551"/>
        <v>41165.519999999997</v>
      </c>
      <c r="BG575" s="848">
        <f t="shared" si="551"/>
        <v>0</v>
      </c>
      <c r="BH575" s="848">
        <f t="shared" si="551"/>
        <v>0</v>
      </c>
      <c r="BI575" s="848">
        <f t="shared" si="551"/>
        <v>0</v>
      </c>
      <c r="BJ575" s="848">
        <f t="shared" si="551"/>
        <v>3098.48</v>
      </c>
      <c r="BK575" s="848">
        <f t="shared" si="551"/>
        <v>1600</v>
      </c>
      <c r="BL575" s="848">
        <f t="shared" si="551"/>
        <v>0</v>
      </c>
      <c r="BM575" s="848">
        <f t="shared" si="551"/>
        <v>0</v>
      </c>
      <c r="BN575" s="848">
        <f t="shared" si="551"/>
        <v>0</v>
      </c>
      <c r="BO575" s="848">
        <f t="shared" si="490"/>
        <v>64647.159921999999</v>
      </c>
      <c r="BP575" s="848">
        <f t="shared" si="551"/>
        <v>0</v>
      </c>
      <c r="BQ575" s="848"/>
      <c r="BR575" s="848"/>
      <c r="BS575" s="848">
        <f t="shared" si="551"/>
        <v>19383.159921999999</v>
      </c>
      <c r="BT575" s="848">
        <f t="shared" si="551"/>
        <v>0</v>
      </c>
      <c r="BU575" s="848"/>
      <c r="BV575" s="848">
        <f t="shared" si="551"/>
        <v>0</v>
      </c>
      <c r="BW575" s="848">
        <f t="shared" si="551"/>
        <v>0</v>
      </c>
      <c r="BX575" s="848">
        <f t="shared" si="551"/>
        <v>41165.519999999997</v>
      </c>
      <c r="BY575" s="848">
        <f t="shared" si="551"/>
        <v>0</v>
      </c>
      <c r="BZ575" s="848">
        <f t="shared" si="551"/>
        <v>3098.48</v>
      </c>
      <c r="CA575" s="848">
        <f>CA576</f>
        <v>1000</v>
      </c>
      <c r="CB575" s="848">
        <f t="shared" si="551"/>
        <v>0</v>
      </c>
      <c r="CC575" s="848">
        <f t="shared" si="551"/>
        <v>0</v>
      </c>
      <c r="CD575" s="848">
        <f t="shared" si="551"/>
        <v>0</v>
      </c>
      <c r="CE575" s="848">
        <f t="shared" si="551"/>
        <v>0</v>
      </c>
      <c r="CF575" s="848">
        <f t="shared" si="550"/>
        <v>98.152495934045916</v>
      </c>
      <c r="CG575" s="848"/>
      <c r="CH575" s="848"/>
      <c r="CI575" s="848"/>
      <c r="CJ575" s="848">
        <f t="shared" si="493"/>
        <v>96.915799609999993</v>
      </c>
      <c r="CK575" s="848"/>
      <c r="CL575" s="848"/>
      <c r="CM575" s="848">
        <f t="shared" si="493"/>
        <v>0</v>
      </c>
      <c r="CN575" s="848"/>
      <c r="CO575" s="848"/>
      <c r="CP575" s="848"/>
      <c r="CQ575" s="848">
        <f t="shared" si="517"/>
        <v>100</v>
      </c>
      <c r="CR575" s="848">
        <f t="shared" si="517"/>
        <v>62.5</v>
      </c>
      <c r="CS575" s="848"/>
      <c r="CT575" s="848"/>
      <c r="CU575" s="848"/>
      <c r="CV575" s="848"/>
      <c r="CW575" s="848"/>
    </row>
    <row r="576" spans="1:101" ht="24.75" customHeight="1">
      <c r="A576" s="845"/>
      <c r="B576" s="845"/>
      <c r="C576" s="845" t="s">
        <v>462</v>
      </c>
      <c r="D576" s="846">
        <f>D577+D578</f>
        <v>0</v>
      </c>
      <c r="E576" s="845">
        <f t="shared" ref="E576:CE576" si="552">E577+E578</f>
        <v>0</v>
      </c>
      <c r="F576" s="847"/>
      <c r="G576" s="845"/>
      <c r="H576" s="848">
        <f t="shared" ref="H576:AX576" si="553">H577+H578</f>
        <v>377448.24</v>
      </c>
      <c r="I576" s="848">
        <f t="shared" si="553"/>
        <v>0</v>
      </c>
      <c r="J576" s="848">
        <f t="shared" si="553"/>
        <v>0</v>
      </c>
      <c r="K576" s="848">
        <f t="shared" si="553"/>
        <v>0</v>
      </c>
      <c r="L576" s="848">
        <f t="shared" si="553"/>
        <v>0</v>
      </c>
      <c r="M576" s="848">
        <f t="shared" si="553"/>
        <v>0</v>
      </c>
      <c r="N576" s="848">
        <f t="shared" si="553"/>
        <v>152106.23999999999</v>
      </c>
      <c r="O576" s="848">
        <f t="shared" si="553"/>
        <v>0</v>
      </c>
      <c r="P576" s="848">
        <f t="shared" si="553"/>
        <v>0</v>
      </c>
      <c r="Q576" s="848">
        <f t="shared" si="553"/>
        <v>0</v>
      </c>
      <c r="R576" s="848">
        <v>225342</v>
      </c>
      <c r="S576" s="848">
        <f t="shared" si="553"/>
        <v>0</v>
      </c>
      <c r="T576" s="848">
        <f t="shared" si="553"/>
        <v>60049</v>
      </c>
      <c r="U576" s="848">
        <f t="shared" si="553"/>
        <v>0</v>
      </c>
      <c r="V576" s="848">
        <f t="shared" si="553"/>
        <v>0</v>
      </c>
      <c r="W576" s="848">
        <f t="shared" si="553"/>
        <v>8800</v>
      </c>
      <c r="X576" s="848">
        <f t="shared" si="553"/>
        <v>0</v>
      </c>
      <c r="Y576" s="848">
        <f t="shared" si="553"/>
        <v>0</v>
      </c>
      <c r="Z576" s="848">
        <f t="shared" si="553"/>
        <v>0</v>
      </c>
      <c r="AA576" s="848">
        <f t="shared" si="553"/>
        <v>0</v>
      </c>
      <c r="AB576" s="848">
        <f t="shared" si="553"/>
        <v>0</v>
      </c>
      <c r="AC576" s="848">
        <f t="shared" si="553"/>
        <v>51249</v>
      </c>
      <c r="AD576" s="848"/>
      <c r="AE576" s="848"/>
      <c r="AF576" s="848">
        <f t="shared" si="553"/>
        <v>0</v>
      </c>
      <c r="AG576" s="848">
        <f t="shared" si="553"/>
        <v>0</v>
      </c>
      <c r="AH576" s="848">
        <f t="shared" si="553"/>
        <v>0</v>
      </c>
      <c r="AI576" s="848">
        <f t="shared" si="553"/>
        <v>8800</v>
      </c>
      <c r="AJ576" s="848">
        <f t="shared" si="553"/>
        <v>0</v>
      </c>
      <c r="AK576" s="848">
        <f t="shared" si="553"/>
        <v>0</v>
      </c>
      <c r="AL576" s="848">
        <f t="shared" si="553"/>
        <v>0</v>
      </c>
      <c r="AM576" s="848">
        <f t="shared" si="553"/>
        <v>0</v>
      </c>
      <c r="AN576" s="848">
        <f t="shared" si="553"/>
        <v>0</v>
      </c>
      <c r="AO576" s="848">
        <f t="shared" si="553"/>
        <v>0</v>
      </c>
      <c r="AP576" s="848">
        <f t="shared" si="553"/>
        <v>0</v>
      </c>
      <c r="AQ576" s="848">
        <f t="shared" si="553"/>
        <v>0</v>
      </c>
      <c r="AR576" s="848">
        <f t="shared" si="553"/>
        <v>0</v>
      </c>
      <c r="AS576" s="848"/>
      <c r="AT576" s="848">
        <f t="shared" si="553"/>
        <v>0</v>
      </c>
      <c r="AU576" s="848">
        <f t="shared" si="553"/>
        <v>0</v>
      </c>
      <c r="AV576" s="848">
        <f t="shared" si="553"/>
        <v>0</v>
      </c>
      <c r="AW576" s="848">
        <f t="shared" si="553"/>
        <v>8800</v>
      </c>
      <c r="AX576" s="848">
        <f t="shared" si="553"/>
        <v>0</v>
      </c>
      <c r="AY576" s="848">
        <f t="shared" si="552"/>
        <v>65864</v>
      </c>
      <c r="AZ576" s="848">
        <f t="shared" si="552"/>
        <v>0</v>
      </c>
      <c r="BA576" s="848">
        <f t="shared" si="552"/>
        <v>0</v>
      </c>
      <c r="BB576" s="848">
        <f t="shared" si="552"/>
        <v>0</v>
      </c>
      <c r="BC576" s="848">
        <f t="shared" si="552"/>
        <v>20000</v>
      </c>
      <c r="BD576" s="848">
        <f t="shared" si="552"/>
        <v>0</v>
      </c>
      <c r="BE576" s="848">
        <f t="shared" si="552"/>
        <v>0</v>
      </c>
      <c r="BF576" s="848">
        <f t="shared" si="552"/>
        <v>41165.519999999997</v>
      </c>
      <c r="BG576" s="848">
        <f t="shared" si="552"/>
        <v>0</v>
      </c>
      <c r="BH576" s="848">
        <f t="shared" si="552"/>
        <v>0</v>
      </c>
      <c r="BI576" s="848">
        <f t="shared" si="552"/>
        <v>0</v>
      </c>
      <c r="BJ576" s="848">
        <f t="shared" si="552"/>
        <v>3098.48</v>
      </c>
      <c r="BK576" s="848">
        <f t="shared" si="552"/>
        <v>1600</v>
      </c>
      <c r="BL576" s="848">
        <f t="shared" si="552"/>
        <v>0</v>
      </c>
      <c r="BM576" s="848">
        <f t="shared" si="552"/>
        <v>0</v>
      </c>
      <c r="BN576" s="848">
        <f t="shared" si="552"/>
        <v>0</v>
      </c>
      <c r="BO576" s="848">
        <f t="shared" si="490"/>
        <v>64647.159921999999</v>
      </c>
      <c r="BP576" s="848">
        <f t="shared" si="552"/>
        <v>0</v>
      </c>
      <c r="BQ576" s="848">
        <f t="shared" si="552"/>
        <v>0</v>
      </c>
      <c r="BR576" s="848">
        <f t="shared" si="552"/>
        <v>0</v>
      </c>
      <c r="BS576" s="848">
        <f t="shared" si="552"/>
        <v>19383.159921999999</v>
      </c>
      <c r="BT576" s="848">
        <f t="shared" si="552"/>
        <v>0</v>
      </c>
      <c r="BU576" s="848">
        <f t="shared" si="552"/>
        <v>0</v>
      </c>
      <c r="BV576" s="848">
        <f t="shared" si="552"/>
        <v>0</v>
      </c>
      <c r="BW576" s="848">
        <f t="shared" si="552"/>
        <v>0</v>
      </c>
      <c r="BX576" s="848">
        <f t="shared" si="552"/>
        <v>41165.519999999997</v>
      </c>
      <c r="BY576" s="848">
        <f t="shared" si="552"/>
        <v>0</v>
      </c>
      <c r="BZ576" s="848">
        <f t="shared" si="552"/>
        <v>3098.48</v>
      </c>
      <c r="CA576" s="848">
        <f t="shared" si="552"/>
        <v>1000</v>
      </c>
      <c r="CB576" s="848">
        <f t="shared" si="552"/>
        <v>0</v>
      </c>
      <c r="CC576" s="848">
        <f t="shared" si="552"/>
        <v>0</v>
      </c>
      <c r="CD576" s="848">
        <f t="shared" si="552"/>
        <v>0</v>
      </c>
      <c r="CE576" s="848">
        <f t="shared" si="552"/>
        <v>0</v>
      </c>
      <c r="CF576" s="848">
        <f t="shared" si="550"/>
        <v>98.152495934045916</v>
      </c>
      <c r="CG576" s="848"/>
      <c r="CH576" s="848"/>
      <c r="CI576" s="848"/>
      <c r="CJ576" s="848">
        <f t="shared" si="493"/>
        <v>96.915799609999993</v>
      </c>
      <c r="CK576" s="848"/>
      <c r="CL576" s="848"/>
      <c r="CM576" s="848">
        <f t="shared" si="493"/>
        <v>0</v>
      </c>
      <c r="CN576" s="848"/>
      <c r="CO576" s="848"/>
      <c r="CP576" s="848"/>
      <c r="CQ576" s="848">
        <f t="shared" si="517"/>
        <v>100</v>
      </c>
      <c r="CR576" s="848">
        <f t="shared" si="517"/>
        <v>62.5</v>
      </c>
      <c r="CS576" s="848"/>
      <c r="CT576" s="848"/>
      <c r="CU576" s="848"/>
      <c r="CV576" s="848"/>
      <c r="CW576" s="848"/>
    </row>
    <row r="577" spans="1:101" ht="31.15" customHeight="1">
      <c r="A577" s="845"/>
      <c r="B577" s="846" t="s">
        <v>677</v>
      </c>
      <c r="C577" s="852" t="s">
        <v>1258</v>
      </c>
      <c r="D577" s="846"/>
      <c r="E577" s="845"/>
      <c r="F577" s="853" t="s">
        <v>1010</v>
      </c>
      <c r="G577" s="905" t="s">
        <v>1259</v>
      </c>
      <c r="H577" s="850">
        <f t="shared" si="503"/>
        <v>159949.24</v>
      </c>
      <c r="I577" s="906"/>
      <c r="J577" s="848"/>
      <c r="K577" s="848"/>
      <c r="L577" s="848"/>
      <c r="M577" s="848"/>
      <c r="N577" s="906">
        <v>130356.24</v>
      </c>
      <c r="O577" s="848"/>
      <c r="P577" s="848"/>
      <c r="Q577" s="848"/>
      <c r="R577" s="855">
        <v>29593</v>
      </c>
      <c r="S577" s="848"/>
      <c r="T577" s="855">
        <f t="shared" si="501"/>
        <v>60049</v>
      </c>
      <c r="U577" s="848"/>
      <c r="V577" s="855"/>
      <c r="W577" s="855">
        <v>8800</v>
      </c>
      <c r="X577" s="855"/>
      <c r="Y577" s="855"/>
      <c r="Z577" s="855"/>
      <c r="AA577" s="855"/>
      <c r="AB577" s="855"/>
      <c r="AC577" s="907">
        <v>51249</v>
      </c>
      <c r="AD577" s="848"/>
      <c r="AE577" s="848"/>
      <c r="AF577" s="848"/>
      <c r="AG577" s="848"/>
      <c r="AH577" s="855"/>
      <c r="AI577" s="855">
        <f>AW577</f>
        <v>8800</v>
      </c>
      <c r="AJ577" s="855"/>
      <c r="AK577" s="855"/>
      <c r="AL577" s="855"/>
      <c r="AM577" s="855"/>
      <c r="AN577" s="855"/>
      <c r="AO577" s="855"/>
      <c r="AP577" s="855"/>
      <c r="AQ577" s="855"/>
      <c r="AR577" s="855"/>
      <c r="AS577" s="855"/>
      <c r="AT577" s="855"/>
      <c r="AU577" s="855"/>
      <c r="AV577" s="855"/>
      <c r="AW577" s="855">
        <v>8800</v>
      </c>
      <c r="AX577" s="855"/>
      <c r="AY577" s="855">
        <f t="shared" ref="AY577:AY578" si="554">SUM(AZ577:BN577)</f>
        <v>17420</v>
      </c>
      <c r="AZ577" s="855"/>
      <c r="BA577" s="855"/>
      <c r="BB577" s="855"/>
      <c r="BC577" s="855"/>
      <c r="BD577" s="855"/>
      <c r="BE577" s="855"/>
      <c r="BF577" s="855">
        <f>'[10]bieu cu'!H308</f>
        <v>15735.6</v>
      </c>
      <c r="BG577" s="855"/>
      <c r="BH577" s="855"/>
      <c r="BI577" s="855"/>
      <c r="BJ577" s="855">
        <f>'[10]bieu cu'!H325</f>
        <v>1184.4000000000001</v>
      </c>
      <c r="BK577" s="855">
        <f>'[10]bieu cu'!H137</f>
        <v>500</v>
      </c>
      <c r="BL577" s="855"/>
      <c r="BM577" s="855"/>
      <c r="BN577" s="855"/>
      <c r="BO577" s="848">
        <f t="shared" si="490"/>
        <v>17490.931800000002</v>
      </c>
      <c r="BP577" s="855"/>
      <c r="BQ577" s="855"/>
      <c r="BR577" s="855"/>
      <c r="BS577" s="855">
        <v>70.931799999999996</v>
      </c>
      <c r="BT577" s="855"/>
      <c r="BU577" s="855"/>
      <c r="BV577" s="855"/>
      <c r="BW577" s="855"/>
      <c r="BX577" s="855">
        <f>'[10]bieu cu'!M308</f>
        <v>15735.6</v>
      </c>
      <c r="BY577" s="855"/>
      <c r="BZ577" s="855">
        <f>'[10]bieu cu'!M325</f>
        <v>1184.4000000000001</v>
      </c>
      <c r="CA577" s="855">
        <f>'[10]bieu cu'!M137</f>
        <v>500</v>
      </c>
      <c r="CB577" s="855"/>
      <c r="CC577" s="855"/>
      <c r="CD577" s="855"/>
      <c r="CE577" s="855"/>
      <c r="CF577" s="848">
        <f t="shared" si="550"/>
        <v>100.40718599311138</v>
      </c>
      <c r="CG577" s="848"/>
      <c r="CH577" s="848"/>
      <c r="CI577" s="848"/>
      <c r="CJ577" s="848"/>
      <c r="CK577" s="848"/>
      <c r="CL577" s="848"/>
      <c r="CM577" s="848">
        <f t="shared" si="493"/>
        <v>0</v>
      </c>
      <c r="CN577" s="848"/>
      <c r="CO577" s="848"/>
      <c r="CP577" s="848"/>
      <c r="CQ577" s="848">
        <f t="shared" si="517"/>
        <v>100</v>
      </c>
      <c r="CR577" s="848">
        <f t="shared" si="517"/>
        <v>100</v>
      </c>
      <c r="CS577" s="848"/>
      <c r="CT577" s="848"/>
      <c r="CU577" s="848"/>
      <c r="CV577" s="848"/>
      <c r="CW577" s="848"/>
    </row>
    <row r="578" spans="1:101" ht="31.15" customHeight="1">
      <c r="A578" s="908"/>
      <c r="B578" s="909" t="s">
        <v>677</v>
      </c>
      <c r="C578" s="910" t="s">
        <v>1260</v>
      </c>
      <c r="D578" s="909"/>
      <c r="E578" s="908"/>
      <c r="F578" s="911" t="s">
        <v>1261</v>
      </c>
      <c r="G578" s="912" t="s">
        <v>1262</v>
      </c>
      <c r="H578" s="913">
        <f t="shared" si="503"/>
        <v>217499</v>
      </c>
      <c r="I578" s="913"/>
      <c r="J578" s="914"/>
      <c r="K578" s="914"/>
      <c r="L578" s="914"/>
      <c r="M578" s="914"/>
      <c r="N578" s="913">
        <v>21750</v>
      </c>
      <c r="O578" s="914"/>
      <c r="P578" s="914"/>
      <c r="Q578" s="914"/>
      <c r="R578" s="915">
        <v>195749</v>
      </c>
      <c r="S578" s="914"/>
      <c r="T578" s="915">
        <f t="shared" si="501"/>
        <v>0</v>
      </c>
      <c r="U578" s="914"/>
      <c r="V578" s="915"/>
      <c r="W578" s="915"/>
      <c r="X578" s="915"/>
      <c r="Y578" s="915"/>
      <c r="Z578" s="915"/>
      <c r="AA578" s="915"/>
      <c r="AB578" s="915"/>
      <c r="AC578" s="915"/>
      <c r="AD578" s="914"/>
      <c r="AE578" s="914"/>
      <c r="AF578" s="914"/>
      <c r="AG578" s="914"/>
      <c r="AH578" s="915"/>
      <c r="AI578" s="915"/>
      <c r="AJ578" s="915"/>
      <c r="AK578" s="915"/>
      <c r="AL578" s="915"/>
      <c r="AM578" s="915"/>
      <c r="AN578" s="915"/>
      <c r="AO578" s="915"/>
      <c r="AP578" s="915"/>
      <c r="AQ578" s="915"/>
      <c r="AR578" s="915"/>
      <c r="AS578" s="915"/>
      <c r="AT578" s="915"/>
      <c r="AU578" s="915"/>
      <c r="AV578" s="915"/>
      <c r="AW578" s="915"/>
      <c r="AX578" s="915"/>
      <c r="AY578" s="915">
        <f t="shared" si="554"/>
        <v>48444</v>
      </c>
      <c r="AZ578" s="915"/>
      <c r="BA578" s="915"/>
      <c r="BB578" s="915"/>
      <c r="BC578" s="915">
        <f>'[10]bieu cu'!H297</f>
        <v>20000</v>
      </c>
      <c r="BD578" s="915"/>
      <c r="BE578" s="915"/>
      <c r="BF578" s="915">
        <f>'[10]bieu cu'!H309</f>
        <v>25429.919999999998</v>
      </c>
      <c r="BG578" s="915"/>
      <c r="BH578" s="915"/>
      <c r="BI578" s="915"/>
      <c r="BJ578" s="915">
        <v>1914.08</v>
      </c>
      <c r="BK578" s="915">
        <f>'[10]bieu cu'!H152</f>
        <v>1100</v>
      </c>
      <c r="BL578" s="915"/>
      <c r="BM578" s="915"/>
      <c r="BN578" s="915"/>
      <c r="BO578" s="914">
        <f t="shared" si="490"/>
        <v>47156.228122</v>
      </c>
      <c r="BP578" s="915"/>
      <c r="BQ578" s="915"/>
      <c r="BR578" s="915"/>
      <c r="BS578" s="915">
        <v>19312.228122</v>
      </c>
      <c r="BT578" s="915"/>
      <c r="BU578" s="915"/>
      <c r="BV578" s="915"/>
      <c r="BW578" s="915"/>
      <c r="BX578" s="915">
        <f>'[10]bieu cu'!M309</f>
        <v>25429.919999999998</v>
      </c>
      <c r="BY578" s="915"/>
      <c r="BZ578" s="915">
        <f>'[10]bieu cu'!M326</f>
        <v>1914.08</v>
      </c>
      <c r="CA578" s="915">
        <v>500</v>
      </c>
      <c r="CB578" s="915"/>
      <c r="CC578" s="915"/>
      <c r="CD578" s="915"/>
      <c r="CE578" s="915"/>
      <c r="CF578" s="914">
        <f t="shared" si="550"/>
        <v>97.341730909916606</v>
      </c>
      <c r="CG578" s="914"/>
      <c r="CH578" s="914"/>
      <c r="CI578" s="914"/>
      <c r="CJ578" s="914">
        <f t="shared" si="493"/>
        <v>96.56114061000001</v>
      </c>
      <c r="CK578" s="914"/>
      <c r="CL578" s="914"/>
      <c r="CM578" s="914">
        <f t="shared" si="493"/>
        <v>0</v>
      </c>
      <c r="CN578" s="914"/>
      <c r="CO578" s="914"/>
      <c r="CP578" s="914"/>
      <c r="CQ578" s="914">
        <f t="shared" si="517"/>
        <v>100</v>
      </c>
      <c r="CR578" s="914">
        <f t="shared" si="517"/>
        <v>45.454545454545453</v>
      </c>
      <c r="CS578" s="914"/>
      <c r="CT578" s="914"/>
      <c r="CU578" s="914"/>
      <c r="CV578" s="914"/>
      <c r="CW578" s="914"/>
    </row>
    <row r="579" spans="1:101" ht="14.1" customHeight="1"/>
    <row r="580" spans="1:101" ht="17.25" customHeight="1">
      <c r="CL580" s="1685" t="s">
        <v>1709</v>
      </c>
      <c r="CM580" s="1685"/>
      <c r="CN580" s="1685"/>
      <c r="CO580" s="1685"/>
      <c r="CP580" s="1685"/>
      <c r="CQ580" s="1685"/>
      <c r="CR580" s="1685"/>
      <c r="CS580" s="1685"/>
      <c r="CT580" s="1685"/>
      <c r="CU580" s="1685"/>
      <c r="CV580" s="1685"/>
      <c r="CW580" s="1685"/>
    </row>
    <row r="581" spans="1:101" ht="18.75" customHeight="1">
      <c r="CL581" s="1686" t="s">
        <v>222</v>
      </c>
      <c r="CM581" s="1686"/>
      <c r="CN581" s="1686"/>
      <c r="CO581" s="1686"/>
      <c r="CP581" s="1686"/>
      <c r="CQ581" s="1686"/>
      <c r="CR581" s="1686"/>
      <c r="CS581" s="1686"/>
      <c r="CT581" s="1686"/>
      <c r="CU581" s="1686"/>
      <c r="CV581" s="1686"/>
      <c r="CW581" s="1686"/>
    </row>
    <row r="582" spans="1:101" ht="19.5" customHeight="1">
      <c r="CL582" s="1686" t="s">
        <v>223</v>
      </c>
      <c r="CM582" s="1686"/>
      <c r="CN582" s="1686"/>
      <c r="CO582" s="1686"/>
      <c r="CP582" s="1686"/>
      <c r="CQ582" s="1686"/>
      <c r="CR582" s="1686"/>
      <c r="CS582" s="1686"/>
      <c r="CT582" s="1686"/>
      <c r="CU582" s="1686"/>
      <c r="CV582" s="1686"/>
      <c r="CW582" s="1686"/>
    </row>
    <row r="583" spans="1:101" ht="17.25" customHeight="1">
      <c r="CL583" s="1682" t="s">
        <v>224</v>
      </c>
      <c r="CM583" s="1682"/>
      <c r="CN583" s="1682"/>
      <c r="CO583" s="1682"/>
      <c r="CP583" s="1682"/>
      <c r="CQ583" s="1682"/>
      <c r="CR583" s="1682"/>
      <c r="CS583" s="1682"/>
      <c r="CT583" s="1682"/>
      <c r="CU583" s="1682"/>
      <c r="CV583" s="1682"/>
      <c r="CW583" s="1682"/>
    </row>
    <row r="584" spans="1:101" ht="14.1" customHeight="1"/>
    <row r="585" spans="1:101" ht="14.1" customHeight="1"/>
    <row r="586" spans="1:101" ht="14.1" customHeight="1"/>
    <row r="587" spans="1:101" ht="14.1" customHeight="1"/>
    <row r="588" spans="1:101" ht="14.1" customHeight="1"/>
    <row r="589" spans="1:101" ht="14.1" customHeight="1"/>
    <row r="590" spans="1:101" ht="14.1" customHeight="1"/>
    <row r="591" spans="1:101" ht="14.1" customHeight="1"/>
    <row r="592" spans="1:101" ht="14.1" customHeight="1"/>
    <row r="593" ht="14.1" customHeight="1"/>
    <row r="594" ht="14.1" customHeight="1"/>
    <row r="595" ht="14.1" customHeight="1"/>
  </sheetData>
  <mergeCells count="35">
    <mergeCell ref="G5:S5"/>
    <mergeCell ref="G6:G8"/>
    <mergeCell ref="H6:S6"/>
    <mergeCell ref="H7:H8"/>
    <mergeCell ref="I7:S7"/>
    <mergeCell ref="CQ1:CW1"/>
    <mergeCell ref="CR4:CW4"/>
    <mergeCell ref="A2:CW2"/>
    <mergeCell ref="A1:G1"/>
    <mergeCell ref="F5:F8"/>
    <mergeCell ref="A3:CW3"/>
    <mergeCell ref="C5:C8"/>
    <mergeCell ref="D5:D8"/>
    <mergeCell ref="E5:E8"/>
    <mergeCell ref="T5:AH6"/>
    <mergeCell ref="AI5:AX6"/>
    <mergeCell ref="AY5:BN6"/>
    <mergeCell ref="BO5:CE6"/>
    <mergeCell ref="CF5:CW6"/>
    <mergeCell ref="A5:A8"/>
    <mergeCell ref="B5:B8"/>
    <mergeCell ref="CL582:CW582"/>
    <mergeCell ref="CL583:CW583"/>
    <mergeCell ref="T7:T8"/>
    <mergeCell ref="BP7:CE7"/>
    <mergeCell ref="CF7:CF8"/>
    <mergeCell ref="CG7:CW7"/>
    <mergeCell ref="AY7:AY8"/>
    <mergeCell ref="AZ7:BN7"/>
    <mergeCell ref="BO7:BO8"/>
    <mergeCell ref="CL580:CW580"/>
    <mergeCell ref="CL581:CW581"/>
    <mergeCell ref="U7:AH7"/>
    <mergeCell ref="AI7:AI8"/>
    <mergeCell ref="AJ7:AX7"/>
  </mergeCells>
  <pageMargins left="0.44" right="0.196850393700787" top="0.35433070866141703" bottom="0.196850393700787" header="0.31496062992126" footer="0.31496062992126"/>
  <pageSetup paperSize="66" scale="37" firstPageNumber="42" fitToHeight="0" orientation="landscape" useFirstPageNumber="1" r:id="rId1"/>
  <headerFooter>
    <oddFooter>&amp;C&amp;P</oddFooter>
  </headerFooter>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25"/>
  <sheetViews>
    <sheetView zoomScale="120" zoomScaleNormal="120" workbookViewId="0">
      <selection activeCell="D13" sqref="D13"/>
    </sheetView>
  </sheetViews>
  <sheetFormatPr defaultRowHeight="15"/>
  <cols>
    <col min="1" max="1" width="7.28515625" customWidth="1"/>
    <col min="2" max="2" width="42" customWidth="1"/>
    <col min="3" max="3" width="15.7109375" customWidth="1"/>
    <col min="4" max="4" width="15.28515625" customWidth="1"/>
    <col min="5" max="5" width="9.7109375" customWidth="1"/>
  </cols>
  <sheetData>
    <row r="1" spans="1:5" ht="24" customHeight="1">
      <c r="A1" s="1823" t="s">
        <v>221</v>
      </c>
      <c r="B1" s="1823"/>
      <c r="D1" s="1824" t="s">
        <v>1703</v>
      </c>
      <c r="E1" s="1824"/>
    </row>
    <row r="2" spans="1:5" ht="18" customHeight="1">
      <c r="A2" s="1825" t="s">
        <v>228</v>
      </c>
      <c r="B2" s="1825"/>
      <c r="C2" s="1825"/>
      <c r="D2" s="1825"/>
      <c r="E2" s="1825"/>
    </row>
    <row r="3" spans="1:5" ht="18.75" customHeight="1">
      <c r="A3" s="1825" t="s">
        <v>213</v>
      </c>
      <c r="B3" s="1825"/>
      <c r="C3" s="1825"/>
      <c r="D3" s="1825"/>
      <c r="E3" s="1825"/>
    </row>
    <row r="4" spans="1:5" ht="20.25" customHeight="1">
      <c r="A4" s="1825" t="s">
        <v>24</v>
      </c>
      <c r="B4" s="1825"/>
      <c r="C4" s="1825"/>
      <c r="D4" s="1825"/>
      <c r="E4" s="1825"/>
    </row>
    <row r="5" spans="1:5" ht="20.25" customHeight="1">
      <c r="A5" s="1826" t="e">
        <f>#REF!</f>
        <v>#REF!</v>
      </c>
      <c r="B5" s="1826"/>
      <c r="C5" s="1826"/>
      <c r="D5" s="1826"/>
      <c r="E5" s="1826"/>
    </row>
    <row r="6" spans="1:5" ht="15.75">
      <c r="E6" s="1" t="s">
        <v>5</v>
      </c>
    </row>
    <row r="7" spans="1:5" ht="39" customHeight="1">
      <c r="A7" s="311" t="s">
        <v>0</v>
      </c>
      <c r="B7" s="311" t="s">
        <v>1</v>
      </c>
      <c r="C7" s="311" t="s">
        <v>1704</v>
      </c>
      <c r="D7" s="311" t="s">
        <v>1705</v>
      </c>
      <c r="E7" s="311" t="s">
        <v>75</v>
      </c>
    </row>
    <row r="8" spans="1:5" s="6" customFormat="1" ht="18" customHeight="1">
      <c r="A8" s="5" t="s">
        <v>2</v>
      </c>
      <c r="B8" s="5" t="s">
        <v>3</v>
      </c>
      <c r="C8" s="5">
        <v>1</v>
      </c>
      <c r="D8" s="5">
        <v>2</v>
      </c>
      <c r="E8" s="5" t="s">
        <v>54</v>
      </c>
    </row>
    <row r="9" spans="1:5" ht="24.95" customHeight="1">
      <c r="A9" s="2"/>
      <c r="B9" s="311" t="s">
        <v>27</v>
      </c>
      <c r="C9" s="356">
        <f>C10+SUM(C13:C20)</f>
        <v>310101.3</v>
      </c>
      <c r="D9" s="356">
        <f>D10+SUM(D13:D20)</f>
        <v>362185.10000000003</v>
      </c>
      <c r="E9" s="357">
        <f>D9/C9%</f>
        <v>116.79573739291001</v>
      </c>
    </row>
    <row r="10" spans="1:5" ht="24.95" customHeight="1">
      <c r="A10" s="2">
        <v>1</v>
      </c>
      <c r="B10" s="3" t="s">
        <v>127</v>
      </c>
      <c r="C10" s="358">
        <f>C11+C12</f>
        <v>21915.5</v>
      </c>
      <c r="D10" s="358">
        <f>D11+D12</f>
        <v>24920.799999999999</v>
      </c>
      <c r="E10" s="359">
        <f t="shared" ref="E10:E20" si="0">D10/C10%</f>
        <v>113.7131254135201</v>
      </c>
    </row>
    <row r="11" spans="1:5" ht="24.95" customHeight="1">
      <c r="A11" s="2" t="s">
        <v>4</v>
      </c>
      <c r="B11" s="4" t="s">
        <v>128</v>
      </c>
      <c r="C11" s="358">
        <f>2200+5243.5</f>
        <v>7443.5</v>
      </c>
      <c r="D11" s="358">
        <f>1632+6228</f>
        <v>7860</v>
      </c>
      <c r="E11" s="359">
        <f t="shared" si="0"/>
        <v>105.59548599449184</v>
      </c>
    </row>
    <row r="12" spans="1:5" ht="24.95" customHeight="1">
      <c r="A12" s="2" t="s">
        <v>4</v>
      </c>
      <c r="B12" s="4" t="s">
        <v>129</v>
      </c>
      <c r="C12" s="358">
        <f>13571+901</f>
        <v>14472</v>
      </c>
      <c r="D12" s="358">
        <f>16194+866.8</f>
        <v>17060.8</v>
      </c>
      <c r="E12" s="359">
        <f t="shared" si="0"/>
        <v>117.88833609729132</v>
      </c>
    </row>
    <row r="13" spans="1:5" ht="24.95" customHeight="1">
      <c r="A13" s="2">
        <v>2</v>
      </c>
      <c r="B13" s="3" t="s">
        <v>130</v>
      </c>
      <c r="C13" s="358">
        <v>190</v>
      </c>
      <c r="D13" s="358">
        <v>190</v>
      </c>
      <c r="E13" s="359">
        <f t="shared" si="0"/>
        <v>100</v>
      </c>
    </row>
    <row r="14" spans="1:5" ht="24.95" customHeight="1">
      <c r="A14" s="2">
        <v>3</v>
      </c>
      <c r="B14" s="3" t="s">
        <v>131</v>
      </c>
      <c r="C14" s="358">
        <f>261420</f>
        <v>261420</v>
      </c>
      <c r="D14" s="358">
        <v>290280</v>
      </c>
      <c r="E14" s="359">
        <f t="shared" si="0"/>
        <v>111.03970621987607</v>
      </c>
    </row>
    <row r="15" spans="1:5" ht="24.95" customHeight="1">
      <c r="A15" s="2">
        <v>4</v>
      </c>
      <c r="B15" s="3" t="s">
        <v>132</v>
      </c>
      <c r="C15" s="358">
        <f>337</f>
        <v>337</v>
      </c>
      <c r="D15" s="358">
        <v>402</v>
      </c>
      <c r="E15" s="359">
        <f t="shared" si="0"/>
        <v>119.28783382789317</v>
      </c>
    </row>
    <row r="16" spans="1:5" ht="24.95" customHeight="1">
      <c r="A16" s="2">
        <v>5</v>
      </c>
      <c r="B16" s="3" t="s">
        <v>133</v>
      </c>
      <c r="C16" s="358">
        <f>2200+207</f>
        <v>2407</v>
      </c>
      <c r="D16" s="358">
        <f>5644+205.5</f>
        <v>5849.5</v>
      </c>
      <c r="E16" s="359">
        <f t="shared" si="0"/>
        <v>243.02035729123389</v>
      </c>
    </row>
    <row r="17" spans="1:6" ht="24.95" customHeight="1">
      <c r="A17" s="2">
        <v>6</v>
      </c>
      <c r="B17" s="3" t="s">
        <v>134</v>
      </c>
      <c r="C17" s="358">
        <v>519</v>
      </c>
      <c r="D17" s="358">
        <v>519</v>
      </c>
      <c r="E17" s="359">
        <f t="shared" si="0"/>
        <v>99.999999999999986</v>
      </c>
    </row>
    <row r="18" spans="1:6" ht="24.95" customHeight="1">
      <c r="A18" s="2">
        <v>7</v>
      </c>
      <c r="B18" s="3" t="s">
        <v>1706</v>
      </c>
      <c r="C18" s="358">
        <f>13819+2196.3</f>
        <v>16015.3</v>
      </c>
      <c r="D18" s="358">
        <f>23873+1601.4</f>
        <v>25474.400000000001</v>
      </c>
      <c r="E18" s="359">
        <f t="shared" si="0"/>
        <v>159.06289610559904</v>
      </c>
    </row>
    <row r="19" spans="1:6" ht="24.95" customHeight="1">
      <c r="A19" s="2">
        <v>8</v>
      </c>
      <c r="B19" s="3" t="s">
        <v>1707</v>
      </c>
      <c r="C19" s="358">
        <v>562.20000000000005</v>
      </c>
      <c r="D19" s="358">
        <v>1154.9000000000001</v>
      </c>
      <c r="E19" s="359">
        <f t="shared" si="0"/>
        <v>205.42511561721807</v>
      </c>
    </row>
    <row r="20" spans="1:6" ht="24.95" customHeight="1">
      <c r="A20" s="2">
        <v>9</v>
      </c>
      <c r="B20" s="3" t="s">
        <v>1708</v>
      </c>
      <c r="C20" s="358">
        <f>6501+234.3</f>
        <v>6735.3</v>
      </c>
      <c r="D20" s="358">
        <f>12566+828.5</f>
        <v>13394.5</v>
      </c>
      <c r="E20" s="359">
        <f t="shared" si="0"/>
        <v>198.87013199115108</v>
      </c>
    </row>
    <row r="21" spans="1:6" ht="11.25" customHeight="1"/>
    <row r="22" spans="1:6" ht="15.75" customHeight="1">
      <c r="C22" s="1685" t="s">
        <v>1709</v>
      </c>
      <c r="D22" s="1685"/>
      <c r="E22" s="1685"/>
      <c r="F22" s="222"/>
    </row>
    <row r="23" spans="1:6" ht="15.75" customHeight="1">
      <c r="C23" s="1686" t="s">
        <v>222</v>
      </c>
      <c r="D23" s="1686"/>
      <c r="E23" s="1686"/>
      <c r="F23" s="223"/>
    </row>
    <row r="24" spans="1:6" ht="15.75" customHeight="1">
      <c r="C24" s="1686" t="s">
        <v>223</v>
      </c>
      <c r="D24" s="1686"/>
      <c r="E24" s="1686"/>
      <c r="F24" s="223"/>
    </row>
    <row r="25" spans="1:6" ht="15.75" customHeight="1">
      <c r="C25" s="1682" t="s">
        <v>224</v>
      </c>
      <c r="D25" s="1682"/>
      <c r="E25" s="1682"/>
      <c r="F25" s="224"/>
    </row>
  </sheetData>
  <mergeCells count="10">
    <mergeCell ref="C23:E23"/>
    <mergeCell ref="C24:E24"/>
    <mergeCell ref="C25:E25"/>
    <mergeCell ref="A1:B1"/>
    <mergeCell ref="D1:E1"/>
    <mergeCell ref="A2:E2"/>
    <mergeCell ref="A3:E3"/>
    <mergeCell ref="A4:E4"/>
    <mergeCell ref="C22:E22"/>
    <mergeCell ref="A5:E5"/>
  </mergeCells>
  <pageMargins left="0.55000000000000004" right="0.49" top="0.75" bottom="0.66" header="0.3" footer="0.38"/>
  <pageSetup paperSize="9" firstPageNumber="58" orientation="portrait" useFirstPageNumber="1" r:id="rId1"/>
  <headerFooter>
    <oddFooter>&amp;C&amp;P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Y38"/>
  <sheetViews>
    <sheetView topLeftCell="A5" zoomScale="110" zoomScaleNormal="110" workbookViewId="0">
      <pane xSplit="11" ySplit="5" topLeftCell="L34" activePane="bottomRight" state="frozen"/>
      <selection activeCell="A5" sqref="A5"/>
      <selection pane="topRight" activeCell="L5" sqref="L5"/>
      <selection pane="bottomLeft" activeCell="A10" sqref="A10"/>
      <selection pane="bottomRight" activeCell="O17" sqref="O17"/>
    </sheetView>
  </sheetViews>
  <sheetFormatPr defaultRowHeight="20.100000000000001" customHeight="1"/>
  <cols>
    <col min="1" max="1" width="4.85546875" style="238" customWidth="1"/>
    <col min="2" max="2" width="30.7109375" style="290" customWidth="1"/>
    <col min="3" max="8" width="11" style="238" hidden="1" customWidth="1"/>
    <col min="9" max="9" width="12.7109375" style="291" customWidth="1"/>
    <col min="10" max="10" width="12.85546875" style="291" customWidth="1"/>
    <col min="11" max="11" width="11" style="291" customWidth="1"/>
    <col min="12" max="12" width="11.7109375" style="238" customWidth="1"/>
    <col min="13" max="13" width="12.140625" style="238" customWidth="1"/>
    <col min="14" max="14" width="11" style="238" hidden="1" customWidth="1"/>
    <col min="15" max="15" width="11" style="238" customWidth="1"/>
    <col min="16" max="16" width="11" style="238" hidden="1" customWidth="1"/>
    <col min="17" max="18" width="11.7109375" style="238" customWidth="1"/>
    <col min="19" max="19" width="11" style="238" hidden="1" customWidth="1"/>
    <col min="20" max="20" width="11" style="238" customWidth="1"/>
    <col min="21" max="21" width="11" style="238" hidden="1" customWidth="1"/>
    <col min="22" max="23" width="11.7109375" style="238" customWidth="1"/>
    <col min="24" max="24" width="11" style="239" hidden="1" customWidth="1"/>
    <col min="25" max="25" width="11" style="239" customWidth="1"/>
    <col min="26" max="26" width="11" style="239" hidden="1" customWidth="1"/>
    <col min="27" max="27" width="11.85546875" style="238" customWidth="1"/>
    <col min="28" max="28" width="11.7109375" style="238" customWidth="1"/>
    <col min="29" max="29" width="11" style="238" hidden="1" customWidth="1"/>
    <col min="30" max="30" width="11" style="238" customWidth="1"/>
    <col min="31" max="31" width="11" style="238" hidden="1" customWidth="1"/>
    <col min="32" max="32" width="11.7109375" style="238" customWidth="1"/>
    <col min="33" max="33" width="11.85546875" style="238" customWidth="1"/>
    <col min="34" max="34" width="11" style="238" hidden="1" customWidth="1"/>
    <col min="35" max="35" width="11" style="238" customWidth="1"/>
    <col min="36" max="36" width="11" style="238" hidden="1" customWidth="1"/>
    <col min="37" max="38" width="11" style="238" customWidth="1"/>
    <col min="39" max="39" width="11" style="238" hidden="1" customWidth="1"/>
    <col min="40" max="40" width="11" style="238" customWidth="1"/>
    <col min="41" max="41" width="11" style="238" hidden="1" customWidth="1"/>
    <col min="42" max="42" width="11.5703125" style="238" customWidth="1"/>
    <col min="43" max="43" width="11.7109375" style="238" customWidth="1"/>
    <col min="44" max="44" width="11" style="238" hidden="1" customWidth="1"/>
    <col min="45" max="45" width="11" style="238" customWidth="1"/>
    <col min="46" max="46" width="11" style="238" hidden="1" customWidth="1"/>
    <col min="47" max="48" width="11.7109375" style="238" customWidth="1"/>
    <col min="49" max="49" width="10.28515625" style="238" hidden="1" customWidth="1"/>
    <col min="50" max="50" width="10.28515625" style="238" customWidth="1"/>
    <col min="51" max="51" width="10.28515625" style="238" hidden="1" customWidth="1"/>
    <col min="52" max="52" width="16.85546875" style="238" customWidth="1"/>
    <col min="53" max="54" width="10.28515625" style="238" customWidth="1"/>
    <col min="55" max="256" width="9.140625" style="238"/>
    <col min="257" max="257" width="4.85546875" style="238" customWidth="1"/>
    <col min="258" max="258" width="30.7109375" style="238" customWidth="1"/>
    <col min="259" max="264" width="0" style="238" hidden="1" customWidth="1"/>
    <col min="265" max="265" width="12.7109375" style="238" customWidth="1"/>
    <col min="266" max="266" width="12.85546875" style="238" customWidth="1"/>
    <col min="267" max="267" width="11" style="238" customWidth="1"/>
    <col min="268" max="268" width="11.7109375" style="238" customWidth="1"/>
    <col min="269" max="269" width="12.140625" style="238" customWidth="1"/>
    <col min="270" max="270" width="0" style="238" hidden="1" customWidth="1"/>
    <col min="271" max="271" width="11" style="238" customWidth="1"/>
    <col min="272" max="272" width="0" style="238" hidden="1" customWidth="1"/>
    <col min="273" max="274" width="11.7109375" style="238" customWidth="1"/>
    <col min="275" max="275" width="0" style="238" hidden="1" customWidth="1"/>
    <col min="276" max="276" width="11" style="238" customWidth="1"/>
    <col min="277" max="277" width="0" style="238" hidden="1" customWidth="1"/>
    <col min="278" max="279" width="11.7109375" style="238" customWidth="1"/>
    <col min="280" max="280" width="0" style="238" hidden="1" customWidth="1"/>
    <col min="281" max="281" width="11" style="238" customWidth="1"/>
    <col min="282" max="282" width="0" style="238" hidden="1" customWidth="1"/>
    <col min="283" max="283" width="11.85546875" style="238" customWidth="1"/>
    <col min="284" max="284" width="11.7109375" style="238" customWidth="1"/>
    <col min="285" max="285" width="0" style="238" hidden="1" customWidth="1"/>
    <col min="286" max="286" width="11" style="238" customWidth="1"/>
    <col min="287" max="287" width="0" style="238" hidden="1" customWidth="1"/>
    <col min="288" max="288" width="11.7109375" style="238" customWidth="1"/>
    <col min="289" max="289" width="11.85546875" style="238" customWidth="1"/>
    <col min="290" max="290" width="0" style="238" hidden="1" customWidth="1"/>
    <col min="291" max="291" width="11" style="238" customWidth="1"/>
    <col min="292" max="292" width="0" style="238" hidden="1" customWidth="1"/>
    <col min="293" max="294" width="11" style="238" customWidth="1"/>
    <col min="295" max="295" width="0" style="238" hidden="1" customWidth="1"/>
    <col min="296" max="296" width="11" style="238" customWidth="1"/>
    <col min="297" max="297" width="0" style="238" hidden="1" customWidth="1"/>
    <col min="298" max="298" width="11.5703125" style="238" customWidth="1"/>
    <col min="299" max="299" width="11.7109375" style="238" customWidth="1"/>
    <col min="300" max="300" width="0" style="238" hidden="1" customWidth="1"/>
    <col min="301" max="301" width="11" style="238" customWidth="1"/>
    <col min="302" max="302" width="0" style="238" hidden="1" customWidth="1"/>
    <col min="303" max="304" width="11.7109375" style="238" customWidth="1"/>
    <col min="305" max="305" width="0" style="238" hidden="1" customWidth="1"/>
    <col min="306" max="306" width="10.28515625" style="238" customWidth="1"/>
    <col min="307" max="307" width="0" style="238" hidden="1" customWidth="1"/>
    <col min="308" max="308" width="16.85546875" style="238" customWidth="1"/>
    <col min="309" max="310" width="10.28515625" style="238" customWidth="1"/>
    <col min="311" max="512" width="9.140625" style="238"/>
    <col min="513" max="513" width="4.85546875" style="238" customWidth="1"/>
    <col min="514" max="514" width="30.7109375" style="238" customWidth="1"/>
    <col min="515" max="520" width="0" style="238" hidden="1" customWidth="1"/>
    <col min="521" max="521" width="12.7109375" style="238" customWidth="1"/>
    <col min="522" max="522" width="12.85546875" style="238" customWidth="1"/>
    <col min="523" max="523" width="11" style="238" customWidth="1"/>
    <col min="524" max="524" width="11.7109375" style="238" customWidth="1"/>
    <col min="525" max="525" width="12.140625" style="238" customWidth="1"/>
    <col min="526" max="526" width="0" style="238" hidden="1" customWidth="1"/>
    <col min="527" max="527" width="11" style="238" customWidth="1"/>
    <col min="528" max="528" width="0" style="238" hidden="1" customWidth="1"/>
    <col min="529" max="530" width="11.7109375" style="238" customWidth="1"/>
    <col min="531" max="531" width="0" style="238" hidden="1" customWidth="1"/>
    <col min="532" max="532" width="11" style="238" customWidth="1"/>
    <col min="533" max="533" width="0" style="238" hidden="1" customWidth="1"/>
    <col min="534" max="535" width="11.7109375" style="238" customWidth="1"/>
    <col min="536" max="536" width="0" style="238" hidden="1" customWidth="1"/>
    <col min="537" max="537" width="11" style="238" customWidth="1"/>
    <col min="538" max="538" width="0" style="238" hidden="1" customWidth="1"/>
    <col min="539" max="539" width="11.85546875" style="238" customWidth="1"/>
    <col min="540" max="540" width="11.7109375" style="238" customWidth="1"/>
    <col min="541" max="541" width="0" style="238" hidden="1" customWidth="1"/>
    <col min="542" max="542" width="11" style="238" customWidth="1"/>
    <col min="543" max="543" width="0" style="238" hidden="1" customWidth="1"/>
    <col min="544" max="544" width="11.7109375" style="238" customWidth="1"/>
    <col min="545" max="545" width="11.85546875" style="238" customWidth="1"/>
    <col min="546" max="546" width="0" style="238" hidden="1" customWidth="1"/>
    <col min="547" max="547" width="11" style="238" customWidth="1"/>
    <col min="548" max="548" width="0" style="238" hidden="1" customWidth="1"/>
    <col min="549" max="550" width="11" style="238" customWidth="1"/>
    <col min="551" max="551" width="0" style="238" hidden="1" customWidth="1"/>
    <col min="552" max="552" width="11" style="238" customWidth="1"/>
    <col min="553" max="553" width="0" style="238" hidden="1" customWidth="1"/>
    <col min="554" max="554" width="11.5703125" style="238" customWidth="1"/>
    <col min="555" max="555" width="11.7109375" style="238" customWidth="1"/>
    <col min="556" max="556" width="0" style="238" hidden="1" customWidth="1"/>
    <col min="557" max="557" width="11" style="238" customWidth="1"/>
    <col min="558" max="558" width="0" style="238" hidden="1" customWidth="1"/>
    <col min="559" max="560" width="11.7109375" style="238" customWidth="1"/>
    <col min="561" max="561" width="0" style="238" hidden="1" customWidth="1"/>
    <col min="562" max="562" width="10.28515625" style="238" customWidth="1"/>
    <col min="563" max="563" width="0" style="238" hidden="1" customWidth="1"/>
    <col min="564" max="564" width="16.85546875" style="238" customWidth="1"/>
    <col min="565" max="566" width="10.28515625" style="238" customWidth="1"/>
    <col min="567" max="768" width="9.140625" style="238"/>
    <col min="769" max="769" width="4.85546875" style="238" customWidth="1"/>
    <col min="770" max="770" width="30.7109375" style="238" customWidth="1"/>
    <col min="771" max="776" width="0" style="238" hidden="1" customWidth="1"/>
    <col min="777" max="777" width="12.7109375" style="238" customWidth="1"/>
    <col min="778" max="778" width="12.85546875" style="238" customWidth="1"/>
    <col min="779" max="779" width="11" style="238" customWidth="1"/>
    <col min="780" max="780" width="11.7109375" style="238" customWidth="1"/>
    <col min="781" max="781" width="12.140625" style="238" customWidth="1"/>
    <col min="782" max="782" width="0" style="238" hidden="1" customWidth="1"/>
    <col min="783" max="783" width="11" style="238" customWidth="1"/>
    <col min="784" max="784" width="0" style="238" hidden="1" customWidth="1"/>
    <col min="785" max="786" width="11.7109375" style="238" customWidth="1"/>
    <col min="787" max="787" width="0" style="238" hidden="1" customWidth="1"/>
    <col min="788" max="788" width="11" style="238" customWidth="1"/>
    <col min="789" max="789" width="0" style="238" hidden="1" customWidth="1"/>
    <col min="790" max="791" width="11.7109375" style="238" customWidth="1"/>
    <col min="792" max="792" width="0" style="238" hidden="1" customWidth="1"/>
    <col min="793" max="793" width="11" style="238" customWidth="1"/>
    <col min="794" max="794" width="0" style="238" hidden="1" customWidth="1"/>
    <col min="795" max="795" width="11.85546875" style="238" customWidth="1"/>
    <col min="796" max="796" width="11.7109375" style="238" customWidth="1"/>
    <col min="797" max="797" width="0" style="238" hidden="1" customWidth="1"/>
    <col min="798" max="798" width="11" style="238" customWidth="1"/>
    <col min="799" max="799" width="0" style="238" hidden="1" customWidth="1"/>
    <col min="800" max="800" width="11.7109375" style="238" customWidth="1"/>
    <col min="801" max="801" width="11.85546875" style="238" customWidth="1"/>
    <col min="802" max="802" width="0" style="238" hidden="1" customWidth="1"/>
    <col min="803" max="803" width="11" style="238" customWidth="1"/>
    <col min="804" max="804" width="0" style="238" hidden="1" customWidth="1"/>
    <col min="805" max="806" width="11" style="238" customWidth="1"/>
    <col min="807" max="807" width="0" style="238" hidden="1" customWidth="1"/>
    <col min="808" max="808" width="11" style="238" customWidth="1"/>
    <col min="809" max="809" width="0" style="238" hidden="1" customWidth="1"/>
    <col min="810" max="810" width="11.5703125" style="238" customWidth="1"/>
    <col min="811" max="811" width="11.7109375" style="238" customWidth="1"/>
    <col min="812" max="812" width="0" style="238" hidden="1" customWidth="1"/>
    <col min="813" max="813" width="11" style="238" customWidth="1"/>
    <col min="814" max="814" width="0" style="238" hidden="1" customWidth="1"/>
    <col min="815" max="816" width="11.7109375" style="238" customWidth="1"/>
    <col min="817" max="817" width="0" style="238" hidden="1" customWidth="1"/>
    <col min="818" max="818" width="10.28515625" style="238" customWidth="1"/>
    <col min="819" max="819" width="0" style="238" hidden="1" customWidth="1"/>
    <col min="820" max="820" width="16.85546875" style="238" customWidth="1"/>
    <col min="821" max="822" width="10.28515625" style="238" customWidth="1"/>
    <col min="823" max="1024" width="9.140625" style="238"/>
    <col min="1025" max="1025" width="4.85546875" style="238" customWidth="1"/>
    <col min="1026" max="1026" width="30.7109375" style="238" customWidth="1"/>
    <col min="1027" max="1032" width="0" style="238" hidden="1" customWidth="1"/>
    <col min="1033" max="1033" width="12.7109375" style="238" customWidth="1"/>
    <col min="1034" max="1034" width="12.85546875" style="238" customWidth="1"/>
    <col min="1035" max="1035" width="11" style="238" customWidth="1"/>
    <col min="1036" max="1036" width="11.7109375" style="238" customWidth="1"/>
    <col min="1037" max="1037" width="12.140625" style="238" customWidth="1"/>
    <col min="1038" max="1038" width="0" style="238" hidden="1" customWidth="1"/>
    <col min="1039" max="1039" width="11" style="238" customWidth="1"/>
    <col min="1040" max="1040" width="0" style="238" hidden="1" customWidth="1"/>
    <col min="1041" max="1042" width="11.7109375" style="238" customWidth="1"/>
    <col min="1043" max="1043" width="0" style="238" hidden="1" customWidth="1"/>
    <col min="1044" max="1044" width="11" style="238" customWidth="1"/>
    <col min="1045" max="1045" width="0" style="238" hidden="1" customWidth="1"/>
    <col min="1046" max="1047" width="11.7109375" style="238" customWidth="1"/>
    <col min="1048" max="1048" width="0" style="238" hidden="1" customWidth="1"/>
    <col min="1049" max="1049" width="11" style="238" customWidth="1"/>
    <col min="1050" max="1050" width="0" style="238" hidden="1" customWidth="1"/>
    <col min="1051" max="1051" width="11.85546875" style="238" customWidth="1"/>
    <col min="1052" max="1052" width="11.7109375" style="238" customWidth="1"/>
    <col min="1053" max="1053" width="0" style="238" hidden="1" customWidth="1"/>
    <col min="1054" max="1054" width="11" style="238" customWidth="1"/>
    <col min="1055" max="1055" width="0" style="238" hidden="1" customWidth="1"/>
    <col min="1056" max="1056" width="11.7109375" style="238" customWidth="1"/>
    <col min="1057" max="1057" width="11.85546875" style="238" customWidth="1"/>
    <col min="1058" max="1058" width="0" style="238" hidden="1" customWidth="1"/>
    <col min="1059" max="1059" width="11" style="238" customWidth="1"/>
    <col min="1060" max="1060" width="0" style="238" hidden="1" customWidth="1"/>
    <col min="1061" max="1062" width="11" style="238" customWidth="1"/>
    <col min="1063" max="1063" width="0" style="238" hidden="1" customWidth="1"/>
    <col min="1064" max="1064" width="11" style="238" customWidth="1"/>
    <col min="1065" max="1065" width="0" style="238" hidden="1" customWidth="1"/>
    <col min="1066" max="1066" width="11.5703125" style="238" customWidth="1"/>
    <col min="1067" max="1067" width="11.7109375" style="238" customWidth="1"/>
    <col min="1068" max="1068" width="0" style="238" hidden="1" customWidth="1"/>
    <col min="1069" max="1069" width="11" style="238" customWidth="1"/>
    <col min="1070" max="1070" width="0" style="238" hidden="1" customWidth="1"/>
    <col min="1071" max="1072" width="11.7109375" style="238" customWidth="1"/>
    <col min="1073" max="1073" width="0" style="238" hidden="1" customWidth="1"/>
    <col min="1074" max="1074" width="10.28515625" style="238" customWidth="1"/>
    <col min="1075" max="1075" width="0" style="238" hidden="1" customWidth="1"/>
    <col min="1076" max="1076" width="16.85546875" style="238" customWidth="1"/>
    <col min="1077" max="1078" width="10.28515625" style="238" customWidth="1"/>
    <col min="1079" max="1280" width="9.140625" style="238"/>
    <col min="1281" max="1281" width="4.85546875" style="238" customWidth="1"/>
    <col min="1282" max="1282" width="30.7109375" style="238" customWidth="1"/>
    <col min="1283" max="1288" width="0" style="238" hidden="1" customWidth="1"/>
    <col min="1289" max="1289" width="12.7109375" style="238" customWidth="1"/>
    <col min="1290" max="1290" width="12.85546875" style="238" customWidth="1"/>
    <col min="1291" max="1291" width="11" style="238" customWidth="1"/>
    <col min="1292" max="1292" width="11.7109375" style="238" customWidth="1"/>
    <col min="1293" max="1293" width="12.140625" style="238" customWidth="1"/>
    <col min="1294" max="1294" width="0" style="238" hidden="1" customWidth="1"/>
    <col min="1295" max="1295" width="11" style="238" customWidth="1"/>
    <col min="1296" max="1296" width="0" style="238" hidden="1" customWidth="1"/>
    <col min="1297" max="1298" width="11.7109375" style="238" customWidth="1"/>
    <col min="1299" max="1299" width="0" style="238" hidden="1" customWidth="1"/>
    <col min="1300" max="1300" width="11" style="238" customWidth="1"/>
    <col min="1301" max="1301" width="0" style="238" hidden="1" customWidth="1"/>
    <col min="1302" max="1303" width="11.7109375" style="238" customWidth="1"/>
    <col min="1304" max="1304" width="0" style="238" hidden="1" customWidth="1"/>
    <col min="1305" max="1305" width="11" style="238" customWidth="1"/>
    <col min="1306" max="1306" width="0" style="238" hidden="1" customWidth="1"/>
    <col min="1307" max="1307" width="11.85546875" style="238" customWidth="1"/>
    <col min="1308" max="1308" width="11.7109375" style="238" customWidth="1"/>
    <col min="1309" max="1309" width="0" style="238" hidden="1" customWidth="1"/>
    <col min="1310" max="1310" width="11" style="238" customWidth="1"/>
    <col min="1311" max="1311" width="0" style="238" hidden="1" customWidth="1"/>
    <col min="1312" max="1312" width="11.7109375" style="238" customWidth="1"/>
    <col min="1313" max="1313" width="11.85546875" style="238" customWidth="1"/>
    <col min="1314" max="1314" width="0" style="238" hidden="1" customWidth="1"/>
    <col min="1315" max="1315" width="11" style="238" customWidth="1"/>
    <col min="1316" max="1316" width="0" style="238" hidden="1" customWidth="1"/>
    <col min="1317" max="1318" width="11" style="238" customWidth="1"/>
    <col min="1319" max="1319" width="0" style="238" hidden="1" customWidth="1"/>
    <col min="1320" max="1320" width="11" style="238" customWidth="1"/>
    <col min="1321" max="1321" width="0" style="238" hidden="1" customWidth="1"/>
    <col min="1322" max="1322" width="11.5703125" style="238" customWidth="1"/>
    <col min="1323" max="1323" width="11.7109375" style="238" customWidth="1"/>
    <col min="1324" max="1324" width="0" style="238" hidden="1" customWidth="1"/>
    <col min="1325" max="1325" width="11" style="238" customWidth="1"/>
    <col min="1326" max="1326" width="0" style="238" hidden="1" customWidth="1"/>
    <col min="1327" max="1328" width="11.7109375" style="238" customWidth="1"/>
    <col min="1329" max="1329" width="0" style="238" hidden="1" customWidth="1"/>
    <col min="1330" max="1330" width="10.28515625" style="238" customWidth="1"/>
    <col min="1331" max="1331" width="0" style="238" hidden="1" customWidth="1"/>
    <col min="1332" max="1332" width="16.85546875" style="238" customWidth="1"/>
    <col min="1333" max="1334" width="10.28515625" style="238" customWidth="1"/>
    <col min="1335" max="1536" width="9.140625" style="238"/>
    <col min="1537" max="1537" width="4.85546875" style="238" customWidth="1"/>
    <col min="1538" max="1538" width="30.7109375" style="238" customWidth="1"/>
    <col min="1539" max="1544" width="0" style="238" hidden="1" customWidth="1"/>
    <col min="1545" max="1545" width="12.7109375" style="238" customWidth="1"/>
    <col min="1546" max="1546" width="12.85546875" style="238" customWidth="1"/>
    <col min="1547" max="1547" width="11" style="238" customWidth="1"/>
    <col min="1548" max="1548" width="11.7109375" style="238" customWidth="1"/>
    <col min="1549" max="1549" width="12.140625" style="238" customWidth="1"/>
    <col min="1550" max="1550" width="0" style="238" hidden="1" customWidth="1"/>
    <col min="1551" max="1551" width="11" style="238" customWidth="1"/>
    <col min="1552" max="1552" width="0" style="238" hidden="1" customWidth="1"/>
    <col min="1553" max="1554" width="11.7109375" style="238" customWidth="1"/>
    <col min="1555" max="1555" width="0" style="238" hidden="1" customWidth="1"/>
    <col min="1556" max="1556" width="11" style="238" customWidth="1"/>
    <col min="1557" max="1557" width="0" style="238" hidden="1" customWidth="1"/>
    <col min="1558" max="1559" width="11.7109375" style="238" customWidth="1"/>
    <col min="1560" max="1560" width="0" style="238" hidden="1" customWidth="1"/>
    <col min="1561" max="1561" width="11" style="238" customWidth="1"/>
    <col min="1562" max="1562" width="0" style="238" hidden="1" customWidth="1"/>
    <col min="1563" max="1563" width="11.85546875" style="238" customWidth="1"/>
    <col min="1564" max="1564" width="11.7109375" style="238" customWidth="1"/>
    <col min="1565" max="1565" width="0" style="238" hidden="1" customWidth="1"/>
    <col min="1566" max="1566" width="11" style="238" customWidth="1"/>
    <col min="1567" max="1567" width="0" style="238" hidden="1" customWidth="1"/>
    <col min="1568" max="1568" width="11.7109375" style="238" customWidth="1"/>
    <col min="1569" max="1569" width="11.85546875" style="238" customWidth="1"/>
    <col min="1570" max="1570" width="0" style="238" hidden="1" customWidth="1"/>
    <col min="1571" max="1571" width="11" style="238" customWidth="1"/>
    <col min="1572" max="1572" width="0" style="238" hidden="1" customWidth="1"/>
    <col min="1573" max="1574" width="11" style="238" customWidth="1"/>
    <col min="1575" max="1575" width="0" style="238" hidden="1" customWidth="1"/>
    <col min="1576" max="1576" width="11" style="238" customWidth="1"/>
    <col min="1577" max="1577" width="0" style="238" hidden="1" customWidth="1"/>
    <col min="1578" max="1578" width="11.5703125" style="238" customWidth="1"/>
    <col min="1579" max="1579" width="11.7109375" style="238" customWidth="1"/>
    <col min="1580" max="1580" width="0" style="238" hidden="1" customWidth="1"/>
    <col min="1581" max="1581" width="11" style="238" customWidth="1"/>
    <col min="1582" max="1582" width="0" style="238" hidden="1" customWidth="1"/>
    <col min="1583" max="1584" width="11.7109375" style="238" customWidth="1"/>
    <col min="1585" max="1585" width="0" style="238" hidden="1" customWidth="1"/>
    <col min="1586" max="1586" width="10.28515625" style="238" customWidth="1"/>
    <col min="1587" max="1587" width="0" style="238" hidden="1" customWidth="1"/>
    <col min="1588" max="1588" width="16.85546875" style="238" customWidth="1"/>
    <col min="1589" max="1590" width="10.28515625" style="238" customWidth="1"/>
    <col min="1591" max="1792" width="9.140625" style="238"/>
    <col min="1793" max="1793" width="4.85546875" style="238" customWidth="1"/>
    <col min="1794" max="1794" width="30.7109375" style="238" customWidth="1"/>
    <col min="1795" max="1800" width="0" style="238" hidden="1" customWidth="1"/>
    <col min="1801" max="1801" width="12.7109375" style="238" customWidth="1"/>
    <col min="1802" max="1802" width="12.85546875" style="238" customWidth="1"/>
    <col min="1803" max="1803" width="11" style="238" customWidth="1"/>
    <col min="1804" max="1804" width="11.7109375" style="238" customWidth="1"/>
    <col min="1805" max="1805" width="12.140625" style="238" customWidth="1"/>
    <col min="1806" max="1806" width="0" style="238" hidden="1" customWidth="1"/>
    <col min="1807" max="1807" width="11" style="238" customWidth="1"/>
    <col min="1808" max="1808" width="0" style="238" hidden="1" customWidth="1"/>
    <col min="1809" max="1810" width="11.7109375" style="238" customWidth="1"/>
    <col min="1811" max="1811" width="0" style="238" hidden="1" customWidth="1"/>
    <col min="1812" max="1812" width="11" style="238" customWidth="1"/>
    <col min="1813" max="1813" width="0" style="238" hidden="1" customWidth="1"/>
    <col min="1814" max="1815" width="11.7109375" style="238" customWidth="1"/>
    <col min="1816" max="1816" width="0" style="238" hidden="1" customWidth="1"/>
    <col min="1817" max="1817" width="11" style="238" customWidth="1"/>
    <col min="1818" max="1818" width="0" style="238" hidden="1" customWidth="1"/>
    <col min="1819" max="1819" width="11.85546875" style="238" customWidth="1"/>
    <col min="1820" max="1820" width="11.7109375" style="238" customWidth="1"/>
    <col min="1821" max="1821" width="0" style="238" hidden="1" customWidth="1"/>
    <col min="1822" max="1822" width="11" style="238" customWidth="1"/>
    <col min="1823" max="1823" width="0" style="238" hidden="1" customWidth="1"/>
    <col min="1824" max="1824" width="11.7109375" style="238" customWidth="1"/>
    <col min="1825" max="1825" width="11.85546875" style="238" customWidth="1"/>
    <col min="1826" max="1826" width="0" style="238" hidden="1" customWidth="1"/>
    <col min="1827" max="1827" width="11" style="238" customWidth="1"/>
    <col min="1828" max="1828" width="0" style="238" hidden="1" customWidth="1"/>
    <col min="1829" max="1830" width="11" style="238" customWidth="1"/>
    <col min="1831" max="1831" width="0" style="238" hidden="1" customWidth="1"/>
    <col min="1832" max="1832" width="11" style="238" customWidth="1"/>
    <col min="1833" max="1833" width="0" style="238" hidden="1" customWidth="1"/>
    <col min="1834" max="1834" width="11.5703125" style="238" customWidth="1"/>
    <col min="1835" max="1835" width="11.7109375" style="238" customWidth="1"/>
    <col min="1836" max="1836" width="0" style="238" hidden="1" customWidth="1"/>
    <col min="1837" max="1837" width="11" style="238" customWidth="1"/>
    <col min="1838" max="1838" width="0" style="238" hidden="1" customWidth="1"/>
    <col min="1839" max="1840" width="11.7109375" style="238" customWidth="1"/>
    <col min="1841" max="1841" width="0" style="238" hidden="1" customWidth="1"/>
    <col min="1842" max="1842" width="10.28515625" style="238" customWidth="1"/>
    <col min="1843" max="1843" width="0" style="238" hidden="1" customWidth="1"/>
    <col min="1844" max="1844" width="16.85546875" style="238" customWidth="1"/>
    <col min="1845" max="1846" width="10.28515625" style="238" customWidth="1"/>
    <col min="1847" max="2048" width="9.140625" style="238"/>
    <col min="2049" max="2049" width="4.85546875" style="238" customWidth="1"/>
    <col min="2050" max="2050" width="30.7109375" style="238" customWidth="1"/>
    <col min="2051" max="2056" width="0" style="238" hidden="1" customWidth="1"/>
    <col min="2057" max="2057" width="12.7109375" style="238" customWidth="1"/>
    <col min="2058" max="2058" width="12.85546875" style="238" customWidth="1"/>
    <col min="2059" max="2059" width="11" style="238" customWidth="1"/>
    <col min="2060" max="2060" width="11.7109375" style="238" customWidth="1"/>
    <col min="2061" max="2061" width="12.140625" style="238" customWidth="1"/>
    <col min="2062" max="2062" width="0" style="238" hidden="1" customWidth="1"/>
    <col min="2063" max="2063" width="11" style="238" customWidth="1"/>
    <col min="2064" max="2064" width="0" style="238" hidden="1" customWidth="1"/>
    <col min="2065" max="2066" width="11.7109375" style="238" customWidth="1"/>
    <col min="2067" max="2067" width="0" style="238" hidden="1" customWidth="1"/>
    <col min="2068" max="2068" width="11" style="238" customWidth="1"/>
    <col min="2069" max="2069" width="0" style="238" hidden="1" customWidth="1"/>
    <col min="2070" max="2071" width="11.7109375" style="238" customWidth="1"/>
    <col min="2072" max="2072" width="0" style="238" hidden="1" customWidth="1"/>
    <col min="2073" max="2073" width="11" style="238" customWidth="1"/>
    <col min="2074" max="2074" width="0" style="238" hidden="1" customWidth="1"/>
    <col min="2075" max="2075" width="11.85546875" style="238" customWidth="1"/>
    <col min="2076" max="2076" width="11.7109375" style="238" customWidth="1"/>
    <col min="2077" max="2077" width="0" style="238" hidden="1" customWidth="1"/>
    <col min="2078" max="2078" width="11" style="238" customWidth="1"/>
    <col min="2079" max="2079" width="0" style="238" hidden="1" customWidth="1"/>
    <col min="2080" max="2080" width="11.7109375" style="238" customWidth="1"/>
    <col min="2081" max="2081" width="11.85546875" style="238" customWidth="1"/>
    <col min="2082" max="2082" width="0" style="238" hidden="1" customWidth="1"/>
    <col min="2083" max="2083" width="11" style="238" customWidth="1"/>
    <col min="2084" max="2084" width="0" style="238" hidden="1" customWidth="1"/>
    <col min="2085" max="2086" width="11" style="238" customWidth="1"/>
    <col min="2087" max="2087" width="0" style="238" hidden="1" customWidth="1"/>
    <col min="2088" max="2088" width="11" style="238" customWidth="1"/>
    <col min="2089" max="2089" width="0" style="238" hidden="1" customWidth="1"/>
    <col min="2090" max="2090" width="11.5703125" style="238" customWidth="1"/>
    <col min="2091" max="2091" width="11.7109375" style="238" customWidth="1"/>
    <col min="2092" max="2092" width="0" style="238" hidden="1" customWidth="1"/>
    <col min="2093" max="2093" width="11" style="238" customWidth="1"/>
    <col min="2094" max="2094" width="0" style="238" hidden="1" customWidth="1"/>
    <col min="2095" max="2096" width="11.7109375" style="238" customWidth="1"/>
    <col min="2097" max="2097" width="0" style="238" hidden="1" customWidth="1"/>
    <col min="2098" max="2098" width="10.28515625" style="238" customWidth="1"/>
    <col min="2099" max="2099" width="0" style="238" hidden="1" customWidth="1"/>
    <col min="2100" max="2100" width="16.85546875" style="238" customWidth="1"/>
    <col min="2101" max="2102" width="10.28515625" style="238" customWidth="1"/>
    <col min="2103" max="2304" width="9.140625" style="238"/>
    <col min="2305" max="2305" width="4.85546875" style="238" customWidth="1"/>
    <col min="2306" max="2306" width="30.7109375" style="238" customWidth="1"/>
    <col min="2307" max="2312" width="0" style="238" hidden="1" customWidth="1"/>
    <col min="2313" max="2313" width="12.7109375" style="238" customWidth="1"/>
    <col min="2314" max="2314" width="12.85546875" style="238" customWidth="1"/>
    <col min="2315" max="2315" width="11" style="238" customWidth="1"/>
    <col min="2316" max="2316" width="11.7109375" style="238" customWidth="1"/>
    <col min="2317" max="2317" width="12.140625" style="238" customWidth="1"/>
    <col min="2318" max="2318" width="0" style="238" hidden="1" customWidth="1"/>
    <col min="2319" max="2319" width="11" style="238" customWidth="1"/>
    <col min="2320" max="2320" width="0" style="238" hidden="1" customWidth="1"/>
    <col min="2321" max="2322" width="11.7109375" style="238" customWidth="1"/>
    <col min="2323" max="2323" width="0" style="238" hidden="1" customWidth="1"/>
    <col min="2324" max="2324" width="11" style="238" customWidth="1"/>
    <col min="2325" max="2325" width="0" style="238" hidden="1" customWidth="1"/>
    <col min="2326" max="2327" width="11.7109375" style="238" customWidth="1"/>
    <col min="2328" max="2328" width="0" style="238" hidden="1" customWidth="1"/>
    <col min="2329" max="2329" width="11" style="238" customWidth="1"/>
    <col min="2330" max="2330" width="0" style="238" hidden="1" customWidth="1"/>
    <col min="2331" max="2331" width="11.85546875" style="238" customWidth="1"/>
    <col min="2332" max="2332" width="11.7109375" style="238" customWidth="1"/>
    <col min="2333" max="2333" width="0" style="238" hidden="1" customWidth="1"/>
    <col min="2334" max="2334" width="11" style="238" customWidth="1"/>
    <col min="2335" max="2335" width="0" style="238" hidden="1" customWidth="1"/>
    <col min="2336" max="2336" width="11.7109375" style="238" customWidth="1"/>
    <col min="2337" max="2337" width="11.85546875" style="238" customWidth="1"/>
    <col min="2338" max="2338" width="0" style="238" hidden="1" customWidth="1"/>
    <col min="2339" max="2339" width="11" style="238" customWidth="1"/>
    <col min="2340" max="2340" width="0" style="238" hidden="1" customWidth="1"/>
    <col min="2341" max="2342" width="11" style="238" customWidth="1"/>
    <col min="2343" max="2343" width="0" style="238" hidden="1" customWidth="1"/>
    <col min="2344" max="2344" width="11" style="238" customWidth="1"/>
    <col min="2345" max="2345" width="0" style="238" hidden="1" customWidth="1"/>
    <col min="2346" max="2346" width="11.5703125" style="238" customWidth="1"/>
    <col min="2347" max="2347" width="11.7109375" style="238" customWidth="1"/>
    <col min="2348" max="2348" width="0" style="238" hidden="1" customWidth="1"/>
    <col min="2349" max="2349" width="11" style="238" customWidth="1"/>
    <col min="2350" max="2350" width="0" style="238" hidden="1" customWidth="1"/>
    <col min="2351" max="2352" width="11.7109375" style="238" customWidth="1"/>
    <col min="2353" max="2353" width="0" style="238" hidden="1" customWidth="1"/>
    <col min="2354" max="2354" width="10.28515625" style="238" customWidth="1"/>
    <col min="2355" max="2355" width="0" style="238" hidden="1" customWidth="1"/>
    <col min="2356" max="2356" width="16.85546875" style="238" customWidth="1"/>
    <col min="2357" max="2358" width="10.28515625" style="238" customWidth="1"/>
    <col min="2359" max="2560" width="9.140625" style="238"/>
    <col min="2561" max="2561" width="4.85546875" style="238" customWidth="1"/>
    <col min="2562" max="2562" width="30.7109375" style="238" customWidth="1"/>
    <col min="2563" max="2568" width="0" style="238" hidden="1" customWidth="1"/>
    <col min="2569" max="2569" width="12.7109375" style="238" customWidth="1"/>
    <col min="2570" max="2570" width="12.85546875" style="238" customWidth="1"/>
    <col min="2571" max="2571" width="11" style="238" customWidth="1"/>
    <col min="2572" max="2572" width="11.7109375" style="238" customWidth="1"/>
    <col min="2573" max="2573" width="12.140625" style="238" customWidth="1"/>
    <col min="2574" max="2574" width="0" style="238" hidden="1" customWidth="1"/>
    <col min="2575" max="2575" width="11" style="238" customWidth="1"/>
    <col min="2576" max="2576" width="0" style="238" hidden="1" customWidth="1"/>
    <col min="2577" max="2578" width="11.7109375" style="238" customWidth="1"/>
    <col min="2579" max="2579" width="0" style="238" hidden="1" customWidth="1"/>
    <col min="2580" max="2580" width="11" style="238" customWidth="1"/>
    <col min="2581" max="2581" width="0" style="238" hidden="1" customWidth="1"/>
    <col min="2582" max="2583" width="11.7109375" style="238" customWidth="1"/>
    <col min="2584" max="2584" width="0" style="238" hidden="1" customWidth="1"/>
    <col min="2585" max="2585" width="11" style="238" customWidth="1"/>
    <col min="2586" max="2586" width="0" style="238" hidden="1" customWidth="1"/>
    <col min="2587" max="2587" width="11.85546875" style="238" customWidth="1"/>
    <col min="2588" max="2588" width="11.7109375" style="238" customWidth="1"/>
    <col min="2589" max="2589" width="0" style="238" hidden="1" customWidth="1"/>
    <col min="2590" max="2590" width="11" style="238" customWidth="1"/>
    <col min="2591" max="2591" width="0" style="238" hidden="1" customWidth="1"/>
    <col min="2592" max="2592" width="11.7109375" style="238" customWidth="1"/>
    <col min="2593" max="2593" width="11.85546875" style="238" customWidth="1"/>
    <col min="2594" max="2594" width="0" style="238" hidden="1" customWidth="1"/>
    <col min="2595" max="2595" width="11" style="238" customWidth="1"/>
    <col min="2596" max="2596" width="0" style="238" hidden="1" customWidth="1"/>
    <col min="2597" max="2598" width="11" style="238" customWidth="1"/>
    <col min="2599" max="2599" width="0" style="238" hidden="1" customWidth="1"/>
    <col min="2600" max="2600" width="11" style="238" customWidth="1"/>
    <col min="2601" max="2601" width="0" style="238" hidden="1" customWidth="1"/>
    <col min="2602" max="2602" width="11.5703125" style="238" customWidth="1"/>
    <col min="2603" max="2603" width="11.7109375" style="238" customWidth="1"/>
    <col min="2604" max="2604" width="0" style="238" hidden="1" customWidth="1"/>
    <col min="2605" max="2605" width="11" style="238" customWidth="1"/>
    <col min="2606" max="2606" width="0" style="238" hidden="1" customWidth="1"/>
    <col min="2607" max="2608" width="11.7109375" style="238" customWidth="1"/>
    <col min="2609" max="2609" width="0" style="238" hidden="1" customWidth="1"/>
    <col min="2610" max="2610" width="10.28515625" style="238" customWidth="1"/>
    <col min="2611" max="2611" width="0" style="238" hidden="1" customWidth="1"/>
    <col min="2612" max="2612" width="16.85546875" style="238" customWidth="1"/>
    <col min="2613" max="2614" width="10.28515625" style="238" customWidth="1"/>
    <col min="2615" max="2816" width="9.140625" style="238"/>
    <col min="2817" max="2817" width="4.85546875" style="238" customWidth="1"/>
    <col min="2818" max="2818" width="30.7109375" style="238" customWidth="1"/>
    <col min="2819" max="2824" width="0" style="238" hidden="1" customWidth="1"/>
    <col min="2825" max="2825" width="12.7109375" style="238" customWidth="1"/>
    <col min="2826" max="2826" width="12.85546875" style="238" customWidth="1"/>
    <col min="2827" max="2827" width="11" style="238" customWidth="1"/>
    <col min="2828" max="2828" width="11.7109375" style="238" customWidth="1"/>
    <col min="2829" max="2829" width="12.140625" style="238" customWidth="1"/>
    <col min="2830" max="2830" width="0" style="238" hidden="1" customWidth="1"/>
    <col min="2831" max="2831" width="11" style="238" customWidth="1"/>
    <col min="2832" max="2832" width="0" style="238" hidden="1" customWidth="1"/>
    <col min="2833" max="2834" width="11.7109375" style="238" customWidth="1"/>
    <col min="2835" max="2835" width="0" style="238" hidden="1" customWidth="1"/>
    <col min="2836" max="2836" width="11" style="238" customWidth="1"/>
    <col min="2837" max="2837" width="0" style="238" hidden="1" customWidth="1"/>
    <col min="2838" max="2839" width="11.7109375" style="238" customWidth="1"/>
    <col min="2840" max="2840" width="0" style="238" hidden="1" customWidth="1"/>
    <col min="2841" max="2841" width="11" style="238" customWidth="1"/>
    <col min="2842" max="2842" width="0" style="238" hidden="1" customWidth="1"/>
    <col min="2843" max="2843" width="11.85546875" style="238" customWidth="1"/>
    <col min="2844" max="2844" width="11.7109375" style="238" customWidth="1"/>
    <col min="2845" max="2845" width="0" style="238" hidden="1" customWidth="1"/>
    <col min="2846" max="2846" width="11" style="238" customWidth="1"/>
    <col min="2847" max="2847" width="0" style="238" hidden="1" customWidth="1"/>
    <col min="2848" max="2848" width="11.7109375" style="238" customWidth="1"/>
    <col min="2849" max="2849" width="11.85546875" style="238" customWidth="1"/>
    <col min="2850" max="2850" width="0" style="238" hidden="1" customWidth="1"/>
    <col min="2851" max="2851" width="11" style="238" customWidth="1"/>
    <col min="2852" max="2852" width="0" style="238" hidden="1" customWidth="1"/>
    <col min="2853" max="2854" width="11" style="238" customWidth="1"/>
    <col min="2855" max="2855" width="0" style="238" hidden="1" customWidth="1"/>
    <col min="2856" max="2856" width="11" style="238" customWidth="1"/>
    <col min="2857" max="2857" width="0" style="238" hidden="1" customWidth="1"/>
    <col min="2858" max="2858" width="11.5703125" style="238" customWidth="1"/>
    <col min="2859" max="2859" width="11.7109375" style="238" customWidth="1"/>
    <col min="2860" max="2860" width="0" style="238" hidden="1" customWidth="1"/>
    <col min="2861" max="2861" width="11" style="238" customWidth="1"/>
    <col min="2862" max="2862" width="0" style="238" hidden="1" customWidth="1"/>
    <col min="2863" max="2864" width="11.7109375" style="238" customWidth="1"/>
    <col min="2865" max="2865" width="0" style="238" hidden="1" customWidth="1"/>
    <col min="2866" max="2866" width="10.28515625" style="238" customWidth="1"/>
    <col min="2867" max="2867" width="0" style="238" hidden="1" customWidth="1"/>
    <col min="2868" max="2868" width="16.85546875" style="238" customWidth="1"/>
    <col min="2869" max="2870" width="10.28515625" style="238" customWidth="1"/>
    <col min="2871" max="3072" width="9.140625" style="238"/>
    <col min="3073" max="3073" width="4.85546875" style="238" customWidth="1"/>
    <col min="3074" max="3074" width="30.7109375" style="238" customWidth="1"/>
    <col min="3075" max="3080" width="0" style="238" hidden="1" customWidth="1"/>
    <col min="3081" max="3081" width="12.7109375" style="238" customWidth="1"/>
    <col min="3082" max="3082" width="12.85546875" style="238" customWidth="1"/>
    <col min="3083" max="3083" width="11" style="238" customWidth="1"/>
    <col min="3084" max="3084" width="11.7109375" style="238" customWidth="1"/>
    <col min="3085" max="3085" width="12.140625" style="238" customWidth="1"/>
    <col min="3086" max="3086" width="0" style="238" hidden="1" customWidth="1"/>
    <col min="3087" max="3087" width="11" style="238" customWidth="1"/>
    <col min="3088" max="3088" width="0" style="238" hidden="1" customWidth="1"/>
    <col min="3089" max="3090" width="11.7109375" style="238" customWidth="1"/>
    <col min="3091" max="3091" width="0" style="238" hidden="1" customWidth="1"/>
    <col min="3092" max="3092" width="11" style="238" customWidth="1"/>
    <col min="3093" max="3093" width="0" style="238" hidden="1" customWidth="1"/>
    <col min="3094" max="3095" width="11.7109375" style="238" customWidth="1"/>
    <col min="3096" max="3096" width="0" style="238" hidden="1" customWidth="1"/>
    <col min="3097" max="3097" width="11" style="238" customWidth="1"/>
    <col min="3098" max="3098" width="0" style="238" hidden="1" customWidth="1"/>
    <col min="3099" max="3099" width="11.85546875" style="238" customWidth="1"/>
    <col min="3100" max="3100" width="11.7109375" style="238" customWidth="1"/>
    <col min="3101" max="3101" width="0" style="238" hidden="1" customWidth="1"/>
    <col min="3102" max="3102" width="11" style="238" customWidth="1"/>
    <col min="3103" max="3103" width="0" style="238" hidden="1" customWidth="1"/>
    <col min="3104" max="3104" width="11.7109375" style="238" customWidth="1"/>
    <col min="3105" max="3105" width="11.85546875" style="238" customWidth="1"/>
    <col min="3106" max="3106" width="0" style="238" hidden="1" customWidth="1"/>
    <col min="3107" max="3107" width="11" style="238" customWidth="1"/>
    <col min="3108" max="3108" width="0" style="238" hidden="1" customWidth="1"/>
    <col min="3109" max="3110" width="11" style="238" customWidth="1"/>
    <col min="3111" max="3111" width="0" style="238" hidden="1" customWidth="1"/>
    <col min="3112" max="3112" width="11" style="238" customWidth="1"/>
    <col min="3113" max="3113" width="0" style="238" hidden="1" customWidth="1"/>
    <col min="3114" max="3114" width="11.5703125" style="238" customWidth="1"/>
    <col min="3115" max="3115" width="11.7109375" style="238" customWidth="1"/>
    <col min="3116" max="3116" width="0" style="238" hidden="1" customWidth="1"/>
    <col min="3117" max="3117" width="11" style="238" customWidth="1"/>
    <col min="3118" max="3118" width="0" style="238" hidden="1" customWidth="1"/>
    <col min="3119" max="3120" width="11.7109375" style="238" customWidth="1"/>
    <col min="3121" max="3121" width="0" style="238" hidden="1" customWidth="1"/>
    <col min="3122" max="3122" width="10.28515625" style="238" customWidth="1"/>
    <col min="3123" max="3123" width="0" style="238" hidden="1" customWidth="1"/>
    <col min="3124" max="3124" width="16.85546875" style="238" customWidth="1"/>
    <col min="3125" max="3126" width="10.28515625" style="238" customWidth="1"/>
    <col min="3127" max="3328" width="9.140625" style="238"/>
    <col min="3329" max="3329" width="4.85546875" style="238" customWidth="1"/>
    <col min="3330" max="3330" width="30.7109375" style="238" customWidth="1"/>
    <col min="3331" max="3336" width="0" style="238" hidden="1" customWidth="1"/>
    <col min="3337" max="3337" width="12.7109375" style="238" customWidth="1"/>
    <col min="3338" max="3338" width="12.85546875" style="238" customWidth="1"/>
    <col min="3339" max="3339" width="11" style="238" customWidth="1"/>
    <col min="3340" max="3340" width="11.7109375" style="238" customWidth="1"/>
    <col min="3341" max="3341" width="12.140625" style="238" customWidth="1"/>
    <col min="3342" max="3342" width="0" style="238" hidden="1" customWidth="1"/>
    <col min="3343" max="3343" width="11" style="238" customWidth="1"/>
    <col min="3344" max="3344" width="0" style="238" hidden="1" customWidth="1"/>
    <col min="3345" max="3346" width="11.7109375" style="238" customWidth="1"/>
    <col min="3347" max="3347" width="0" style="238" hidden="1" customWidth="1"/>
    <col min="3348" max="3348" width="11" style="238" customWidth="1"/>
    <col min="3349" max="3349" width="0" style="238" hidden="1" customWidth="1"/>
    <col min="3350" max="3351" width="11.7109375" style="238" customWidth="1"/>
    <col min="3352" max="3352" width="0" style="238" hidden="1" customWidth="1"/>
    <col min="3353" max="3353" width="11" style="238" customWidth="1"/>
    <col min="3354" max="3354" width="0" style="238" hidden="1" customWidth="1"/>
    <col min="3355" max="3355" width="11.85546875" style="238" customWidth="1"/>
    <col min="3356" max="3356" width="11.7109375" style="238" customWidth="1"/>
    <col min="3357" max="3357" width="0" style="238" hidden="1" customWidth="1"/>
    <col min="3358" max="3358" width="11" style="238" customWidth="1"/>
    <col min="3359" max="3359" width="0" style="238" hidden="1" customWidth="1"/>
    <col min="3360" max="3360" width="11.7109375" style="238" customWidth="1"/>
    <col min="3361" max="3361" width="11.85546875" style="238" customWidth="1"/>
    <col min="3362" max="3362" width="0" style="238" hidden="1" customWidth="1"/>
    <col min="3363" max="3363" width="11" style="238" customWidth="1"/>
    <col min="3364" max="3364" width="0" style="238" hidden="1" customWidth="1"/>
    <col min="3365" max="3366" width="11" style="238" customWidth="1"/>
    <col min="3367" max="3367" width="0" style="238" hidden="1" customWidth="1"/>
    <col min="3368" max="3368" width="11" style="238" customWidth="1"/>
    <col min="3369" max="3369" width="0" style="238" hidden="1" customWidth="1"/>
    <col min="3370" max="3370" width="11.5703125" style="238" customWidth="1"/>
    <col min="3371" max="3371" width="11.7109375" style="238" customWidth="1"/>
    <col min="3372" max="3372" width="0" style="238" hidden="1" customWidth="1"/>
    <col min="3373" max="3373" width="11" style="238" customWidth="1"/>
    <col min="3374" max="3374" width="0" style="238" hidden="1" customWidth="1"/>
    <col min="3375" max="3376" width="11.7109375" style="238" customWidth="1"/>
    <col min="3377" max="3377" width="0" style="238" hidden="1" customWidth="1"/>
    <col min="3378" max="3378" width="10.28515625" style="238" customWidth="1"/>
    <col min="3379" max="3379" width="0" style="238" hidden="1" customWidth="1"/>
    <col min="3380" max="3380" width="16.85546875" style="238" customWidth="1"/>
    <col min="3381" max="3382" width="10.28515625" style="238" customWidth="1"/>
    <col min="3383" max="3584" width="9.140625" style="238"/>
    <col min="3585" max="3585" width="4.85546875" style="238" customWidth="1"/>
    <col min="3586" max="3586" width="30.7109375" style="238" customWidth="1"/>
    <col min="3587" max="3592" width="0" style="238" hidden="1" customWidth="1"/>
    <col min="3593" max="3593" width="12.7109375" style="238" customWidth="1"/>
    <col min="3594" max="3594" width="12.85546875" style="238" customWidth="1"/>
    <col min="3595" max="3595" width="11" style="238" customWidth="1"/>
    <col min="3596" max="3596" width="11.7109375" style="238" customWidth="1"/>
    <col min="3597" max="3597" width="12.140625" style="238" customWidth="1"/>
    <col min="3598" max="3598" width="0" style="238" hidden="1" customWidth="1"/>
    <col min="3599" max="3599" width="11" style="238" customWidth="1"/>
    <col min="3600" max="3600" width="0" style="238" hidden="1" customWidth="1"/>
    <col min="3601" max="3602" width="11.7109375" style="238" customWidth="1"/>
    <col min="3603" max="3603" width="0" style="238" hidden="1" customWidth="1"/>
    <col min="3604" max="3604" width="11" style="238" customWidth="1"/>
    <col min="3605" max="3605" width="0" style="238" hidden="1" customWidth="1"/>
    <col min="3606" max="3607" width="11.7109375" style="238" customWidth="1"/>
    <col min="3608" max="3608" width="0" style="238" hidden="1" customWidth="1"/>
    <col min="3609" max="3609" width="11" style="238" customWidth="1"/>
    <col min="3610" max="3610" width="0" style="238" hidden="1" customWidth="1"/>
    <col min="3611" max="3611" width="11.85546875" style="238" customWidth="1"/>
    <col min="3612" max="3612" width="11.7109375" style="238" customWidth="1"/>
    <col min="3613" max="3613" width="0" style="238" hidden="1" customWidth="1"/>
    <col min="3614" max="3614" width="11" style="238" customWidth="1"/>
    <col min="3615" max="3615" width="0" style="238" hidden="1" customWidth="1"/>
    <col min="3616" max="3616" width="11.7109375" style="238" customWidth="1"/>
    <col min="3617" max="3617" width="11.85546875" style="238" customWidth="1"/>
    <col min="3618" max="3618" width="0" style="238" hidden="1" customWidth="1"/>
    <col min="3619" max="3619" width="11" style="238" customWidth="1"/>
    <col min="3620" max="3620" width="0" style="238" hidden="1" customWidth="1"/>
    <col min="3621" max="3622" width="11" style="238" customWidth="1"/>
    <col min="3623" max="3623" width="0" style="238" hidden="1" customWidth="1"/>
    <col min="3624" max="3624" width="11" style="238" customWidth="1"/>
    <col min="3625" max="3625" width="0" style="238" hidden="1" customWidth="1"/>
    <col min="3626" max="3626" width="11.5703125" style="238" customWidth="1"/>
    <col min="3627" max="3627" width="11.7109375" style="238" customWidth="1"/>
    <col min="3628" max="3628" width="0" style="238" hidden="1" customWidth="1"/>
    <col min="3629" max="3629" width="11" style="238" customWidth="1"/>
    <col min="3630" max="3630" width="0" style="238" hidden="1" customWidth="1"/>
    <col min="3631" max="3632" width="11.7109375" style="238" customWidth="1"/>
    <col min="3633" max="3633" width="0" style="238" hidden="1" customWidth="1"/>
    <col min="3634" max="3634" width="10.28515625" style="238" customWidth="1"/>
    <col min="3635" max="3635" width="0" style="238" hidden="1" customWidth="1"/>
    <col min="3636" max="3636" width="16.85546875" style="238" customWidth="1"/>
    <col min="3637" max="3638" width="10.28515625" style="238" customWidth="1"/>
    <col min="3639" max="3840" width="9.140625" style="238"/>
    <col min="3841" max="3841" width="4.85546875" style="238" customWidth="1"/>
    <col min="3842" max="3842" width="30.7109375" style="238" customWidth="1"/>
    <col min="3843" max="3848" width="0" style="238" hidden="1" customWidth="1"/>
    <col min="3849" max="3849" width="12.7109375" style="238" customWidth="1"/>
    <col min="3850" max="3850" width="12.85546875" style="238" customWidth="1"/>
    <col min="3851" max="3851" width="11" style="238" customWidth="1"/>
    <col min="3852" max="3852" width="11.7109375" style="238" customWidth="1"/>
    <col min="3853" max="3853" width="12.140625" style="238" customWidth="1"/>
    <col min="3854" max="3854" width="0" style="238" hidden="1" customWidth="1"/>
    <col min="3855" max="3855" width="11" style="238" customWidth="1"/>
    <col min="3856" max="3856" width="0" style="238" hidden="1" customWidth="1"/>
    <col min="3857" max="3858" width="11.7109375" style="238" customWidth="1"/>
    <col min="3859" max="3859" width="0" style="238" hidden="1" customWidth="1"/>
    <col min="3860" max="3860" width="11" style="238" customWidth="1"/>
    <col min="3861" max="3861" width="0" style="238" hidden="1" customWidth="1"/>
    <col min="3862" max="3863" width="11.7109375" style="238" customWidth="1"/>
    <col min="3864" max="3864" width="0" style="238" hidden="1" customWidth="1"/>
    <col min="3865" max="3865" width="11" style="238" customWidth="1"/>
    <col min="3866" max="3866" width="0" style="238" hidden="1" customWidth="1"/>
    <col min="3867" max="3867" width="11.85546875" style="238" customWidth="1"/>
    <col min="3868" max="3868" width="11.7109375" style="238" customWidth="1"/>
    <col min="3869" max="3869" width="0" style="238" hidden="1" customWidth="1"/>
    <col min="3870" max="3870" width="11" style="238" customWidth="1"/>
    <col min="3871" max="3871" width="0" style="238" hidden="1" customWidth="1"/>
    <col min="3872" max="3872" width="11.7109375" style="238" customWidth="1"/>
    <col min="3873" max="3873" width="11.85546875" style="238" customWidth="1"/>
    <col min="3874" max="3874" width="0" style="238" hidden="1" customWidth="1"/>
    <col min="3875" max="3875" width="11" style="238" customWidth="1"/>
    <col min="3876" max="3876" width="0" style="238" hidden="1" customWidth="1"/>
    <col min="3877" max="3878" width="11" style="238" customWidth="1"/>
    <col min="3879" max="3879" width="0" style="238" hidden="1" customWidth="1"/>
    <col min="3880" max="3880" width="11" style="238" customWidth="1"/>
    <col min="3881" max="3881" width="0" style="238" hidden="1" customWidth="1"/>
    <col min="3882" max="3882" width="11.5703125" style="238" customWidth="1"/>
    <col min="3883" max="3883" width="11.7109375" style="238" customWidth="1"/>
    <col min="3884" max="3884" width="0" style="238" hidden="1" customWidth="1"/>
    <col min="3885" max="3885" width="11" style="238" customWidth="1"/>
    <col min="3886" max="3886" width="0" style="238" hidden="1" customWidth="1"/>
    <col min="3887" max="3888" width="11.7109375" style="238" customWidth="1"/>
    <col min="3889" max="3889" width="0" style="238" hidden="1" customWidth="1"/>
    <col min="3890" max="3890" width="10.28515625" style="238" customWidth="1"/>
    <col min="3891" max="3891" width="0" style="238" hidden="1" customWidth="1"/>
    <col min="3892" max="3892" width="16.85546875" style="238" customWidth="1"/>
    <col min="3893" max="3894" width="10.28515625" style="238" customWidth="1"/>
    <col min="3895" max="4096" width="9.140625" style="238"/>
    <col min="4097" max="4097" width="4.85546875" style="238" customWidth="1"/>
    <col min="4098" max="4098" width="30.7109375" style="238" customWidth="1"/>
    <col min="4099" max="4104" width="0" style="238" hidden="1" customWidth="1"/>
    <col min="4105" max="4105" width="12.7109375" style="238" customWidth="1"/>
    <col min="4106" max="4106" width="12.85546875" style="238" customWidth="1"/>
    <col min="4107" max="4107" width="11" style="238" customWidth="1"/>
    <col min="4108" max="4108" width="11.7109375" style="238" customWidth="1"/>
    <col min="4109" max="4109" width="12.140625" style="238" customWidth="1"/>
    <col min="4110" max="4110" width="0" style="238" hidden="1" customWidth="1"/>
    <col min="4111" max="4111" width="11" style="238" customWidth="1"/>
    <col min="4112" max="4112" width="0" style="238" hidden="1" customWidth="1"/>
    <col min="4113" max="4114" width="11.7109375" style="238" customWidth="1"/>
    <col min="4115" max="4115" width="0" style="238" hidden="1" customWidth="1"/>
    <col min="4116" max="4116" width="11" style="238" customWidth="1"/>
    <col min="4117" max="4117" width="0" style="238" hidden="1" customWidth="1"/>
    <col min="4118" max="4119" width="11.7109375" style="238" customWidth="1"/>
    <col min="4120" max="4120" width="0" style="238" hidden="1" customWidth="1"/>
    <col min="4121" max="4121" width="11" style="238" customWidth="1"/>
    <col min="4122" max="4122" width="0" style="238" hidden="1" customWidth="1"/>
    <col min="4123" max="4123" width="11.85546875" style="238" customWidth="1"/>
    <col min="4124" max="4124" width="11.7109375" style="238" customWidth="1"/>
    <col min="4125" max="4125" width="0" style="238" hidden="1" customWidth="1"/>
    <col min="4126" max="4126" width="11" style="238" customWidth="1"/>
    <col min="4127" max="4127" width="0" style="238" hidden="1" customWidth="1"/>
    <col min="4128" max="4128" width="11.7109375" style="238" customWidth="1"/>
    <col min="4129" max="4129" width="11.85546875" style="238" customWidth="1"/>
    <col min="4130" max="4130" width="0" style="238" hidden="1" customWidth="1"/>
    <col min="4131" max="4131" width="11" style="238" customWidth="1"/>
    <col min="4132" max="4132" width="0" style="238" hidden="1" customWidth="1"/>
    <col min="4133" max="4134" width="11" style="238" customWidth="1"/>
    <col min="4135" max="4135" width="0" style="238" hidden="1" customWidth="1"/>
    <col min="4136" max="4136" width="11" style="238" customWidth="1"/>
    <col min="4137" max="4137" width="0" style="238" hidden="1" customWidth="1"/>
    <col min="4138" max="4138" width="11.5703125" style="238" customWidth="1"/>
    <col min="4139" max="4139" width="11.7109375" style="238" customWidth="1"/>
    <col min="4140" max="4140" width="0" style="238" hidden="1" customWidth="1"/>
    <col min="4141" max="4141" width="11" style="238" customWidth="1"/>
    <col min="4142" max="4142" width="0" style="238" hidden="1" customWidth="1"/>
    <col min="4143" max="4144" width="11.7109375" style="238" customWidth="1"/>
    <col min="4145" max="4145" width="0" style="238" hidden="1" customWidth="1"/>
    <col min="4146" max="4146" width="10.28515625" style="238" customWidth="1"/>
    <col min="4147" max="4147" width="0" style="238" hidden="1" customWidth="1"/>
    <col min="4148" max="4148" width="16.85546875" style="238" customWidth="1"/>
    <col min="4149" max="4150" width="10.28515625" style="238" customWidth="1"/>
    <col min="4151" max="4352" width="9.140625" style="238"/>
    <col min="4353" max="4353" width="4.85546875" style="238" customWidth="1"/>
    <col min="4354" max="4354" width="30.7109375" style="238" customWidth="1"/>
    <col min="4355" max="4360" width="0" style="238" hidden="1" customWidth="1"/>
    <col min="4361" max="4361" width="12.7109375" style="238" customWidth="1"/>
    <col min="4362" max="4362" width="12.85546875" style="238" customWidth="1"/>
    <col min="4363" max="4363" width="11" style="238" customWidth="1"/>
    <col min="4364" max="4364" width="11.7109375" style="238" customWidth="1"/>
    <col min="4365" max="4365" width="12.140625" style="238" customWidth="1"/>
    <col min="4366" max="4366" width="0" style="238" hidden="1" customWidth="1"/>
    <col min="4367" max="4367" width="11" style="238" customWidth="1"/>
    <col min="4368" max="4368" width="0" style="238" hidden="1" customWidth="1"/>
    <col min="4369" max="4370" width="11.7109375" style="238" customWidth="1"/>
    <col min="4371" max="4371" width="0" style="238" hidden="1" customWidth="1"/>
    <col min="4372" max="4372" width="11" style="238" customWidth="1"/>
    <col min="4373" max="4373" width="0" style="238" hidden="1" customWidth="1"/>
    <col min="4374" max="4375" width="11.7109375" style="238" customWidth="1"/>
    <col min="4376" max="4376" width="0" style="238" hidden="1" customWidth="1"/>
    <col min="4377" max="4377" width="11" style="238" customWidth="1"/>
    <col min="4378" max="4378" width="0" style="238" hidden="1" customWidth="1"/>
    <col min="4379" max="4379" width="11.85546875" style="238" customWidth="1"/>
    <col min="4380" max="4380" width="11.7109375" style="238" customWidth="1"/>
    <col min="4381" max="4381" width="0" style="238" hidden="1" customWidth="1"/>
    <col min="4382" max="4382" width="11" style="238" customWidth="1"/>
    <col min="4383" max="4383" width="0" style="238" hidden="1" customWidth="1"/>
    <col min="4384" max="4384" width="11.7109375" style="238" customWidth="1"/>
    <col min="4385" max="4385" width="11.85546875" style="238" customWidth="1"/>
    <col min="4386" max="4386" width="0" style="238" hidden="1" customWidth="1"/>
    <col min="4387" max="4387" width="11" style="238" customWidth="1"/>
    <col min="4388" max="4388" width="0" style="238" hidden="1" customWidth="1"/>
    <col min="4389" max="4390" width="11" style="238" customWidth="1"/>
    <col min="4391" max="4391" width="0" style="238" hidden="1" customWidth="1"/>
    <col min="4392" max="4392" width="11" style="238" customWidth="1"/>
    <col min="4393" max="4393" width="0" style="238" hidden="1" customWidth="1"/>
    <col min="4394" max="4394" width="11.5703125" style="238" customWidth="1"/>
    <col min="4395" max="4395" width="11.7109375" style="238" customWidth="1"/>
    <col min="4396" max="4396" width="0" style="238" hidden="1" customWidth="1"/>
    <col min="4397" max="4397" width="11" style="238" customWidth="1"/>
    <col min="4398" max="4398" width="0" style="238" hidden="1" customWidth="1"/>
    <col min="4399" max="4400" width="11.7109375" style="238" customWidth="1"/>
    <col min="4401" max="4401" width="0" style="238" hidden="1" customWidth="1"/>
    <col min="4402" max="4402" width="10.28515625" style="238" customWidth="1"/>
    <col min="4403" max="4403" width="0" style="238" hidden="1" customWidth="1"/>
    <col min="4404" max="4404" width="16.85546875" style="238" customWidth="1"/>
    <col min="4405" max="4406" width="10.28515625" style="238" customWidth="1"/>
    <col min="4407" max="4608" width="9.140625" style="238"/>
    <col min="4609" max="4609" width="4.85546875" style="238" customWidth="1"/>
    <col min="4610" max="4610" width="30.7109375" style="238" customWidth="1"/>
    <col min="4611" max="4616" width="0" style="238" hidden="1" customWidth="1"/>
    <col min="4617" max="4617" width="12.7109375" style="238" customWidth="1"/>
    <col min="4618" max="4618" width="12.85546875" style="238" customWidth="1"/>
    <col min="4619" max="4619" width="11" style="238" customWidth="1"/>
    <col min="4620" max="4620" width="11.7109375" style="238" customWidth="1"/>
    <col min="4621" max="4621" width="12.140625" style="238" customWidth="1"/>
    <col min="4622" max="4622" width="0" style="238" hidden="1" customWidth="1"/>
    <col min="4623" max="4623" width="11" style="238" customWidth="1"/>
    <col min="4624" max="4624" width="0" style="238" hidden="1" customWidth="1"/>
    <col min="4625" max="4626" width="11.7109375" style="238" customWidth="1"/>
    <col min="4627" max="4627" width="0" style="238" hidden="1" customWidth="1"/>
    <col min="4628" max="4628" width="11" style="238" customWidth="1"/>
    <col min="4629" max="4629" width="0" style="238" hidden="1" customWidth="1"/>
    <col min="4630" max="4631" width="11.7109375" style="238" customWidth="1"/>
    <col min="4632" max="4632" width="0" style="238" hidden="1" customWidth="1"/>
    <col min="4633" max="4633" width="11" style="238" customWidth="1"/>
    <col min="4634" max="4634" width="0" style="238" hidden="1" customWidth="1"/>
    <col min="4635" max="4635" width="11.85546875" style="238" customWidth="1"/>
    <col min="4636" max="4636" width="11.7109375" style="238" customWidth="1"/>
    <col min="4637" max="4637" width="0" style="238" hidden="1" customWidth="1"/>
    <col min="4638" max="4638" width="11" style="238" customWidth="1"/>
    <col min="4639" max="4639" width="0" style="238" hidden="1" customWidth="1"/>
    <col min="4640" max="4640" width="11.7109375" style="238" customWidth="1"/>
    <col min="4641" max="4641" width="11.85546875" style="238" customWidth="1"/>
    <col min="4642" max="4642" width="0" style="238" hidden="1" customWidth="1"/>
    <col min="4643" max="4643" width="11" style="238" customWidth="1"/>
    <col min="4644" max="4644" width="0" style="238" hidden="1" customWidth="1"/>
    <col min="4645" max="4646" width="11" style="238" customWidth="1"/>
    <col min="4647" max="4647" width="0" style="238" hidden="1" customWidth="1"/>
    <col min="4648" max="4648" width="11" style="238" customWidth="1"/>
    <col min="4649" max="4649" width="0" style="238" hidden="1" customWidth="1"/>
    <col min="4650" max="4650" width="11.5703125" style="238" customWidth="1"/>
    <col min="4651" max="4651" width="11.7109375" style="238" customWidth="1"/>
    <col min="4652" max="4652" width="0" style="238" hidden="1" customWidth="1"/>
    <col min="4653" max="4653" width="11" style="238" customWidth="1"/>
    <col min="4654" max="4654" width="0" style="238" hidden="1" customWidth="1"/>
    <col min="4655" max="4656" width="11.7109375" style="238" customWidth="1"/>
    <col min="4657" max="4657" width="0" style="238" hidden="1" customWidth="1"/>
    <col min="4658" max="4658" width="10.28515625" style="238" customWidth="1"/>
    <col min="4659" max="4659" width="0" style="238" hidden="1" customWidth="1"/>
    <col min="4660" max="4660" width="16.85546875" style="238" customWidth="1"/>
    <col min="4661" max="4662" width="10.28515625" style="238" customWidth="1"/>
    <col min="4663" max="4864" width="9.140625" style="238"/>
    <col min="4865" max="4865" width="4.85546875" style="238" customWidth="1"/>
    <col min="4866" max="4866" width="30.7109375" style="238" customWidth="1"/>
    <col min="4867" max="4872" width="0" style="238" hidden="1" customWidth="1"/>
    <col min="4873" max="4873" width="12.7109375" style="238" customWidth="1"/>
    <col min="4874" max="4874" width="12.85546875" style="238" customWidth="1"/>
    <col min="4875" max="4875" width="11" style="238" customWidth="1"/>
    <col min="4876" max="4876" width="11.7109375" style="238" customWidth="1"/>
    <col min="4877" max="4877" width="12.140625" style="238" customWidth="1"/>
    <col min="4878" max="4878" width="0" style="238" hidden="1" customWidth="1"/>
    <col min="4879" max="4879" width="11" style="238" customWidth="1"/>
    <col min="4880" max="4880" width="0" style="238" hidden="1" customWidth="1"/>
    <col min="4881" max="4882" width="11.7109375" style="238" customWidth="1"/>
    <col min="4883" max="4883" width="0" style="238" hidden="1" customWidth="1"/>
    <col min="4884" max="4884" width="11" style="238" customWidth="1"/>
    <col min="4885" max="4885" width="0" style="238" hidden="1" customWidth="1"/>
    <col min="4886" max="4887" width="11.7109375" style="238" customWidth="1"/>
    <col min="4888" max="4888" width="0" style="238" hidden="1" customWidth="1"/>
    <col min="4889" max="4889" width="11" style="238" customWidth="1"/>
    <col min="4890" max="4890" width="0" style="238" hidden="1" customWidth="1"/>
    <col min="4891" max="4891" width="11.85546875" style="238" customWidth="1"/>
    <col min="4892" max="4892" width="11.7109375" style="238" customWidth="1"/>
    <col min="4893" max="4893" width="0" style="238" hidden="1" customWidth="1"/>
    <col min="4894" max="4894" width="11" style="238" customWidth="1"/>
    <col min="4895" max="4895" width="0" style="238" hidden="1" customWidth="1"/>
    <col min="4896" max="4896" width="11.7109375" style="238" customWidth="1"/>
    <col min="4897" max="4897" width="11.85546875" style="238" customWidth="1"/>
    <col min="4898" max="4898" width="0" style="238" hidden="1" customWidth="1"/>
    <col min="4899" max="4899" width="11" style="238" customWidth="1"/>
    <col min="4900" max="4900" width="0" style="238" hidden="1" customWidth="1"/>
    <col min="4901" max="4902" width="11" style="238" customWidth="1"/>
    <col min="4903" max="4903" width="0" style="238" hidden="1" customWidth="1"/>
    <col min="4904" max="4904" width="11" style="238" customWidth="1"/>
    <col min="4905" max="4905" width="0" style="238" hidden="1" customWidth="1"/>
    <col min="4906" max="4906" width="11.5703125" style="238" customWidth="1"/>
    <col min="4907" max="4907" width="11.7109375" style="238" customWidth="1"/>
    <col min="4908" max="4908" width="0" style="238" hidden="1" customWidth="1"/>
    <col min="4909" max="4909" width="11" style="238" customWidth="1"/>
    <col min="4910" max="4910" width="0" style="238" hidden="1" customWidth="1"/>
    <col min="4911" max="4912" width="11.7109375" style="238" customWidth="1"/>
    <col min="4913" max="4913" width="0" style="238" hidden="1" customWidth="1"/>
    <col min="4914" max="4914" width="10.28515625" style="238" customWidth="1"/>
    <col min="4915" max="4915" width="0" style="238" hidden="1" customWidth="1"/>
    <col min="4916" max="4916" width="16.85546875" style="238" customWidth="1"/>
    <col min="4917" max="4918" width="10.28515625" style="238" customWidth="1"/>
    <col min="4919" max="5120" width="9.140625" style="238"/>
    <col min="5121" max="5121" width="4.85546875" style="238" customWidth="1"/>
    <col min="5122" max="5122" width="30.7109375" style="238" customWidth="1"/>
    <col min="5123" max="5128" width="0" style="238" hidden="1" customWidth="1"/>
    <col min="5129" max="5129" width="12.7109375" style="238" customWidth="1"/>
    <col min="5130" max="5130" width="12.85546875" style="238" customWidth="1"/>
    <col min="5131" max="5131" width="11" style="238" customWidth="1"/>
    <col min="5132" max="5132" width="11.7109375" style="238" customWidth="1"/>
    <col min="5133" max="5133" width="12.140625" style="238" customWidth="1"/>
    <col min="5134" max="5134" width="0" style="238" hidden="1" customWidth="1"/>
    <col min="5135" max="5135" width="11" style="238" customWidth="1"/>
    <col min="5136" max="5136" width="0" style="238" hidden="1" customWidth="1"/>
    <col min="5137" max="5138" width="11.7109375" style="238" customWidth="1"/>
    <col min="5139" max="5139" width="0" style="238" hidden="1" customWidth="1"/>
    <col min="5140" max="5140" width="11" style="238" customWidth="1"/>
    <col min="5141" max="5141" width="0" style="238" hidden="1" customWidth="1"/>
    <col min="5142" max="5143" width="11.7109375" style="238" customWidth="1"/>
    <col min="5144" max="5144" width="0" style="238" hidden="1" customWidth="1"/>
    <col min="5145" max="5145" width="11" style="238" customWidth="1"/>
    <col min="5146" max="5146" width="0" style="238" hidden="1" customWidth="1"/>
    <col min="5147" max="5147" width="11.85546875" style="238" customWidth="1"/>
    <col min="5148" max="5148" width="11.7109375" style="238" customWidth="1"/>
    <col min="5149" max="5149" width="0" style="238" hidden="1" customWidth="1"/>
    <col min="5150" max="5150" width="11" style="238" customWidth="1"/>
    <col min="5151" max="5151" width="0" style="238" hidden="1" customWidth="1"/>
    <col min="5152" max="5152" width="11.7109375" style="238" customWidth="1"/>
    <col min="5153" max="5153" width="11.85546875" style="238" customWidth="1"/>
    <col min="5154" max="5154" width="0" style="238" hidden="1" customWidth="1"/>
    <col min="5155" max="5155" width="11" style="238" customWidth="1"/>
    <col min="5156" max="5156" width="0" style="238" hidden="1" customWidth="1"/>
    <col min="5157" max="5158" width="11" style="238" customWidth="1"/>
    <col min="5159" max="5159" width="0" style="238" hidden="1" customWidth="1"/>
    <col min="5160" max="5160" width="11" style="238" customWidth="1"/>
    <col min="5161" max="5161" width="0" style="238" hidden="1" customWidth="1"/>
    <col min="5162" max="5162" width="11.5703125" style="238" customWidth="1"/>
    <col min="5163" max="5163" width="11.7109375" style="238" customWidth="1"/>
    <col min="5164" max="5164" width="0" style="238" hidden="1" customWidth="1"/>
    <col min="5165" max="5165" width="11" style="238" customWidth="1"/>
    <col min="5166" max="5166" width="0" style="238" hidden="1" customWidth="1"/>
    <col min="5167" max="5168" width="11.7109375" style="238" customWidth="1"/>
    <col min="5169" max="5169" width="0" style="238" hidden="1" customWidth="1"/>
    <col min="5170" max="5170" width="10.28515625" style="238" customWidth="1"/>
    <col min="5171" max="5171" width="0" style="238" hidden="1" customWidth="1"/>
    <col min="5172" max="5172" width="16.85546875" style="238" customWidth="1"/>
    <col min="5173" max="5174" width="10.28515625" style="238" customWidth="1"/>
    <col min="5175" max="5376" width="9.140625" style="238"/>
    <col min="5377" max="5377" width="4.85546875" style="238" customWidth="1"/>
    <col min="5378" max="5378" width="30.7109375" style="238" customWidth="1"/>
    <col min="5379" max="5384" width="0" style="238" hidden="1" customWidth="1"/>
    <col min="5385" max="5385" width="12.7109375" style="238" customWidth="1"/>
    <col min="5386" max="5386" width="12.85546875" style="238" customWidth="1"/>
    <col min="5387" max="5387" width="11" style="238" customWidth="1"/>
    <col min="5388" max="5388" width="11.7109375" style="238" customWidth="1"/>
    <col min="5389" max="5389" width="12.140625" style="238" customWidth="1"/>
    <col min="5390" max="5390" width="0" style="238" hidden="1" customWidth="1"/>
    <col min="5391" max="5391" width="11" style="238" customWidth="1"/>
    <col min="5392" max="5392" width="0" style="238" hidden="1" customWidth="1"/>
    <col min="5393" max="5394" width="11.7109375" style="238" customWidth="1"/>
    <col min="5395" max="5395" width="0" style="238" hidden="1" customWidth="1"/>
    <col min="5396" max="5396" width="11" style="238" customWidth="1"/>
    <col min="5397" max="5397" width="0" style="238" hidden="1" customWidth="1"/>
    <col min="5398" max="5399" width="11.7109375" style="238" customWidth="1"/>
    <col min="5400" max="5400" width="0" style="238" hidden="1" customWidth="1"/>
    <col min="5401" max="5401" width="11" style="238" customWidth="1"/>
    <col min="5402" max="5402" width="0" style="238" hidden="1" customWidth="1"/>
    <col min="5403" max="5403" width="11.85546875" style="238" customWidth="1"/>
    <col min="5404" max="5404" width="11.7109375" style="238" customWidth="1"/>
    <col min="5405" max="5405" width="0" style="238" hidden="1" customWidth="1"/>
    <col min="5406" max="5406" width="11" style="238" customWidth="1"/>
    <col min="5407" max="5407" width="0" style="238" hidden="1" customWidth="1"/>
    <col min="5408" max="5408" width="11.7109375" style="238" customWidth="1"/>
    <col min="5409" max="5409" width="11.85546875" style="238" customWidth="1"/>
    <col min="5410" max="5410" width="0" style="238" hidden="1" customWidth="1"/>
    <col min="5411" max="5411" width="11" style="238" customWidth="1"/>
    <col min="5412" max="5412" width="0" style="238" hidden="1" customWidth="1"/>
    <col min="5413" max="5414" width="11" style="238" customWidth="1"/>
    <col min="5415" max="5415" width="0" style="238" hidden="1" customWidth="1"/>
    <col min="5416" max="5416" width="11" style="238" customWidth="1"/>
    <col min="5417" max="5417" width="0" style="238" hidden="1" customWidth="1"/>
    <col min="5418" max="5418" width="11.5703125" style="238" customWidth="1"/>
    <col min="5419" max="5419" width="11.7109375" style="238" customWidth="1"/>
    <col min="5420" max="5420" width="0" style="238" hidden="1" customWidth="1"/>
    <col min="5421" max="5421" width="11" style="238" customWidth="1"/>
    <col min="5422" max="5422" width="0" style="238" hidden="1" customWidth="1"/>
    <col min="5423" max="5424" width="11.7109375" style="238" customWidth="1"/>
    <col min="5425" max="5425" width="0" style="238" hidden="1" customWidth="1"/>
    <col min="5426" max="5426" width="10.28515625" style="238" customWidth="1"/>
    <col min="5427" max="5427" width="0" style="238" hidden="1" customWidth="1"/>
    <col min="5428" max="5428" width="16.85546875" style="238" customWidth="1"/>
    <col min="5429" max="5430" width="10.28515625" style="238" customWidth="1"/>
    <col min="5431" max="5632" width="9.140625" style="238"/>
    <col min="5633" max="5633" width="4.85546875" style="238" customWidth="1"/>
    <col min="5634" max="5634" width="30.7109375" style="238" customWidth="1"/>
    <col min="5635" max="5640" width="0" style="238" hidden="1" customWidth="1"/>
    <col min="5641" max="5641" width="12.7109375" style="238" customWidth="1"/>
    <col min="5642" max="5642" width="12.85546875" style="238" customWidth="1"/>
    <col min="5643" max="5643" width="11" style="238" customWidth="1"/>
    <col min="5644" max="5644" width="11.7109375" style="238" customWidth="1"/>
    <col min="5645" max="5645" width="12.140625" style="238" customWidth="1"/>
    <col min="5646" max="5646" width="0" style="238" hidden="1" customWidth="1"/>
    <col min="5647" max="5647" width="11" style="238" customWidth="1"/>
    <col min="5648" max="5648" width="0" style="238" hidden="1" customWidth="1"/>
    <col min="5649" max="5650" width="11.7109375" style="238" customWidth="1"/>
    <col min="5651" max="5651" width="0" style="238" hidden="1" customWidth="1"/>
    <col min="5652" max="5652" width="11" style="238" customWidth="1"/>
    <col min="5653" max="5653" width="0" style="238" hidden="1" customWidth="1"/>
    <col min="5654" max="5655" width="11.7109375" style="238" customWidth="1"/>
    <col min="5656" max="5656" width="0" style="238" hidden="1" customWidth="1"/>
    <col min="5657" max="5657" width="11" style="238" customWidth="1"/>
    <col min="5658" max="5658" width="0" style="238" hidden="1" customWidth="1"/>
    <col min="5659" max="5659" width="11.85546875" style="238" customWidth="1"/>
    <col min="5660" max="5660" width="11.7109375" style="238" customWidth="1"/>
    <col min="5661" max="5661" width="0" style="238" hidden="1" customWidth="1"/>
    <col min="5662" max="5662" width="11" style="238" customWidth="1"/>
    <col min="5663" max="5663" width="0" style="238" hidden="1" customWidth="1"/>
    <col min="5664" max="5664" width="11.7109375" style="238" customWidth="1"/>
    <col min="5665" max="5665" width="11.85546875" style="238" customWidth="1"/>
    <col min="5666" max="5666" width="0" style="238" hidden="1" customWidth="1"/>
    <col min="5667" max="5667" width="11" style="238" customWidth="1"/>
    <col min="5668" max="5668" width="0" style="238" hidden="1" customWidth="1"/>
    <col min="5669" max="5670" width="11" style="238" customWidth="1"/>
    <col min="5671" max="5671" width="0" style="238" hidden="1" customWidth="1"/>
    <col min="5672" max="5672" width="11" style="238" customWidth="1"/>
    <col min="5673" max="5673" width="0" style="238" hidden="1" customWidth="1"/>
    <col min="5674" max="5674" width="11.5703125" style="238" customWidth="1"/>
    <col min="5675" max="5675" width="11.7109375" style="238" customWidth="1"/>
    <col min="5676" max="5676" width="0" style="238" hidden="1" customWidth="1"/>
    <col min="5677" max="5677" width="11" style="238" customWidth="1"/>
    <col min="5678" max="5678" width="0" style="238" hidden="1" customWidth="1"/>
    <col min="5679" max="5680" width="11.7109375" style="238" customWidth="1"/>
    <col min="5681" max="5681" width="0" style="238" hidden="1" customWidth="1"/>
    <col min="5682" max="5682" width="10.28515625" style="238" customWidth="1"/>
    <col min="5683" max="5683" width="0" style="238" hidden="1" customWidth="1"/>
    <col min="5684" max="5684" width="16.85546875" style="238" customWidth="1"/>
    <col min="5685" max="5686" width="10.28515625" style="238" customWidth="1"/>
    <col min="5687" max="5888" width="9.140625" style="238"/>
    <col min="5889" max="5889" width="4.85546875" style="238" customWidth="1"/>
    <col min="5890" max="5890" width="30.7109375" style="238" customWidth="1"/>
    <col min="5891" max="5896" width="0" style="238" hidden="1" customWidth="1"/>
    <col min="5897" max="5897" width="12.7109375" style="238" customWidth="1"/>
    <col min="5898" max="5898" width="12.85546875" style="238" customWidth="1"/>
    <col min="5899" max="5899" width="11" style="238" customWidth="1"/>
    <col min="5900" max="5900" width="11.7109375" style="238" customWidth="1"/>
    <col min="5901" max="5901" width="12.140625" style="238" customWidth="1"/>
    <col min="5902" max="5902" width="0" style="238" hidden="1" customWidth="1"/>
    <col min="5903" max="5903" width="11" style="238" customWidth="1"/>
    <col min="5904" max="5904" width="0" style="238" hidden="1" customWidth="1"/>
    <col min="5905" max="5906" width="11.7109375" style="238" customWidth="1"/>
    <col min="5907" max="5907" width="0" style="238" hidden="1" customWidth="1"/>
    <col min="5908" max="5908" width="11" style="238" customWidth="1"/>
    <col min="5909" max="5909" width="0" style="238" hidden="1" customWidth="1"/>
    <col min="5910" max="5911" width="11.7109375" style="238" customWidth="1"/>
    <col min="5912" max="5912" width="0" style="238" hidden="1" customWidth="1"/>
    <col min="5913" max="5913" width="11" style="238" customWidth="1"/>
    <col min="5914" max="5914" width="0" style="238" hidden="1" customWidth="1"/>
    <col min="5915" max="5915" width="11.85546875" style="238" customWidth="1"/>
    <col min="5916" max="5916" width="11.7109375" style="238" customWidth="1"/>
    <col min="5917" max="5917" width="0" style="238" hidden="1" customWidth="1"/>
    <col min="5918" max="5918" width="11" style="238" customWidth="1"/>
    <col min="5919" max="5919" width="0" style="238" hidden="1" customWidth="1"/>
    <col min="5920" max="5920" width="11.7109375" style="238" customWidth="1"/>
    <col min="5921" max="5921" width="11.85546875" style="238" customWidth="1"/>
    <col min="5922" max="5922" width="0" style="238" hidden="1" customWidth="1"/>
    <col min="5923" max="5923" width="11" style="238" customWidth="1"/>
    <col min="5924" max="5924" width="0" style="238" hidden="1" customWidth="1"/>
    <col min="5925" max="5926" width="11" style="238" customWidth="1"/>
    <col min="5927" max="5927" width="0" style="238" hidden="1" customWidth="1"/>
    <col min="5928" max="5928" width="11" style="238" customWidth="1"/>
    <col min="5929" max="5929" width="0" style="238" hidden="1" customWidth="1"/>
    <col min="5930" max="5930" width="11.5703125" style="238" customWidth="1"/>
    <col min="5931" max="5931" width="11.7109375" style="238" customWidth="1"/>
    <col min="5932" max="5932" width="0" style="238" hidden="1" customWidth="1"/>
    <col min="5933" max="5933" width="11" style="238" customWidth="1"/>
    <col min="5934" max="5934" width="0" style="238" hidden="1" customWidth="1"/>
    <col min="5935" max="5936" width="11.7109375" style="238" customWidth="1"/>
    <col min="5937" max="5937" width="0" style="238" hidden="1" customWidth="1"/>
    <col min="5938" max="5938" width="10.28515625" style="238" customWidth="1"/>
    <col min="5939" max="5939" width="0" style="238" hidden="1" customWidth="1"/>
    <col min="5940" max="5940" width="16.85546875" style="238" customWidth="1"/>
    <col min="5941" max="5942" width="10.28515625" style="238" customWidth="1"/>
    <col min="5943" max="6144" width="9.140625" style="238"/>
    <col min="6145" max="6145" width="4.85546875" style="238" customWidth="1"/>
    <col min="6146" max="6146" width="30.7109375" style="238" customWidth="1"/>
    <col min="6147" max="6152" width="0" style="238" hidden="1" customWidth="1"/>
    <col min="6153" max="6153" width="12.7109375" style="238" customWidth="1"/>
    <col min="6154" max="6154" width="12.85546875" style="238" customWidth="1"/>
    <col min="6155" max="6155" width="11" style="238" customWidth="1"/>
    <col min="6156" max="6156" width="11.7109375" style="238" customWidth="1"/>
    <col min="6157" max="6157" width="12.140625" style="238" customWidth="1"/>
    <col min="6158" max="6158" width="0" style="238" hidden="1" customWidth="1"/>
    <col min="6159" max="6159" width="11" style="238" customWidth="1"/>
    <col min="6160" max="6160" width="0" style="238" hidden="1" customWidth="1"/>
    <col min="6161" max="6162" width="11.7109375" style="238" customWidth="1"/>
    <col min="6163" max="6163" width="0" style="238" hidden="1" customWidth="1"/>
    <col min="6164" max="6164" width="11" style="238" customWidth="1"/>
    <col min="6165" max="6165" width="0" style="238" hidden="1" customWidth="1"/>
    <col min="6166" max="6167" width="11.7109375" style="238" customWidth="1"/>
    <col min="6168" max="6168" width="0" style="238" hidden="1" customWidth="1"/>
    <col min="6169" max="6169" width="11" style="238" customWidth="1"/>
    <col min="6170" max="6170" width="0" style="238" hidden="1" customWidth="1"/>
    <col min="6171" max="6171" width="11.85546875" style="238" customWidth="1"/>
    <col min="6172" max="6172" width="11.7109375" style="238" customWidth="1"/>
    <col min="6173" max="6173" width="0" style="238" hidden="1" customWidth="1"/>
    <col min="6174" max="6174" width="11" style="238" customWidth="1"/>
    <col min="6175" max="6175" width="0" style="238" hidden="1" customWidth="1"/>
    <col min="6176" max="6176" width="11.7109375" style="238" customWidth="1"/>
    <col min="6177" max="6177" width="11.85546875" style="238" customWidth="1"/>
    <col min="6178" max="6178" width="0" style="238" hidden="1" customWidth="1"/>
    <col min="6179" max="6179" width="11" style="238" customWidth="1"/>
    <col min="6180" max="6180" width="0" style="238" hidden="1" customWidth="1"/>
    <col min="6181" max="6182" width="11" style="238" customWidth="1"/>
    <col min="6183" max="6183" width="0" style="238" hidden="1" customWidth="1"/>
    <col min="6184" max="6184" width="11" style="238" customWidth="1"/>
    <col min="6185" max="6185" width="0" style="238" hidden="1" customWidth="1"/>
    <col min="6186" max="6186" width="11.5703125" style="238" customWidth="1"/>
    <col min="6187" max="6187" width="11.7109375" style="238" customWidth="1"/>
    <col min="6188" max="6188" width="0" style="238" hidden="1" customWidth="1"/>
    <col min="6189" max="6189" width="11" style="238" customWidth="1"/>
    <col min="6190" max="6190" width="0" style="238" hidden="1" customWidth="1"/>
    <col min="6191" max="6192" width="11.7109375" style="238" customWidth="1"/>
    <col min="6193" max="6193" width="0" style="238" hidden="1" customWidth="1"/>
    <col min="6194" max="6194" width="10.28515625" style="238" customWidth="1"/>
    <col min="6195" max="6195" width="0" style="238" hidden="1" customWidth="1"/>
    <col min="6196" max="6196" width="16.85546875" style="238" customWidth="1"/>
    <col min="6197" max="6198" width="10.28515625" style="238" customWidth="1"/>
    <col min="6199" max="6400" width="9.140625" style="238"/>
    <col min="6401" max="6401" width="4.85546875" style="238" customWidth="1"/>
    <col min="6402" max="6402" width="30.7109375" style="238" customWidth="1"/>
    <col min="6403" max="6408" width="0" style="238" hidden="1" customWidth="1"/>
    <col min="6409" max="6409" width="12.7109375" style="238" customWidth="1"/>
    <col min="6410" max="6410" width="12.85546875" style="238" customWidth="1"/>
    <col min="6411" max="6411" width="11" style="238" customWidth="1"/>
    <col min="6412" max="6412" width="11.7109375" style="238" customWidth="1"/>
    <col min="6413" max="6413" width="12.140625" style="238" customWidth="1"/>
    <col min="6414" max="6414" width="0" style="238" hidden="1" customWidth="1"/>
    <col min="6415" max="6415" width="11" style="238" customWidth="1"/>
    <col min="6416" max="6416" width="0" style="238" hidden="1" customWidth="1"/>
    <col min="6417" max="6418" width="11.7109375" style="238" customWidth="1"/>
    <col min="6419" max="6419" width="0" style="238" hidden="1" customWidth="1"/>
    <col min="6420" max="6420" width="11" style="238" customWidth="1"/>
    <col min="6421" max="6421" width="0" style="238" hidden="1" customWidth="1"/>
    <col min="6422" max="6423" width="11.7109375" style="238" customWidth="1"/>
    <col min="6424" max="6424" width="0" style="238" hidden="1" customWidth="1"/>
    <col min="6425" max="6425" width="11" style="238" customWidth="1"/>
    <col min="6426" max="6426" width="0" style="238" hidden="1" customWidth="1"/>
    <col min="6427" max="6427" width="11.85546875" style="238" customWidth="1"/>
    <col min="6428" max="6428" width="11.7109375" style="238" customWidth="1"/>
    <col min="6429" max="6429" width="0" style="238" hidden="1" customWidth="1"/>
    <col min="6430" max="6430" width="11" style="238" customWidth="1"/>
    <col min="6431" max="6431" width="0" style="238" hidden="1" customWidth="1"/>
    <col min="6432" max="6432" width="11.7109375" style="238" customWidth="1"/>
    <col min="6433" max="6433" width="11.85546875" style="238" customWidth="1"/>
    <col min="6434" max="6434" width="0" style="238" hidden="1" customWidth="1"/>
    <col min="6435" max="6435" width="11" style="238" customWidth="1"/>
    <col min="6436" max="6436" width="0" style="238" hidden="1" customWidth="1"/>
    <col min="6437" max="6438" width="11" style="238" customWidth="1"/>
    <col min="6439" max="6439" width="0" style="238" hidden="1" customWidth="1"/>
    <col min="6440" max="6440" width="11" style="238" customWidth="1"/>
    <col min="6441" max="6441" width="0" style="238" hidden="1" customWidth="1"/>
    <col min="6442" max="6442" width="11.5703125" style="238" customWidth="1"/>
    <col min="6443" max="6443" width="11.7109375" style="238" customWidth="1"/>
    <col min="6444" max="6444" width="0" style="238" hidden="1" customWidth="1"/>
    <col min="6445" max="6445" width="11" style="238" customWidth="1"/>
    <col min="6446" max="6446" width="0" style="238" hidden="1" customWidth="1"/>
    <col min="6447" max="6448" width="11.7109375" style="238" customWidth="1"/>
    <col min="6449" max="6449" width="0" style="238" hidden="1" customWidth="1"/>
    <col min="6450" max="6450" width="10.28515625" style="238" customWidth="1"/>
    <col min="6451" max="6451" width="0" style="238" hidden="1" customWidth="1"/>
    <col min="6452" max="6452" width="16.85546875" style="238" customWidth="1"/>
    <col min="6453" max="6454" width="10.28515625" style="238" customWidth="1"/>
    <col min="6455" max="6656" width="9.140625" style="238"/>
    <col min="6657" max="6657" width="4.85546875" style="238" customWidth="1"/>
    <col min="6658" max="6658" width="30.7109375" style="238" customWidth="1"/>
    <col min="6659" max="6664" width="0" style="238" hidden="1" customWidth="1"/>
    <col min="6665" max="6665" width="12.7109375" style="238" customWidth="1"/>
    <col min="6666" max="6666" width="12.85546875" style="238" customWidth="1"/>
    <col min="6667" max="6667" width="11" style="238" customWidth="1"/>
    <col min="6668" max="6668" width="11.7109375" style="238" customWidth="1"/>
    <col min="6669" max="6669" width="12.140625" style="238" customWidth="1"/>
    <col min="6670" max="6670" width="0" style="238" hidden="1" customWidth="1"/>
    <col min="6671" max="6671" width="11" style="238" customWidth="1"/>
    <col min="6672" max="6672" width="0" style="238" hidden="1" customWidth="1"/>
    <col min="6673" max="6674" width="11.7109375" style="238" customWidth="1"/>
    <col min="6675" max="6675" width="0" style="238" hidden="1" customWidth="1"/>
    <col min="6676" max="6676" width="11" style="238" customWidth="1"/>
    <col min="6677" max="6677" width="0" style="238" hidden="1" customWidth="1"/>
    <col min="6678" max="6679" width="11.7109375" style="238" customWidth="1"/>
    <col min="6680" max="6680" width="0" style="238" hidden="1" customWidth="1"/>
    <col min="6681" max="6681" width="11" style="238" customWidth="1"/>
    <col min="6682" max="6682" width="0" style="238" hidden="1" customWidth="1"/>
    <col min="6683" max="6683" width="11.85546875" style="238" customWidth="1"/>
    <col min="6684" max="6684" width="11.7109375" style="238" customWidth="1"/>
    <col min="6685" max="6685" width="0" style="238" hidden="1" customWidth="1"/>
    <col min="6686" max="6686" width="11" style="238" customWidth="1"/>
    <col min="6687" max="6687" width="0" style="238" hidden="1" customWidth="1"/>
    <col min="6688" max="6688" width="11.7109375" style="238" customWidth="1"/>
    <col min="6689" max="6689" width="11.85546875" style="238" customWidth="1"/>
    <col min="6690" max="6690" width="0" style="238" hidden="1" customWidth="1"/>
    <col min="6691" max="6691" width="11" style="238" customWidth="1"/>
    <col min="6692" max="6692" width="0" style="238" hidden="1" customWidth="1"/>
    <col min="6693" max="6694" width="11" style="238" customWidth="1"/>
    <col min="6695" max="6695" width="0" style="238" hidden="1" customWidth="1"/>
    <col min="6696" max="6696" width="11" style="238" customWidth="1"/>
    <col min="6697" max="6697" width="0" style="238" hidden="1" customWidth="1"/>
    <col min="6698" max="6698" width="11.5703125" style="238" customWidth="1"/>
    <col min="6699" max="6699" width="11.7109375" style="238" customWidth="1"/>
    <col min="6700" max="6700" width="0" style="238" hidden="1" customWidth="1"/>
    <col min="6701" max="6701" width="11" style="238" customWidth="1"/>
    <col min="6702" max="6702" width="0" style="238" hidden="1" customWidth="1"/>
    <col min="6703" max="6704" width="11.7109375" style="238" customWidth="1"/>
    <col min="6705" max="6705" width="0" style="238" hidden="1" customWidth="1"/>
    <col min="6706" max="6706" width="10.28515625" style="238" customWidth="1"/>
    <col min="6707" max="6707" width="0" style="238" hidden="1" customWidth="1"/>
    <col min="6708" max="6708" width="16.85546875" style="238" customWidth="1"/>
    <col min="6709" max="6710" width="10.28515625" style="238" customWidth="1"/>
    <col min="6711" max="6912" width="9.140625" style="238"/>
    <col min="6913" max="6913" width="4.85546875" style="238" customWidth="1"/>
    <col min="6914" max="6914" width="30.7109375" style="238" customWidth="1"/>
    <col min="6915" max="6920" width="0" style="238" hidden="1" customWidth="1"/>
    <col min="6921" max="6921" width="12.7109375" style="238" customWidth="1"/>
    <col min="6922" max="6922" width="12.85546875" style="238" customWidth="1"/>
    <col min="6923" max="6923" width="11" style="238" customWidth="1"/>
    <col min="6924" max="6924" width="11.7109375" style="238" customWidth="1"/>
    <col min="6925" max="6925" width="12.140625" style="238" customWidth="1"/>
    <col min="6926" max="6926" width="0" style="238" hidden="1" customWidth="1"/>
    <col min="6927" max="6927" width="11" style="238" customWidth="1"/>
    <col min="6928" max="6928" width="0" style="238" hidden="1" customWidth="1"/>
    <col min="6929" max="6930" width="11.7109375" style="238" customWidth="1"/>
    <col min="6931" max="6931" width="0" style="238" hidden="1" customWidth="1"/>
    <col min="6932" max="6932" width="11" style="238" customWidth="1"/>
    <col min="6933" max="6933" width="0" style="238" hidden="1" customWidth="1"/>
    <col min="6934" max="6935" width="11.7109375" style="238" customWidth="1"/>
    <col min="6936" max="6936" width="0" style="238" hidden="1" customWidth="1"/>
    <col min="6937" max="6937" width="11" style="238" customWidth="1"/>
    <col min="6938" max="6938" width="0" style="238" hidden="1" customWidth="1"/>
    <col min="6939" max="6939" width="11.85546875" style="238" customWidth="1"/>
    <col min="6940" max="6940" width="11.7109375" style="238" customWidth="1"/>
    <col min="6941" max="6941" width="0" style="238" hidden="1" customWidth="1"/>
    <col min="6942" max="6942" width="11" style="238" customWidth="1"/>
    <col min="6943" max="6943" width="0" style="238" hidden="1" customWidth="1"/>
    <col min="6944" max="6944" width="11.7109375" style="238" customWidth="1"/>
    <col min="6945" max="6945" width="11.85546875" style="238" customWidth="1"/>
    <col min="6946" max="6946" width="0" style="238" hidden="1" customWidth="1"/>
    <col min="6947" max="6947" width="11" style="238" customWidth="1"/>
    <col min="6948" max="6948" width="0" style="238" hidden="1" customWidth="1"/>
    <col min="6949" max="6950" width="11" style="238" customWidth="1"/>
    <col min="6951" max="6951" width="0" style="238" hidden="1" customWidth="1"/>
    <col min="6952" max="6952" width="11" style="238" customWidth="1"/>
    <col min="6953" max="6953" width="0" style="238" hidden="1" customWidth="1"/>
    <col min="6954" max="6954" width="11.5703125" style="238" customWidth="1"/>
    <col min="6955" max="6955" width="11.7109375" style="238" customWidth="1"/>
    <col min="6956" max="6956" width="0" style="238" hidden="1" customWidth="1"/>
    <col min="6957" max="6957" width="11" style="238" customWidth="1"/>
    <col min="6958" max="6958" width="0" style="238" hidden="1" customWidth="1"/>
    <col min="6959" max="6960" width="11.7109375" style="238" customWidth="1"/>
    <col min="6961" max="6961" width="0" style="238" hidden="1" customWidth="1"/>
    <col min="6962" max="6962" width="10.28515625" style="238" customWidth="1"/>
    <col min="6963" max="6963" width="0" style="238" hidden="1" customWidth="1"/>
    <col min="6964" max="6964" width="16.85546875" style="238" customWidth="1"/>
    <col min="6965" max="6966" width="10.28515625" style="238" customWidth="1"/>
    <col min="6967" max="7168" width="9.140625" style="238"/>
    <col min="7169" max="7169" width="4.85546875" style="238" customWidth="1"/>
    <col min="7170" max="7170" width="30.7109375" style="238" customWidth="1"/>
    <col min="7171" max="7176" width="0" style="238" hidden="1" customWidth="1"/>
    <col min="7177" max="7177" width="12.7109375" style="238" customWidth="1"/>
    <col min="7178" max="7178" width="12.85546875" style="238" customWidth="1"/>
    <col min="7179" max="7179" width="11" style="238" customWidth="1"/>
    <col min="7180" max="7180" width="11.7109375" style="238" customWidth="1"/>
    <col min="7181" max="7181" width="12.140625" style="238" customWidth="1"/>
    <col min="7182" max="7182" width="0" style="238" hidden="1" customWidth="1"/>
    <col min="7183" max="7183" width="11" style="238" customWidth="1"/>
    <col min="7184" max="7184" width="0" style="238" hidden="1" customWidth="1"/>
    <col min="7185" max="7186" width="11.7109375" style="238" customWidth="1"/>
    <col min="7187" max="7187" width="0" style="238" hidden="1" customWidth="1"/>
    <col min="7188" max="7188" width="11" style="238" customWidth="1"/>
    <col min="7189" max="7189" width="0" style="238" hidden="1" customWidth="1"/>
    <col min="7190" max="7191" width="11.7109375" style="238" customWidth="1"/>
    <col min="7192" max="7192" width="0" style="238" hidden="1" customWidth="1"/>
    <col min="7193" max="7193" width="11" style="238" customWidth="1"/>
    <col min="7194" max="7194" width="0" style="238" hidden="1" customWidth="1"/>
    <col min="7195" max="7195" width="11.85546875" style="238" customWidth="1"/>
    <col min="7196" max="7196" width="11.7109375" style="238" customWidth="1"/>
    <col min="7197" max="7197" width="0" style="238" hidden="1" customWidth="1"/>
    <col min="7198" max="7198" width="11" style="238" customWidth="1"/>
    <col min="7199" max="7199" width="0" style="238" hidden="1" customWidth="1"/>
    <col min="7200" max="7200" width="11.7109375" style="238" customWidth="1"/>
    <col min="7201" max="7201" width="11.85546875" style="238" customWidth="1"/>
    <col min="7202" max="7202" width="0" style="238" hidden="1" customWidth="1"/>
    <col min="7203" max="7203" width="11" style="238" customWidth="1"/>
    <col min="7204" max="7204" width="0" style="238" hidden="1" customWidth="1"/>
    <col min="7205" max="7206" width="11" style="238" customWidth="1"/>
    <col min="7207" max="7207" width="0" style="238" hidden="1" customWidth="1"/>
    <col min="7208" max="7208" width="11" style="238" customWidth="1"/>
    <col min="7209" max="7209" width="0" style="238" hidden="1" customWidth="1"/>
    <col min="7210" max="7210" width="11.5703125" style="238" customWidth="1"/>
    <col min="7211" max="7211" width="11.7109375" style="238" customWidth="1"/>
    <col min="7212" max="7212" width="0" style="238" hidden="1" customWidth="1"/>
    <col min="7213" max="7213" width="11" style="238" customWidth="1"/>
    <col min="7214" max="7214" width="0" style="238" hidden="1" customWidth="1"/>
    <col min="7215" max="7216" width="11.7109375" style="238" customWidth="1"/>
    <col min="7217" max="7217" width="0" style="238" hidden="1" customWidth="1"/>
    <col min="7218" max="7218" width="10.28515625" style="238" customWidth="1"/>
    <col min="7219" max="7219" width="0" style="238" hidden="1" customWidth="1"/>
    <col min="7220" max="7220" width="16.85546875" style="238" customWidth="1"/>
    <col min="7221" max="7222" width="10.28515625" style="238" customWidth="1"/>
    <col min="7223" max="7424" width="9.140625" style="238"/>
    <col min="7425" max="7425" width="4.85546875" style="238" customWidth="1"/>
    <col min="7426" max="7426" width="30.7109375" style="238" customWidth="1"/>
    <col min="7427" max="7432" width="0" style="238" hidden="1" customWidth="1"/>
    <col min="7433" max="7433" width="12.7109375" style="238" customWidth="1"/>
    <col min="7434" max="7434" width="12.85546875" style="238" customWidth="1"/>
    <col min="7435" max="7435" width="11" style="238" customWidth="1"/>
    <col min="7436" max="7436" width="11.7109375" style="238" customWidth="1"/>
    <col min="7437" max="7437" width="12.140625" style="238" customWidth="1"/>
    <col min="7438" max="7438" width="0" style="238" hidden="1" customWidth="1"/>
    <col min="7439" max="7439" width="11" style="238" customWidth="1"/>
    <col min="7440" max="7440" width="0" style="238" hidden="1" customWidth="1"/>
    <col min="7441" max="7442" width="11.7109375" style="238" customWidth="1"/>
    <col min="7443" max="7443" width="0" style="238" hidden="1" customWidth="1"/>
    <col min="7444" max="7444" width="11" style="238" customWidth="1"/>
    <col min="7445" max="7445" width="0" style="238" hidden="1" customWidth="1"/>
    <col min="7446" max="7447" width="11.7109375" style="238" customWidth="1"/>
    <col min="7448" max="7448" width="0" style="238" hidden="1" customWidth="1"/>
    <col min="7449" max="7449" width="11" style="238" customWidth="1"/>
    <col min="7450" max="7450" width="0" style="238" hidden="1" customWidth="1"/>
    <col min="7451" max="7451" width="11.85546875" style="238" customWidth="1"/>
    <col min="7452" max="7452" width="11.7109375" style="238" customWidth="1"/>
    <col min="7453" max="7453" width="0" style="238" hidden="1" customWidth="1"/>
    <col min="7454" max="7454" width="11" style="238" customWidth="1"/>
    <col min="7455" max="7455" width="0" style="238" hidden="1" customWidth="1"/>
    <col min="7456" max="7456" width="11.7109375" style="238" customWidth="1"/>
    <col min="7457" max="7457" width="11.85546875" style="238" customWidth="1"/>
    <col min="7458" max="7458" width="0" style="238" hidden="1" customWidth="1"/>
    <col min="7459" max="7459" width="11" style="238" customWidth="1"/>
    <col min="7460" max="7460" width="0" style="238" hidden="1" customWidth="1"/>
    <col min="7461" max="7462" width="11" style="238" customWidth="1"/>
    <col min="7463" max="7463" width="0" style="238" hidden="1" customWidth="1"/>
    <col min="7464" max="7464" width="11" style="238" customWidth="1"/>
    <col min="7465" max="7465" width="0" style="238" hidden="1" customWidth="1"/>
    <col min="7466" max="7466" width="11.5703125" style="238" customWidth="1"/>
    <col min="7467" max="7467" width="11.7109375" style="238" customWidth="1"/>
    <col min="7468" max="7468" width="0" style="238" hidden="1" customWidth="1"/>
    <col min="7469" max="7469" width="11" style="238" customWidth="1"/>
    <col min="7470" max="7470" width="0" style="238" hidden="1" customWidth="1"/>
    <col min="7471" max="7472" width="11.7109375" style="238" customWidth="1"/>
    <col min="7473" max="7473" width="0" style="238" hidden="1" customWidth="1"/>
    <col min="7474" max="7474" width="10.28515625" style="238" customWidth="1"/>
    <col min="7475" max="7475" width="0" style="238" hidden="1" customWidth="1"/>
    <col min="7476" max="7476" width="16.85546875" style="238" customWidth="1"/>
    <col min="7477" max="7478" width="10.28515625" style="238" customWidth="1"/>
    <col min="7479" max="7680" width="9.140625" style="238"/>
    <col min="7681" max="7681" width="4.85546875" style="238" customWidth="1"/>
    <col min="7682" max="7682" width="30.7109375" style="238" customWidth="1"/>
    <col min="7683" max="7688" width="0" style="238" hidden="1" customWidth="1"/>
    <col min="7689" max="7689" width="12.7109375" style="238" customWidth="1"/>
    <col min="7690" max="7690" width="12.85546875" style="238" customWidth="1"/>
    <col min="7691" max="7691" width="11" style="238" customWidth="1"/>
    <col min="7692" max="7692" width="11.7109375" style="238" customWidth="1"/>
    <col min="7693" max="7693" width="12.140625" style="238" customWidth="1"/>
    <col min="7694" max="7694" width="0" style="238" hidden="1" customWidth="1"/>
    <col min="7695" max="7695" width="11" style="238" customWidth="1"/>
    <col min="7696" max="7696" width="0" style="238" hidden="1" customWidth="1"/>
    <col min="7697" max="7698" width="11.7109375" style="238" customWidth="1"/>
    <col min="7699" max="7699" width="0" style="238" hidden="1" customWidth="1"/>
    <col min="7700" max="7700" width="11" style="238" customWidth="1"/>
    <col min="7701" max="7701" width="0" style="238" hidden="1" customWidth="1"/>
    <col min="7702" max="7703" width="11.7109375" style="238" customWidth="1"/>
    <col min="7704" max="7704" width="0" style="238" hidden="1" customWidth="1"/>
    <col min="7705" max="7705" width="11" style="238" customWidth="1"/>
    <col min="7706" max="7706" width="0" style="238" hidden="1" customWidth="1"/>
    <col min="7707" max="7707" width="11.85546875" style="238" customWidth="1"/>
    <col min="7708" max="7708" width="11.7109375" style="238" customWidth="1"/>
    <col min="7709" max="7709" width="0" style="238" hidden="1" customWidth="1"/>
    <col min="7710" max="7710" width="11" style="238" customWidth="1"/>
    <col min="7711" max="7711" width="0" style="238" hidden="1" customWidth="1"/>
    <col min="7712" max="7712" width="11.7109375" style="238" customWidth="1"/>
    <col min="7713" max="7713" width="11.85546875" style="238" customWidth="1"/>
    <col min="7714" max="7714" width="0" style="238" hidden="1" customWidth="1"/>
    <col min="7715" max="7715" width="11" style="238" customWidth="1"/>
    <col min="7716" max="7716" width="0" style="238" hidden="1" customWidth="1"/>
    <col min="7717" max="7718" width="11" style="238" customWidth="1"/>
    <col min="7719" max="7719" width="0" style="238" hidden="1" customWidth="1"/>
    <col min="7720" max="7720" width="11" style="238" customWidth="1"/>
    <col min="7721" max="7721" width="0" style="238" hidden="1" customWidth="1"/>
    <col min="7722" max="7722" width="11.5703125" style="238" customWidth="1"/>
    <col min="7723" max="7723" width="11.7109375" style="238" customWidth="1"/>
    <col min="7724" max="7724" width="0" style="238" hidden="1" customWidth="1"/>
    <col min="7725" max="7725" width="11" style="238" customWidth="1"/>
    <col min="7726" max="7726" width="0" style="238" hidden="1" customWidth="1"/>
    <col min="7727" max="7728" width="11.7109375" style="238" customWidth="1"/>
    <col min="7729" max="7729" width="0" style="238" hidden="1" customWidth="1"/>
    <col min="7730" max="7730" width="10.28515625" style="238" customWidth="1"/>
    <col min="7731" max="7731" width="0" style="238" hidden="1" customWidth="1"/>
    <col min="7732" max="7732" width="16.85546875" style="238" customWidth="1"/>
    <col min="7733" max="7734" width="10.28515625" style="238" customWidth="1"/>
    <col min="7735" max="7936" width="9.140625" style="238"/>
    <col min="7937" max="7937" width="4.85546875" style="238" customWidth="1"/>
    <col min="7938" max="7938" width="30.7109375" style="238" customWidth="1"/>
    <col min="7939" max="7944" width="0" style="238" hidden="1" customWidth="1"/>
    <col min="7945" max="7945" width="12.7109375" style="238" customWidth="1"/>
    <col min="7946" max="7946" width="12.85546875" style="238" customWidth="1"/>
    <col min="7947" max="7947" width="11" style="238" customWidth="1"/>
    <col min="7948" max="7948" width="11.7109375" style="238" customWidth="1"/>
    <col min="7949" max="7949" width="12.140625" style="238" customWidth="1"/>
    <col min="7950" max="7950" width="0" style="238" hidden="1" customWidth="1"/>
    <col min="7951" max="7951" width="11" style="238" customWidth="1"/>
    <col min="7952" max="7952" width="0" style="238" hidden="1" customWidth="1"/>
    <col min="7953" max="7954" width="11.7109375" style="238" customWidth="1"/>
    <col min="7955" max="7955" width="0" style="238" hidden="1" customWidth="1"/>
    <col min="7956" max="7956" width="11" style="238" customWidth="1"/>
    <col min="7957" max="7957" width="0" style="238" hidden="1" customWidth="1"/>
    <col min="7958" max="7959" width="11.7109375" style="238" customWidth="1"/>
    <col min="7960" max="7960" width="0" style="238" hidden="1" customWidth="1"/>
    <col min="7961" max="7961" width="11" style="238" customWidth="1"/>
    <col min="7962" max="7962" width="0" style="238" hidden="1" customWidth="1"/>
    <col min="7963" max="7963" width="11.85546875" style="238" customWidth="1"/>
    <col min="7964" max="7964" width="11.7109375" style="238" customWidth="1"/>
    <col min="7965" max="7965" width="0" style="238" hidden="1" customWidth="1"/>
    <col min="7966" max="7966" width="11" style="238" customWidth="1"/>
    <col min="7967" max="7967" width="0" style="238" hidden="1" customWidth="1"/>
    <col min="7968" max="7968" width="11.7109375" style="238" customWidth="1"/>
    <col min="7969" max="7969" width="11.85546875" style="238" customWidth="1"/>
    <col min="7970" max="7970" width="0" style="238" hidden="1" customWidth="1"/>
    <col min="7971" max="7971" width="11" style="238" customWidth="1"/>
    <col min="7972" max="7972" width="0" style="238" hidden="1" customWidth="1"/>
    <col min="7973" max="7974" width="11" style="238" customWidth="1"/>
    <col min="7975" max="7975" width="0" style="238" hidden="1" customWidth="1"/>
    <col min="7976" max="7976" width="11" style="238" customWidth="1"/>
    <col min="7977" max="7977" width="0" style="238" hidden="1" customWidth="1"/>
    <col min="7978" max="7978" width="11.5703125" style="238" customWidth="1"/>
    <col min="7979" max="7979" width="11.7109375" style="238" customWidth="1"/>
    <col min="7980" max="7980" width="0" style="238" hidden="1" customWidth="1"/>
    <col min="7981" max="7981" width="11" style="238" customWidth="1"/>
    <col min="7982" max="7982" width="0" style="238" hidden="1" customWidth="1"/>
    <col min="7983" max="7984" width="11.7109375" style="238" customWidth="1"/>
    <col min="7985" max="7985" width="0" style="238" hidden="1" customWidth="1"/>
    <col min="7986" max="7986" width="10.28515625" style="238" customWidth="1"/>
    <col min="7987" max="7987" width="0" style="238" hidden="1" customWidth="1"/>
    <col min="7988" max="7988" width="16.85546875" style="238" customWidth="1"/>
    <col min="7989" max="7990" width="10.28515625" style="238" customWidth="1"/>
    <col min="7991" max="8192" width="9.140625" style="238"/>
    <col min="8193" max="8193" width="4.85546875" style="238" customWidth="1"/>
    <col min="8194" max="8194" width="30.7109375" style="238" customWidth="1"/>
    <col min="8195" max="8200" width="0" style="238" hidden="1" customWidth="1"/>
    <col min="8201" max="8201" width="12.7109375" style="238" customWidth="1"/>
    <col min="8202" max="8202" width="12.85546875" style="238" customWidth="1"/>
    <col min="8203" max="8203" width="11" style="238" customWidth="1"/>
    <col min="8204" max="8204" width="11.7109375" style="238" customWidth="1"/>
    <col min="8205" max="8205" width="12.140625" style="238" customWidth="1"/>
    <col min="8206" max="8206" width="0" style="238" hidden="1" customWidth="1"/>
    <col min="8207" max="8207" width="11" style="238" customWidth="1"/>
    <col min="8208" max="8208" width="0" style="238" hidden="1" customWidth="1"/>
    <col min="8209" max="8210" width="11.7109375" style="238" customWidth="1"/>
    <col min="8211" max="8211" width="0" style="238" hidden="1" customWidth="1"/>
    <col min="8212" max="8212" width="11" style="238" customWidth="1"/>
    <col min="8213" max="8213" width="0" style="238" hidden="1" customWidth="1"/>
    <col min="8214" max="8215" width="11.7109375" style="238" customWidth="1"/>
    <col min="8216" max="8216" width="0" style="238" hidden="1" customWidth="1"/>
    <col min="8217" max="8217" width="11" style="238" customWidth="1"/>
    <col min="8218" max="8218" width="0" style="238" hidden="1" customWidth="1"/>
    <col min="8219" max="8219" width="11.85546875" style="238" customWidth="1"/>
    <col min="8220" max="8220" width="11.7109375" style="238" customWidth="1"/>
    <col min="8221" max="8221" width="0" style="238" hidden="1" customWidth="1"/>
    <col min="8222" max="8222" width="11" style="238" customWidth="1"/>
    <col min="8223" max="8223" width="0" style="238" hidden="1" customWidth="1"/>
    <col min="8224" max="8224" width="11.7109375" style="238" customWidth="1"/>
    <col min="8225" max="8225" width="11.85546875" style="238" customWidth="1"/>
    <col min="8226" max="8226" width="0" style="238" hidden="1" customWidth="1"/>
    <col min="8227" max="8227" width="11" style="238" customWidth="1"/>
    <col min="8228" max="8228" width="0" style="238" hidden="1" customWidth="1"/>
    <col min="8229" max="8230" width="11" style="238" customWidth="1"/>
    <col min="8231" max="8231" width="0" style="238" hidden="1" customWidth="1"/>
    <col min="8232" max="8232" width="11" style="238" customWidth="1"/>
    <col min="8233" max="8233" width="0" style="238" hidden="1" customWidth="1"/>
    <col min="8234" max="8234" width="11.5703125" style="238" customWidth="1"/>
    <col min="8235" max="8235" width="11.7109375" style="238" customWidth="1"/>
    <col min="8236" max="8236" width="0" style="238" hidden="1" customWidth="1"/>
    <col min="8237" max="8237" width="11" style="238" customWidth="1"/>
    <col min="8238" max="8238" width="0" style="238" hidden="1" customWidth="1"/>
    <col min="8239" max="8240" width="11.7109375" style="238" customWidth="1"/>
    <col min="8241" max="8241" width="0" style="238" hidden="1" customWidth="1"/>
    <col min="8242" max="8242" width="10.28515625" style="238" customWidth="1"/>
    <col min="8243" max="8243" width="0" style="238" hidden="1" customWidth="1"/>
    <col min="8244" max="8244" width="16.85546875" style="238" customWidth="1"/>
    <col min="8245" max="8246" width="10.28515625" style="238" customWidth="1"/>
    <col min="8247" max="8448" width="9.140625" style="238"/>
    <col min="8449" max="8449" width="4.85546875" style="238" customWidth="1"/>
    <col min="8450" max="8450" width="30.7109375" style="238" customWidth="1"/>
    <col min="8451" max="8456" width="0" style="238" hidden="1" customWidth="1"/>
    <col min="8457" max="8457" width="12.7109375" style="238" customWidth="1"/>
    <col min="8458" max="8458" width="12.85546875" style="238" customWidth="1"/>
    <col min="8459" max="8459" width="11" style="238" customWidth="1"/>
    <col min="8460" max="8460" width="11.7109375" style="238" customWidth="1"/>
    <col min="8461" max="8461" width="12.140625" style="238" customWidth="1"/>
    <col min="8462" max="8462" width="0" style="238" hidden="1" customWidth="1"/>
    <col min="8463" max="8463" width="11" style="238" customWidth="1"/>
    <col min="8464" max="8464" width="0" style="238" hidden="1" customWidth="1"/>
    <col min="8465" max="8466" width="11.7109375" style="238" customWidth="1"/>
    <col min="8467" max="8467" width="0" style="238" hidden="1" customWidth="1"/>
    <col min="8468" max="8468" width="11" style="238" customWidth="1"/>
    <col min="8469" max="8469" width="0" style="238" hidden="1" customWidth="1"/>
    <col min="8470" max="8471" width="11.7109375" style="238" customWidth="1"/>
    <col min="8472" max="8472" width="0" style="238" hidden="1" customWidth="1"/>
    <col min="8473" max="8473" width="11" style="238" customWidth="1"/>
    <col min="8474" max="8474" width="0" style="238" hidden="1" customWidth="1"/>
    <col min="8475" max="8475" width="11.85546875" style="238" customWidth="1"/>
    <col min="8476" max="8476" width="11.7109375" style="238" customWidth="1"/>
    <col min="8477" max="8477" width="0" style="238" hidden="1" customWidth="1"/>
    <col min="8478" max="8478" width="11" style="238" customWidth="1"/>
    <col min="8479" max="8479" width="0" style="238" hidden="1" customWidth="1"/>
    <col min="8480" max="8480" width="11.7109375" style="238" customWidth="1"/>
    <col min="8481" max="8481" width="11.85546875" style="238" customWidth="1"/>
    <col min="8482" max="8482" width="0" style="238" hidden="1" customWidth="1"/>
    <col min="8483" max="8483" width="11" style="238" customWidth="1"/>
    <col min="8484" max="8484" width="0" style="238" hidden="1" customWidth="1"/>
    <col min="8485" max="8486" width="11" style="238" customWidth="1"/>
    <col min="8487" max="8487" width="0" style="238" hidden="1" customWidth="1"/>
    <col min="8488" max="8488" width="11" style="238" customWidth="1"/>
    <col min="8489" max="8489" width="0" style="238" hidden="1" customWidth="1"/>
    <col min="8490" max="8490" width="11.5703125" style="238" customWidth="1"/>
    <col min="8491" max="8491" width="11.7109375" style="238" customWidth="1"/>
    <col min="8492" max="8492" width="0" style="238" hidden="1" customWidth="1"/>
    <col min="8493" max="8493" width="11" style="238" customWidth="1"/>
    <col min="8494" max="8494" width="0" style="238" hidden="1" customWidth="1"/>
    <col min="8495" max="8496" width="11.7109375" style="238" customWidth="1"/>
    <col min="8497" max="8497" width="0" style="238" hidden="1" customWidth="1"/>
    <col min="8498" max="8498" width="10.28515625" style="238" customWidth="1"/>
    <col min="8499" max="8499" width="0" style="238" hidden="1" customWidth="1"/>
    <col min="8500" max="8500" width="16.85546875" style="238" customWidth="1"/>
    <col min="8501" max="8502" width="10.28515625" style="238" customWidth="1"/>
    <col min="8503" max="8704" width="9.140625" style="238"/>
    <col min="8705" max="8705" width="4.85546875" style="238" customWidth="1"/>
    <col min="8706" max="8706" width="30.7109375" style="238" customWidth="1"/>
    <col min="8707" max="8712" width="0" style="238" hidden="1" customWidth="1"/>
    <col min="8713" max="8713" width="12.7109375" style="238" customWidth="1"/>
    <col min="8714" max="8714" width="12.85546875" style="238" customWidth="1"/>
    <col min="8715" max="8715" width="11" style="238" customWidth="1"/>
    <col min="8716" max="8716" width="11.7109375" style="238" customWidth="1"/>
    <col min="8717" max="8717" width="12.140625" style="238" customWidth="1"/>
    <col min="8718" max="8718" width="0" style="238" hidden="1" customWidth="1"/>
    <col min="8719" max="8719" width="11" style="238" customWidth="1"/>
    <col min="8720" max="8720" width="0" style="238" hidden="1" customWidth="1"/>
    <col min="8721" max="8722" width="11.7109375" style="238" customWidth="1"/>
    <col min="8723" max="8723" width="0" style="238" hidden="1" customWidth="1"/>
    <col min="8724" max="8724" width="11" style="238" customWidth="1"/>
    <col min="8725" max="8725" width="0" style="238" hidden="1" customWidth="1"/>
    <col min="8726" max="8727" width="11.7109375" style="238" customWidth="1"/>
    <col min="8728" max="8728" width="0" style="238" hidden="1" customWidth="1"/>
    <col min="8729" max="8729" width="11" style="238" customWidth="1"/>
    <col min="8730" max="8730" width="0" style="238" hidden="1" customWidth="1"/>
    <col min="8731" max="8731" width="11.85546875" style="238" customWidth="1"/>
    <col min="8732" max="8732" width="11.7109375" style="238" customWidth="1"/>
    <col min="8733" max="8733" width="0" style="238" hidden="1" customWidth="1"/>
    <col min="8734" max="8734" width="11" style="238" customWidth="1"/>
    <col min="8735" max="8735" width="0" style="238" hidden="1" customWidth="1"/>
    <col min="8736" max="8736" width="11.7109375" style="238" customWidth="1"/>
    <col min="8737" max="8737" width="11.85546875" style="238" customWidth="1"/>
    <col min="8738" max="8738" width="0" style="238" hidden="1" customWidth="1"/>
    <col min="8739" max="8739" width="11" style="238" customWidth="1"/>
    <col min="8740" max="8740" width="0" style="238" hidden="1" customWidth="1"/>
    <col min="8741" max="8742" width="11" style="238" customWidth="1"/>
    <col min="8743" max="8743" width="0" style="238" hidden="1" customWidth="1"/>
    <col min="8744" max="8744" width="11" style="238" customWidth="1"/>
    <col min="8745" max="8745" width="0" style="238" hidden="1" customWidth="1"/>
    <col min="8746" max="8746" width="11.5703125" style="238" customWidth="1"/>
    <col min="8747" max="8747" width="11.7109375" style="238" customWidth="1"/>
    <col min="8748" max="8748" width="0" style="238" hidden="1" customWidth="1"/>
    <col min="8749" max="8749" width="11" style="238" customWidth="1"/>
    <col min="8750" max="8750" width="0" style="238" hidden="1" customWidth="1"/>
    <col min="8751" max="8752" width="11.7109375" style="238" customWidth="1"/>
    <col min="8753" max="8753" width="0" style="238" hidden="1" customWidth="1"/>
    <col min="8754" max="8754" width="10.28515625" style="238" customWidth="1"/>
    <col min="8755" max="8755" width="0" style="238" hidden="1" customWidth="1"/>
    <col min="8756" max="8756" width="16.85546875" style="238" customWidth="1"/>
    <col min="8757" max="8758" width="10.28515625" style="238" customWidth="1"/>
    <col min="8759" max="8960" width="9.140625" style="238"/>
    <col min="8961" max="8961" width="4.85546875" style="238" customWidth="1"/>
    <col min="8962" max="8962" width="30.7109375" style="238" customWidth="1"/>
    <col min="8963" max="8968" width="0" style="238" hidden="1" customWidth="1"/>
    <col min="8969" max="8969" width="12.7109375" style="238" customWidth="1"/>
    <col min="8970" max="8970" width="12.85546875" style="238" customWidth="1"/>
    <col min="8971" max="8971" width="11" style="238" customWidth="1"/>
    <col min="8972" max="8972" width="11.7109375" style="238" customWidth="1"/>
    <col min="8973" max="8973" width="12.140625" style="238" customWidth="1"/>
    <col min="8974" max="8974" width="0" style="238" hidden="1" customWidth="1"/>
    <col min="8975" max="8975" width="11" style="238" customWidth="1"/>
    <col min="8976" max="8976" width="0" style="238" hidden="1" customWidth="1"/>
    <col min="8977" max="8978" width="11.7109375" style="238" customWidth="1"/>
    <col min="8979" max="8979" width="0" style="238" hidden="1" customWidth="1"/>
    <col min="8980" max="8980" width="11" style="238" customWidth="1"/>
    <col min="8981" max="8981" width="0" style="238" hidden="1" customWidth="1"/>
    <col min="8982" max="8983" width="11.7109375" style="238" customWidth="1"/>
    <col min="8984" max="8984" width="0" style="238" hidden="1" customWidth="1"/>
    <col min="8985" max="8985" width="11" style="238" customWidth="1"/>
    <col min="8986" max="8986" width="0" style="238" hidden="1" customWidth="1"/>
    <col min="8987" max="8987" width="11.85546875" style="238" customWidth="1"/>
    <col min="8988" max="8988" width="11.7109375" style="238" customWidth="1"/>
    <col min="8989" max="8989" width="0" style="238" hidden="1" customWidth="1"/>
    <col min="8990" max="8990" width="11" style="238" customWidth="1"/>
    <col min="8991" max="8991" width="0" style="238" hidden="1" customWidth="1"/>
    <col min="8992" max="8992" width="11.7109375" style="238" customWidth="1"/>
    <col min="8993" max="8993" width="11.85546875" style="238" customWidth="1"/>
    <col min="8994" max="8994" width="0" style="238" hidden="1" customWidth="1"/>
    <col min="8995" max="8995" width="11" style="238" customWidth="1"/>
    <col min="8996" max="8996" width="0" style="238" hidden="1" customWidth="1"/>
    <col min="8997" max="8998" width="11" style="238" customWidth="1"/>
    <col min="8999" max="8999" width="0" style="238" hidden="1" customWidth="1"/>
    <col min="9000" max="9000" width="11" style="238" customWidth="1"/>
    <col min="9001" max="9001" width="0" style="238" hidden="1" customWidth="1"/>
    <col min="9002" max="9002" width="11.5703125" style="238" customWidth="1"/>
    <col min="9003" max="9003" width="11.7109375" style="238" customWidth="1"/>
    <col min="9004" max="9004" width="0" style="238" hidden="1" customWidth="1"/>
    <col min="9005" max="9005" width="11" style="238" customWidth="1"/>
    <col min="9006" max="9006" width="0" style="238" hidden="1" customWidth="1"/>
    <col min="9007" max="9008" width="11.7109375" style="238" customWidth="1"/>
    <col min="9009" max="9009" width="0" style="238" hidden="1" customWidth="1"/>
    <col min="9010" max="9010" width="10.28515625" style="238" customWidth="1"/>
    <col min="9011" max="9011" width="0" style="238" hidden="1" customWidth="1"/>
    <col min="9012" max="9012" width="16.85546875" style="238" customWidth="1"/>
    <col min="9013" max="9014" width="10.28515625" style="238" customWidth="1"/>
    <col min="9015" max="9216" width="9.140625" style="238"/>
    <col min="9217" max="9217" width="4.85546875" style="238" customWidth="1"/>
    <col min="9218" max="9218" width="30.7109375" style="238" customWidth="1"/>
    <col min="9219" max="9224" width="0" style="238" hidden="1" customWidth="1"/>
    <col min="9225" max="9225" width="12.7109375" style="238" customWidth="1"/>
    <col min="9226" max="9226" width="12.85546875" style="238" customWidth="1"/>
    <col min="9227" max="9227" width="11" style="238" customWidth="1"/>
    <col min="9228" max="9228" width="11.7109375" style="238" customWidth="1"/>
    <col min="9229" max="9229" width="12.140625" style="238" customWidth="1"/>
    <col min="9230" max="9230" width="0" style="238" hidden="1" customWidth="1"/>
    <col min="9231" max="9231" width="11" style="238" customWidth="1"/>
    <col min="9232" max="9232" width="0" style="238" hidden="1" customWidth="1"/>
    <col min="9233" max="9234" width="11.7109375" style="238" customWidth="1"/>
    <col min="9235" max="9235" width="0" style="238" hidden="1" customWidth="1"/>
    <col min="9236" max="9236" width="11" style="238" customWidth="1"/>
    <col min="9237" max="9237" width="0" style="238" hidden="1" customWidth="1"/>
    <col min="9238" max="9239" width="11.7109375" style="238" customWidth="1"/>
    <col min="9240" max="9240" width="0" style="238" hidden="1" customWidth="1"/>
    <col min="9241" max="9241" width="11" style="238" customWidth="1"/>
    <col min="9242" max="9242" width="0" style="238" hidden="1" customWidth="1"/>
    <col min="9243" max="9243" width="11.85546875" style="238" customWidth="1"/>
    <col min="9244" max="9244" width="11.7109375" style="238" customWidth="1"/>
    <col min="9245" max="9245" width="0" style="238" hidden="1" customWidth="1"/>
    <col min="9246" max="9246" width="11" style="238" customWidth="1"/>
    <col min="9247" max="9247" width="0" style="238" hidden="1" customWidth="1"/>
    <col min="9248" max="9248" width="11.7109375" style="238" customWidth="1"/>
    <col min="9249" max="9249" width="11.85546875" style="238" customWidth="1"/>
    <col min="9250" max="9250" width="0" style="238" hidden="1" customWidth="1"/>
    <col min="9251" max="9251" width="11" style="238" customWidth="1"/>
    <col min="9252" max="9252" width="0" style="238" hidden="1" customWidth="1"/>
    <col min="9253" max="9254" width="11" style="238" customWidth="1"/>
    <col min="9255" max="9255" width="0" style="238" hidden="1" customWidth="1"/>
    <col min="9256" max="9256" width="11" style="238" customWidth="1"/>
    <col min="9257" max="9257" width="0" style="238" hidden="1" customWidth="1"/>
    <col min="9258" max="9258" width="11.5703125" style="238" customWidth="1"/>
    <col min="9259" max="9259" width="11.7109375" style="238" customWidth="1"/>
    <col min="9260" max="9260" width="0" style="238" hidden="1" customWidth="1"/>
    <col min="9261" max="9261" width="11" style="238" customWidth="1"/>
    <col min="9262" max="9262" width="0" style="238" hidden="1" customWidth="1"/>
    <col min="9263" max="9264" width="11.7109375" style="238" customWidth="1"/>
    <col min="9265" max="9265" width="0" style="238" hidden="1" customWidth="1"/>
    <col min="9266" max="9266" width="10.28515625" style="238" customWidth="1"/>
    <col min="9267" max="9267" width="0" style="238" hidden="1" customWidth="1"/>
    <col min="9268" max="9268" width="16.85546875" style="238" customWidth="1"/>
    <col min="9269" max="9270" width="10.28515625" style="238" customWidth="1"/>
    <col min="9271" max="9472" width="9.140625" style="238"/>
    <col min="9473" max="9473" width="4.85546875" style="238" customWidth="1"/>
    <col min="9474" max="9474" width="30.7109375" style="238" customWidth="1"/>
    <col min="9475" max="9480" width="0" style="238" hidden="1" customWidth="1"/>
    <col min="9481" max="9481" width="12.7109375" style="238" customWidth="1"/>
    <col min="9482" max="9482" width="12.85546875" style="238" customWidth="1"/>
    <col min="9483" max="9483" width="11" style="238" customWidth="1"/>
    <col min="9484" max="9484" width="11.7109375" style="238" customWidth="1"/>
    <col min="9485" max="9485" width="12.140625" style="238" customWidth="1"/>
    <col min="9486" max="9486" width="0" style="238" hidden="1" customWidth="1"/>
    <col min="9487" max="9487" width="11" style="238" customWidth="1"/>
    <col min="9488" max="9488" width="0" style="238" hidden="1" customWidth="1"/>
    <col min="9489" max="9490" width="11.7109375" style="238" customWidth="1"/>
    <col min="9491" max="9491" width="0" style="238" hidden="1" customWidth="1"/>
    <col min="9492" max="9492" width="11" style="238" customWidth="1"/>
    <col min="9493" max="9493" width="0" style="238" hidden="1" customWidth="1"/>
    <col min="9494" max="9495" width="11.7109375" style="238" customWidth="1"/>
    <col min="9496" max="9496" width="0" style="238" hidden="1" customWidth="1"/>
    <col min="9497" max="9497" width="11" style="238" customWidth="1"/>
    <col min="9498" max="9498" width="0" style="238" hidden="1" customWidth="1"/>
    <col min="9499" max="9499" width="11.85546875" style="238" customWidth="1"/>
    <col min="9500" max="9500" width="11.7109375" style="238" customWidth="1"/>
    <col min="9501" max="9501" width="0" style="238" hidden="1" customWidth="1"/>
    <col min="9502" max="9502" width="11" style="238" customWidth="1"/>
    <col min="9503" max="9503" width="0" style="238" hidden="1" customWidth="1"/>
    <col min="9504" max="9504" width="11.7109375" style="238" customWidth="1"/>
    <col min="9505" max="9505" width="11.85546875" style="238" customWidth="1"/>
    <col min="9506" max="9506" width="0" style="238" hidden="1" customWidth="1"/>
    <col min="9507" max="9507" width="11" style="238" customWidth="1"/>
    <col min="9508" max="9508" width="0" style="238" hidden="1" customWidth="1"/>
    <col min="9509" max="9510" width="11" style="238" customWidth="1"/>
    <col min="9511" max="9511" width="0" style="238" hidden="1" customWidth="1"/>
    <col min="9512" max="9512" width="11" style="238" customWidth="1"/>
    <col min="9513" max="9513" width="0" style="238" hidden="1" customWidth="1"/>
    <col min="9514" max="9514" width="11.5703125" style="238" customWidth="1"/>
    <col min="9515" max="9515" width="11.7109375" style="238" customWidth="1"/>
    <col min="9516" max="9516" width="0" style="238" hidden="1" customWidth="1"/>
    <col min="9517" max="9517" width="11" style="238" customWidth="1"/>
    <col min="9518" max="9518" width="0" style="238" hidden="1" customWidth="1"/>
    <col min="9519" max="9520" width="11.7109375" style="238" customWidth="1"/>
    <col min="9521" max="9521" width="0" style="238" hidden="1" customWidth="1"/>
    <col min="9522" max="9522" width="10.28515625" style="238" customWidth="1"/>
    <col min="9523" max="9523" width="0" style="238" hidden="1" customWidth="1"/>
    <col min="9524" max="9524" width="16.85546875" style="238" customWidth="1"/>
    <col min="9525" max="9526" width="10.28515625" style="238" customWidth="1"/>
    <col min="9527" max="9728" width="9.140625" style="238"/>
    <col min="9729" max="9729" width="4.85546875" style="238" customWidth="1"/>
    <col min="9730" max="9730" width="30.7109375" style="238" customWidth="1"/>
    <col min="9731" max="9736" width="0" style="238" hidden="1" customWidth="1"/>
    <col min="9737" max="9737" width="12.7109375" style="238" customWidth="1"/>
    <col min="9738" max="9738" width="12.85546875" style="238" customWidth="1"/>
    <col min="9739" max="9739" width="11" style="238" customWidth="1"/>
    <col min="9740" max="9740" width="11.7109375" style="238" customWidth="1"/>
    <col min="9741" max="9741" width="12.140625" style="238" customWidth="1"/>
    <col min="9742" max="9742" width="0" style="238" hidden="1" customWidth="1"/>
    <col min="9743" max="9743" width="11" style="238" customWidth="1"/>
    <col min="9744" max="9744" width="0" style="238" hidden="1" customWidth="1"/>
    <col min="9745" max="9746" width="11.7109375" style="238" customWidth="1"/>
    <col min="9747" max="9747" width="0" style="238" hidden="1" customWidth="1"/>
    <col min="9748" max="9748" width="11" style="238" customWidth="1"/>
    <col min="9749" max="9749" width="0" style="238" hidden="1" customWidth="1"/>
    <col min="9750" max="9751" width="11.7109375" style="238" customWidth="1"/>
    <col min="9752" max="9752" width="0" style="238" hidden="1" customWidth="1"/>
    <col min="9753" max="9753" width="11" style="238" customWidth="1"/>
    <col min="9754" max="9754" width="0" style="238" hidden="1" customWidth="1"/>
    <col min="9755" max="9755" width="11.85546875" style="238" customWidth="1"/>
    <col min="9756" max="9756" width="11.7109375" style="238" customWidth="1"/>
    <col min="9757" max="9757" width="0" style="238" hidden="1" customWidth="1"/>
    <col min="9758" max="9758" width="11" style="238" customWidth="1"/>
    <col min="9759" max="9759" width="0" style="238" hidden="1" customWidth="1"/>
    <col min="9760" max="9760" width="11.7109375" style="238" customWidth="1"/>
    <col min="9761" max="9761" width="11.85546875" style="238" customWidth="1"/>
    <col min="9762" max="9762" width="0" style="238" hidden="1" customWidth="1"/>
    <col min="9763" max="9763" width="11" style="238" customWidth="1"/>
    <col min="9764" max="9764" width="0" style="238" hidden="1" customWidth="1"/>
    <col min="9765" max="9766" width="11" style="238" customWidth="1"/>
    <col min="9767" max="9767" width="0" style="238" hidden="1" customWidth="1"/>
    <col min="9768" max="9768" width="11" style="238" customWidth="1"/>
    <col min="9769" max="9769" width="0" style="238" hidden="1" customWidth="1"/>
    <col min="9770" max="9770" width="11.5703125" style="238" customWidth="1"/>
    <col min="9771" max="9771" width="11.7109375" style="238" customWidth="1"/>
    <col min="9772" max="9772" width="0" style="238" hidden="1" customWidth="1"/>
    <col min="9773" max="9773" width="11" style="238" customWidth="1"/>
    <col min="9774" max="9774" width="0" style="238" hidden="1" customWidth="1"/>
    <col min="9775" max="9776" width="11.7109375" style="238" customWidth="1"/>
    <col min="9777" max="9777" width="0" style="238" hidden="1" customWidth="1"/>
    <col min="9778" max="9778" width="10.28515625" style="238" customWidth="1"/>
    <col min="9779" max="9779" width="0" style="238" hidden="1" customWidth="1"/>
    <col min="9780" max="9780" width="16.85546875" style="238" customWidth="1"/>
    <col min="9781" max="9782" width="10.28515625" style="238" customWidth="1"/>
    <col min="9783" max="9984" width="9.140625" style="238"/>
    <col min="9985" max="9985" width="4.85546875" style="238" customWidth="1"/>
    <col min="9986" max="9986" width="30.7109375" style="238" customWidth="1"/>
    <col min="9987" max="9992" width="0" style="238" hidden="1" customWidth="1"/>
    <col min="9993" max="9993" width="12.7109375" style="238" customWidth="1"/>
    <col min="9994" max="9994" width="12.85546875" style="238" customWidth="1"/>
    <col min="9995" max="9995" width="11" style="238" customWidth="1"/>
    <col min="9996" max="9996" width="11.7109375" style="238" customWidth="1"/>
    <col min="9997" max="9997" width="12.140625" style="238" customWidth="1"/>
    <col min="9998" max="9998" width="0" style="238" hidden="1" customWidth="1"/>
    <col min="9999" max="9999" width="11" style="238" customWidth="1"/>
    <col min="10000" max="10000" width="0" style="238" hidden="1" customWidth="1"/>
    <col min="10001" max="10002" width="11.7109375" style="238" customWidth="1"/>
    <col min="10003" max="10003" width="0" style="238" hidden="1" customWidth="1"/>
    <col min="10004" max="10004" width="11" style="238" customWidth="1"/>
    <col min="10005" max="10005" width="0" style="238" hidden="1" customWidth="1"/>
    <col min="10006" max="10007" width="11.7109375" style="238" customWidth="1"/>
    <col min="10008" max="10008" width="0" style="238" hidden="1" customWidth="1"/>
    <col min="10009" max="10009" width="11" style="238" customWidth="1"/>
    <col min="10010" max="10010" width="0" style="238" hidden="1" customWidth="1"/>
    <col min="10011" max="10011" width="11.85546875" style="238" customWidth="1"/>
    <col min="10012" max="10012" width="11.7109375" style="238" customWidth="1"/>
    <col min="10013" max="10013" width="0" style="238" hidden="1" customWidth="1"/>
    <col min="10014" max="10014" width="11" style="238" customWidth="1"/>
    <col min="10015" max="10015" width="0" style="238" hidden="1" customWidth="1"/>
    <col min="10016" max="10016" width="11.7109375" style="238" customWidth="1"/>
    <col min="10017" max="10017" width="11.85546875" style="238" customWidth="1"/>
    <col min="10018" max="10018" width="0" style="238" hidden="1" customWidth="1"/>
    <col min="10019" max="10019" width="11" style="238" customWidth="1"/>
    <col min="10020" max="10020" width="0" style="238" hidden="1" customWidth="1"/>
    <col min="10021" max="10022" width="11" style="238" customWidth="1"/>
    <col min="10023" max="10023" width="0" style="238" hidden="1" customWidth="1"/>
    <col min="10024" max="10024" width="11" style="238" customWidth="1"/>
    <col min="10025" max="10025" width="0" style="238" hidden="1" customWidth="1"/>
    <col min="10026" max="10026" width="11.5703125" style="238" customWidth="1"/>
    <col min="10027" max="10027" width="11.7109375" style="238" customWidth="1"/>
    <col min="10028" max="10028" width="0" style="238" hidden="1" customWidth="1"/>
    <col min="10029" max="10029" width="11" style="238" customWidth="1"/>
    <col min="10030" max="10030" width="0" style="238" hidden="1" customWidth="1"/>
    <col min="10031" max="10032" width="11.7109375" style="238" customWidth="1"/>
    <col min="10033" max="10033" width="0" style="238" hidden="1" customWidth="1"/>
    <col min="10034" max="10034" width="10.28515625" style="238" customWidth="1"/>
    <col min="10035" max="10035" width="0" style="238" hidden="1" customWidth="1"/>
    <col min="10036" max="10036" width="16.85546875" style="238" customWidth="1"/>
    <col min="10037" max="10038" width="10.28515625" style="238" customWidth="1"/>
    <col min="10039" max="10240" width="9.140625" style="238"/>
    <col min="10241" max="10241" width="4.85546875" style="238" customWidth="1"/>
    <col min="10242" max="10242" width="30.7109375" style="238" customWidth="1"/>
    <col min="10243" max="10248" width="0" style="238" hidden="1" customWidth="1"/>
    <col min="10249" max="10249" width="12.7109375" style="238" customWidth="1"/>
    <col min="10250" max="10250" width="12.85546875" style="238" customWidth="1"/>
    <col min="10251" max="10251" width="11" style="238" customWidth="1"/>
    <col min="10252" max="10252" width="11.7109375" style="238" customWidth="1"/>
    <col min="10253" max="10253" width="12.140625" style="238" customWidth="1"/>
    <col min="10254" max="10254" width="0" style="238" hidden="1" customWidth="1"/>
    <col min="10255" max="10255" width="11" style="238" customWidth="1"/>
    <col min="10256" max="10256" width="0" style="238" hidden="1" customWidth="1"/>
    <col min="10257" max="10258" width="11.7109375" style="238" customWidth="1"/>
    <col min="10259" max="10259" width="0" style="238" hidden="1" customWidth="1"/>
    <col min="10260" max="10260" width="11" style="238" customWidth="1"/>
    <col min="10261" max="10261" width="0" style="238" hidden="1" customWidth="1"/>
    <col min="10262" max="10263" width="11.7109375" style="238" customWidth="1"/>
    <col min="10264" max="10264" width="0" style="238" hidden="1" customWidth="1"/>
    <col min="10265" max="10265" width="11" style="238" customWidth="1"/>
    <col min="10266" max="10266" width="0" style="238" hidden="1" customWidth="1"/>
    <col min="10267" max="10267" width="11.85546875" style="238" customWidth="1"/>
    <col min="10268" max="10268" width="11.7109375" style="238" customWidth="1"/>
    <col min="10269" max="10269" width="0" style="238" hidden="1" customWidth="1"/>
    <col min="10270" max="10270" width="11" style="238" customWidth="1"/>
    <col min="10271" max="10271" width="0" style="238" hidden="1" customWidth="1"/>
    <col min="10272" max="10272" width="11.7109375" style="238" customWidth="1"/>
    <col min="10273" max="10273" width="11.85546875" style="238" customWidth="1"/>
    <col min="10274" max="10274" width="0" style="238" hidden="1" customWidth="1"/>
    <col min="10275" max="10275" width="11" style="238" customWidth="1"/>
    <col min="10276" max="10276" width="0" style="238" hidden="1" customWidth="1"/>
    <col min="10277" max="10278" width="11" style="238" customWidth="1"/>
    <col min="10279" max="10279" width="0" style="238" hidden="1" customWidth="1"/>
    <col min="10280" max="10280" width="11" style="238" customWidth="1"/>
    <col min="10281" max="10281" width="0" style="238" hidden="1" customWidth="1"/>
    <col min="10282" max="10282" width="11.5703125" style="238" customWidth="1"/>
    <col min="10283" max="10283" width="11.7109375" style="238" customWidth="1"/>
    <col min="10284" max="10284" width="0" style="238" hidden="1" customWidth="1"/>
    <col min="10285" max="10285" width="11" style="238" customWidth="1"/>
    <col min="10286" max="10286" width="0" style="238" hidden="1" customWidth="1"/>
    <col min="10287" max="10288" width="11.7109375" style="238" customWidth="1"/>
    <col min="10289" max="10289" width="0" style="238" hidden="1" customWidth="1"/>
    <col min="10290" max="10290" width="10.28515625" style="238" customWidth="1"/>
    <col min="10291" max="10291" width="0" style="238" hidden="1" customWidth="1"/>
    <col min="10292" max="10292" width="16.85546875" style="238" customWidth="1"/>
    <col min="10293" max="10294" width="10.28515625" style="238" customWidth="1"/>
    <col min="10295" max="10496" width="9.140625" style="238"/>
    <col min="10497" max="10497" width="4.85546875" style="238" customWidth="1"/>
    <col min="10498" max="10498" width="30.7109375" style="238" customWidth="1"/>
    <col min="10499" max="10504" width="0" style="238" hidden="1" customWidth="1"/>
    <col min="10505" max="10505" width="12.7109375" style="238" customWidth="1"/>
    <col min="10506" max="10506" width="12.85546875" style="238" customWidth="1"/>
    <col min="10507" max="10507" width="11" style="238" customWidth="1"/>
    <col min="10508" max="10508" width="11.7109375" style="238" customWidth="1"/>
    <col min="10509" max="10509" width="12.140625" style="238" customWidth="1"/>
    <col min="10510" max="10510" width="0" style="238" hidden="1" customWidth="1"/>
    <col min="10511" max="10511" width="11" style="238" customWidth="1"/>
    <col min="10512" max="10512" width="0" style="238" hidden="1" customWidth="1"/>
    <col min="10513" max="10514" width="11.7109375" style="238" customWidth="1"/>
    <col min="10515" max="10515" width="0" style="238" hidden="1" customWidth="1"/>
    <col min="10516" max="10516" width="11" style="238" customWidth="1"/>
    <col min="10517" max="10517" width="0" style="238" hidden="1" customWidth="1"/>
    <col min="10518" max="10519" width="11.7109375" style="238" customWidth="1"/>
    <col min="10520" max="10520" width="0" style="238" hidden="1" customWidth="1"/>
    <col min="10521" max="10521" width="11" style="238" customWidth="1"/>
    <col min="10522" max="10522" width="0" style="238" hidden="1" customWidth="1"/>
    <col min="10523" max="10523" width="11.85546875" style="238" customWidth="1"/>
    <col min="10524" max="10524" width="11.7109375" style="238" customWidth="1"/>
    <col min="10525" max="10525" width="0" style="238" hidden="1" customWidth="1"/>
    <col min="10526" max="10526" width="11" style="238" customWidth="1"/>
    <col min="10527" max="10527" width="0" style="238" hidden="1" customWidth="1"/>
    <col min="10528" max="10528" width="11.7109375" style="238" customWidth="1"/>
    <col min="10529" max="10529" width="11.85546875" style="238" customWidth="1"/>
    <col min="10530" max="10530" width="0" style="238" hidden="1" customWidth="1"/>
    <col min="10531" max="10531" width="11" style="238" customWidth="1"/>
    <col min="10532" max="10532" width="0" style="238" hidden="1" customWidth="1"/>
    <col min="10533" max="10534" width="11" style="238" customWidth="1"/>
    <col min="10535" max="10535" width="0" style="238" hidden="1" customWidth="1"/>
    <col min="10536" max="10536" width="11" style="238" customWidth="1"/>
    <col min="10537" max="10537" width="0" style="238" hidden="1" customWidth="1"/>
    <col min="10538" max="10538" width="11.5703125" style="238" customWidth="1"/>
    <col min="10539" max="10539" width="11.7109375" style="238" customWidth="1"/>
    <col min="10540" max="10540" width="0" style="238" hidden="1" customWidth="1"/>
    <col min="10541" max="10541" width="11" style="238" customWidth="1"/>
    <col min="10542" max="10542" width="0" style="238" hidden="1" customWidth="1"/>
    <col min="10543" max="10544" width="11.7109375" style="238" customWidth="1"/>
    <col min="10545" max="10545" width="0" style="238" hidden="1" customWidth="1"/>
    <col min="10546" max="10546" width="10.28515625" style="238" customWidth="1"/>
    <col min="10547" max="10547" width="0" style="238" hidden="1" customWidth="1"/>
    <col min="10548" max="10548" width="16.85546875" style="238" customWidth="1"/>
    <col min="10549" max="10550" width="10.28515625" style="238" customWidth="1"/>
    <col min="10551" max="10752" width="9.140625" style="238"/>
    <col min="10753" max="10753" width="4.85546875" style="238" customWidth="1"/>
    <col min="10754" max="10754" width="30.7109375" style="238" customWidth="1"/>
    <col min="10755" max="10760" width="0" style="238" hidden="1" customWidth="1"/>
    <col min="10761" max="10761" width="12.7109375" style="238" customWidth="1"/>
    <col min="10762" max="10762" width="12.85546875" style="238" customWidth="1"/>
    <col min="10763" max="10763" width="11" style="238" customWidth="1"/>
    <col min="10764" max="10764" width="11.7109375" style="238" customWidth="1"/>
    <col min="10765" max="10765" width="12.140625" style="238" customWidth="1"/>
    <col min="10766" max="10766" width="0" style="238" hidden="1" customWidth="1"/>
    <col min="10767" max="10767" width="11" style="238" customWidth="1"/>
    <col min="10768" max="10768" width="0" style="238" hidden="1" customWidth="1"/>
    <col min="10769" max="10770" width="11.7109375" style="238" customWidth="1"/>
    <col min="10771" max="10771" width="0" style="238" hidden="1" customWidth="1"/>
    <col min="10772" max="10772" width="11" style="238" customWidth="1"/>
    <col min="10773" max="10773" width="0" style="238" hidden="1" customWidth="1"/>
    <col min="10774" max="10775" width="11.7109375" style="238" customWidth="1"/>
    <col min="10776" max="10776" width="0" style="238" hidden="1" customWidth="1"/>
    <col min="10777" max="10777" width="11" style="238" customWidth="1"/>
    <col min="10778" max="10778" width="0" style="238" hidden="1" customWidth="1"/>
    <col min="10779" max="10779" width="11.85546875" style="238" customWidth="1"/>
    <col min="10780" max="10780" width="11.7109375" style="238" customWidth="1"/>
    <col min="10781" max="10781" width="0" style="238" hidden="1" customWidth="1"/>
    <col min="10782" max="10782" width="11" style="238" customWidth="1"/>
    <col min="10783" max="10783" width="0" style="238" hidden="1" customWidth="1"/>
    <col min="10784" max="10784" width="11.7109375" style="238" customWidth="1"/>
    <col min="10785" max="10785" width="11.85546875" style="238" customWidth="1"/>
    <col min="10786" max="10786" width="0" style="238" hidden="1" customWidth="1"/>
    <col min="10787" max="10787" width="11" style="238" customWidth="1"/>
    <col min="10788" max="10788" width="0" style="238" hidden="1" customWidth="1"/>
    <col min="10789" max="10790" width="11" style="238" customWidth="1"/>
    <col min="10791" max="10791" width="0" style="238" hidden="1" customWidth="1"/>
    <col min="10792" max="10792" width="11" style="238" customWidth="1"/>
    <col min="10793" max="10793" width="0" style="238" hidden="1" customWidth="1"/>
    <col min="10794" max="10794" width="11.5703125" style="238" customWidth="1"/>
    <col min="10795" max="10795" width="11.7109375" style="238" customWidth="1"/>
    <col min="10796" max="10796" width="0" style="238" hidden="1" customWidth="1"/>
    <col min="10797" max="10797" width="11" style="238" customWidth="1"/>
    <col min="10798" max="10798" width="0" style="238" hidden="1" customWidth="1"/>
    <col min="10799" max="10800" width="11.7109375" style="238" customWidth="1"/>
    <col min="10801" max="10801" width="0" style="238" hidden="1" customWidth="1"/>
    <col min="10802" max="10802" width="10.28515625" style="238" customWidth="1"/>
    <col min="10803" max="10803" width="0" style="238" hidden="1" customWidth="1"/>
    <col min="10804" max="10804" width="16.85546875" style="238" customWidth="1"/>
    <col min="10805" max="10806" width="10.28515625" style="238" customWidth="1"/>
    <col min="10807" max="11008" width="9.140625" style="238"/>
    <col min="11009" max="11009" width="4.85546875" style="238" customWidth="1"/>
    <col min="11010" max="11010" width="30.7109375" style="238" customWidth="1"/>
    <col min="11011" max="11016" width="0" style="238" hidden="1" customWidth="1"/>
    <col min="11017" max="11017" width="12.7109375" style="238" customWidth="1"/>
    <col min="11018" max="11018" width="12.85546875" style="238" customWidth="1"/>
    <col min="11019" max="11019" width="11" style="238" customWidth="1"/>
    <col min="11020" max="11020" width="11.7109375" style="238" customWidth="1"/>
    <col min="11021" max="11021" width="12.140625" style="238" customWidth="1"/>
    <col min="11022" max="11022" width="0" style="238" hidden="1" customWidth="1"/>
    <col min="11023" max="11023" width="11" style="238" customWidth="1"/>
    <col min="11024" max="11024" width="0" style="238" hidden="1" customWidth="1"/>
    <col min="11025" max="11026" width="11.7109375" style="238" customWidth="1"/>
    <col min="11027" max="11027" width="0" style="238" hidden="1" customWidth="1"/>
    <col min="11028" max="11028" width="11" style="238" customWidth="1"/>
    <col min="11029" max="11029" width="0" style="238" hidden="1" customWidth="1"/>
    <col min="11030" max="11031" width="11.7109375" style="238" customWidth="1"/>
    <col min="11032" max="11032" width="0" style="238" hidden="1" customWidth="1"/>
    <col min="11033" max="11033" width="11" style="238" customWidth="1"/>
    <col min="11034" max="11034" width="0" style="238" hidden="1" customWidth="1"/>
    <col min="11035" max="11035" width="11.85546875" style="238" customWidth="1"/>
    <col min="11036" max="11036" width="11.7109375" style="238" customWidth="1"/>
    <col min="11037" max="11037" width="0" style="238" hidden="1" customWidth="1"/>
    <col min="11038" max="11038" width="11" style="238" customWidth="1"/>
    <col min="11039" max="11039" width="0" style="238" hidden="1" customWidth="1"/>
    <col min="11040" max="11040" width="11.7109375" style="238" customWidth="1"/>
    <col min="11041" max="11041" width="11.85546875" style="238" customWidth="1"/>
    <col min="11042" max="11042" width="0" style="238" hidden="1" customWidth="1"/>
    <col min="11043" max="11043" width="11" style="238" customWidth="1"/>
    <col min="11044" max="11044" width="0" style="238" hidden="1" customWidth="1"/>
    <col min="11045" max="11046" width="11" style="238" customWidth="1"/>
    <col min="11047" max="11047" width="0" style="238" hidden="1" customWidth="1"/>
    <col min="11048" max="11048" width="11" style="238" customWidth="1"/>
    <col min="11049" max="11049" width="0" style="238" hidden="1" customWidth="1"/>
    <col min="11050" max="11050" width="11.5703125" style="238" customWidth="1"/>
    <col min="11051" max="11051" width="11.7109375" style="238" customWidth="1"/>
    <col min="11052" max="11052" width="0" style="238" hidden="1" customWidth="1"/>
    <col min="11053" max="11053" width="11" style="238" customWidth="1"/>
    <col min="11054" max="11054" width="0" style="238" hidden="1" customWidth="1"/>
    <col min="11055" max="11056" width="11.7109375" style="238" customWidth="1"/>
    <col min="11057" max="11057" width="0" style="238" hidden="1" customWidth="1"/>
    <col min="11058" max="11058" width="10.28515625" style="238" customWidth="1"/>
    <col min="11059" max="11059" width="0" style="238" hidden="1" customWidth="1"/>
    <col min="11060" max="11060" width="16.85546875" style="238" customWidth="1"/>
    <col min="11061" max="11062" width="10.28515625" style="238" customWidth="1"/>
    <col min="11063" max="11264" width="9.140625" style="238"/>
    <col min="11265" max="11265" width="4.85546875" style="238" customWidth="1"/>
    <col min="11266" max="11266" width="30.7109375" style="238" customWidth="1"/>
    <col min="11267" max="11272" width="0" style="238" hidden="1" customWidth="1"/>
    <col min="11273" max="11273" width="12.7109375" style="238" customWidth="1"/>
    <col min="11274" max="11274" width="12.85546875" style="238" customWidth="1"/>
    <col min="11275" max="11275" width="11" style="238" customWidth="1"/>
    <col min="11276" max="11276" width="11.7109375" style="238" customWidth="1"/>
    <col min="11277" max="11277" width="12.140625" style="238" customWidth="1"/>
    <col min="11278" max="11278" width="0" style="238" hidden="1" customWidth="1"/>
    <col min="11279" max="11279" width="11" style="238" customWidth="1"/>
    <col min="11280" max="11280" width="0" style="238" hidden="1" customWidth="1"/>
    <col min="11281" max="11282" width="11.7109375" style="238" customWidth="1"/>
    <col min="11283" max="11283" width="0" style="238" hidden="1" customWidth="1"/>
    <col min="11284" max="11284" width="11" style="238" customWidth="1"/>
    <col min="11285" max="11285" width="0" style="238" hidden="1" customWidth="1"/>
    <col min="11286" max="11287" width="11.7109375" style="238" customWidth="1"/>
    <col min="11288" max="11288" width="0" style="238" hidden="1" customWidth="1"/>
    <col min="11289" max="11289" width="11" style="238" customWidth="1"/>
    <col min="11290" max="11290" width="0" style="238" hidden="1" customWidth="1"/>
    <col min="11291" max="11291" width="11.85546875" style="238" customWidth="1"/>
    <col min="11292" max="11292" width="11.7109375" style="238" customWidth="1"/>
    <col min="11293" max="11293" width="0" style="238" hidden="1" customWidth="1"/>
    <col min="11294" max="11294" width="11" style="238" customWidth="1"/>
    <col min="11295" max="11295" width="0" style="238" hidden="1" customWidth="1"/>
    <col min="11296" max="11296" width="11.7109375" style="238" customWidth="1"/>
    <col min="11297" max="11297" width="11.85546875" style="238" customWidth="1"/>
    <col min="11298" max="11298" width="0" style="238" hidden="1" customWidth="1"/>
    <col min="11299" max="11299" width="11" style="238" customWidth="1"/>
    <col min="11300" max="11300" width="0" style="238" hidden="1" customWidth="1"/>
    <col min="11301" max="11302" width="11" style="238" customWidth="1"/>
    <col min="11303" max="11303" width="0" style="238" hidden="1" customWidth="1"/>
    <col min="11304" max="11304" width="11" style="238" customWidth="1"/>
    <col min="11305" max="11305" width="0" style="238" hidden="1" customWidth="1"/>
    <col min="11306" max="11306" width="11.5703125" style="238" customWidth="1"/>
    <col min="11307" max="11307" width="11.7109375" style="238" customWidth="1"/>
    <col min="11308" max="11308" width="0" style="238" hidden="1" customWidth="1"/>
    <col min="11309" max="11309" width="11" style="238" customWidth="1"/>
    <col min="11310" max="11310" width="0" style="238" hidden="1" customWidth="1"/>
    <col min="11311" max="11312" width="11.7109375" style="238" customWidth="1"/>
    <col min="11313" max="11313" width="0" style="238" hidden="1" customWidth="1"/>
    <col min="11314" max="11314" width="10.28515625" style="238" customWidth="1"/>
    <col min="11315" max="11315" width="0" style="238" hidden="1" customWidth="1"/>
    <col min="11316" max="11316" width="16.85546875" style="238" customWidth="1"/>
    <col min="11317" max="11318" width="10.28515625" style="238" customWidth="1"/>
    <col min="11319" max="11520" width="9.140625" style="238"/>
    <col min="11521" max="11521" width="4.85546875" style="238" customWidth="1"/>
    <col min="11522" max="11522" width="30.7109375" style="238" customWidth="1"/>
    <col min="11523" max="11528" width="0" style="238" hidden="1" customWidth="1"/>
    <col min="11529" max="11529" width="12.7109375" style="238" customWidth="1"/>
    <col min="11530" max="11530" width="12.85546875" style="238" customWidth="1"/>
    <col min="11531" max="11531" width="11" style="238" customWidth="1"/>
    <col min="11532" max="11532" width="11.7109375" style="238" customWidth="1"/>
    <col min="11533" max="11533" width="12.140625" style="238" customWidth="1"/>
    <col min="11534" max="11534" width="0" style="238" hidden="1" customWidth="1"/>
    <col min="11535" max="11535" width="11" style="238" customWidth="1"/>
    <col min="11536" max="11536" width="0" style="238" hidden="1" customWidth="1"/>
    <col min="11537" max="11538" width="11.7109375" style="238" customWidth="1"/>
    <col min="11539" max="11539" width="0" style="238" hidden="1" customWidth="1"/>
    <col min="11540" max="11540" width="11" style="238" customWidth="1"/>
    <col min="11541" max="11541" width="0" style="238" hidden="1" customWidth="1"/>
    <col min="11542" max="11543" width="11.7109375" style="238" customWidth="1"/>
    <col min="11544" max="11544" width="0" style="238" hidden="1" customWidth="1"/>
    <col min="11545" max="11545" width="11" style="238" customWidth="1"/>
    <col min="11546" max="11546" width="0" style="238" hidden="1" customWidth="1"/>
    <col min="11547" max="11547" width="11.85546875" style="238" customWidth="1"/>
    <col min="11548" max="11548" width="11.7109375" style="238" customWidth="1"/>
    <col min="11549" max="11549" width="0" style="238" hidden="1" customWidth="1"/>
    <col min="11550" max="11550" width="11" style="238" customWidth="1"/>
    <col min="11551" max="11551" width="0" style="238" hidden="1" customWidth="1"/>
    <col min="11552" max="11552" width="11.7109375" style="238" customWidth="1"/>
    <col min="11553" max="11553" width="11.85546875" style="238" customWidth="1"/>
    <col min="11554" max="11554" width="0" style="238" hidden="1" customWidth="1"/>
    <col min="11555" max="11555" width="11" style="238" customWidth="1"/>
    <col min="11556" max="11556" width="0" style="238" hidden="1" customWidth="1"/>
    <col min="11557" max="11558" width="11" style="238" customWidth="1"/>
    <col min="11559" max="11559" width="0" style="238" hidden="1" customWidth="1"/>
    <col min="11560" max="11560" width="11" style="238" customWidth="1"/>
    <col min="11561" max="11561" width="0" style="238" hidden="1" customWidth="1"/>
    <col min="11562" max="11562" width="11.5703125" style="238" customWidth="1"/>
    <col min="11563" max="11563" width="11.7109375" style="238" customWidth="1"/>
    <col min="11564" max="11564" width="0" style="238" hidden="1" customWidth="1"/>
    <col min="11565" max="11565" width="11" style="238" customWidth="1"/>
    <col min="11566" max="11566" width="0" style="238" hidden="1" customWidth="1"/>
    <col min="11567" max="11568" width="11.7109375" style="238" customWidth="1"/>
    <col min="11569" max="11569" width="0" style="238" hidden="1" customWidth="1"/>
    <col min="11570" max="11570" width="10.28515625" style="238" customWidth="1"/>
    <col min="11571" max="11571" width="0" style="238" hidden="1" customWidth="1"/>
    <col min="11572" max="11572" width="16.85546875" style="238" customWidth="1"/>
    <col min="11573" max="11574" width="10.28515625" style="238" customWidth="1"/>
    <col min="11575" max="11776" width="9.140625" style="238"/>
    <col min="11777" max="11777" width="4.85546875" style="238" customWidth="1"/>
    <col min="11778" max="11778" width="30.7109375" style="238" customWidth="1"/>
    <col min="11779" max="11784" width="0" style="238" hidden="1" customWidth="1"/>
    <col min="11785" max="11785" width="12.7109375" style="238" customWidth="1"/>
    <col min="11786" max="11786" width="12.85546875" style="238" customWidth="1"/>
    <col min="11787" max="11787" width="11" style="238" customWidth="1"/>
    <col min="11788" max="11788" width="11.7109375" style="238" customWidth="1"/>
    <col min="11789" max="11789" width="12.140625" style="238" customWidth="1"/>
    <col min="11790" max="11790" width="0" style="238" hidden="1" customWidth="1"/>
    <col min="11791" max="11791" width="11" style="238" customWidth="1"/>
    <col min="11792" max="11792" width="0" style="238" hidden="1" customWidth="1"/>
    <col min="11793" max="11794" width="11.7109375" style="238" customWidth="1"/>
    <col min="11795" max="11795" width="0" style="238" hidden="1" customWidth="1"/>
    <col min="11796" max="11796" width="11" style="238" customWidth="1"/>
    <col min="11797" max="11797" width="0" style="238" hidden="1" customWidth="1"/>
    <col min="11798" max="11799" width="11.7109375" style="238" customWidth="1"/>
    <col min="11800" max="11800" width="0" style="238" hidden="1" customWidth="1"/>
    <col min="11801" max="11801" width="11" style="238" customWidth="1"/>
    <col min="11802" max="11802" width="0" style="238" hidden="1" customWidth="1"/>
    <col min="11803" max="11803" width="11.85546875" style="238" customWidth="1"/>
    <col min="11804" max="11804" width="11.7109375" style="238" customWidth="1"/>
    <col min="11805" max="11805" width="0" style="238" hidden="1" customWidth="1"/>
    <col min="11806" max="11806" width="11" style="238" customWidth="1"/>
    <col min="11807" max="11807" width="0" style="238" hidden="1" customWidth="1"/>
    <col min="11808" max="11808" width="11.7109375" style="238" customWidth="1"/>
    <col min="11809" max="11809" width="11.85546875" style="238" customWidth="1"/>
    <col min="11810" max="11810" width="0" style="238" hidden="1" customWidth="1"/>
    <col min="11811" max="11811" width="11" style="238" customWidth="1"/>
    <col min="11812" max="11812" width="0" style="238" hidden="1" customWidth="1"/>
    <col min="11813" max="11814" width="11" style="238" customWidth="1"/>
    <col min="11815" max="11815" width="0" style="238" hidden="1" customWidth="1"/>
    <col min="11816" max="11816" width="11" style="238" customWidth="1"/>
    <col min="11817" max="11817" width="0" style="238" hidden="1" customWidth="1"/>
    <col min="11818" max="11818" width="11.5703125" style="238" customWidth="1"/>
    <col min="11819" max="11819" width="11.7109375" style="238" customWidth="1"/>
    <col min="11820" max="11820" width="0" style="238" hidden="1" customWidth="1"/>
    <col min="11821" max="11821" width="11" style="238" customWidth="1"/>
    <col min="11822" max="11822" width="0" style="238" hidden="1" customWidth="1"/>
    <col min="11823" max="11824" width="11.7109375" style="238" customWidth="1"/>
    <col min="11825" max="11825" width="0" style="238" hidden="1" customWidth="1"/>
    <col min="11826" max="11826" width="10.28515625" style="238" customWidth="1"/>
    <col min="11827" max="11827" width="0" style="238" hidden="1" customWidth="1"/>
    <col min="11828" max="11828" width="16.85546875" style="238" customWidth="1"/>
    <col min="11829" max="11830" width="10.28515625" style="238" customWidth="1"/>
    <col min="11831" max="12032" width="9.140625" style="238"/>
    <col min="12033" max="12033" width="4.85546875" style="238" customWidth="1"/>
    <col min="12034" max="12034" width="30.7109375" style="238" customWidth="1"/>
    <col min="12035" max="12040" width="0" style="238" hidden="1" customWidth="1"/>
    <col min="12041" max="12041" width="12.7109375" style="238" customWidth="1"/>
    <col min="12042" max="12042" width="12.85546875" style="238" customWidth="1"/>
    <col min="12043" max="12043" width="11" style="238" customWidth="1"/>
    <col min="12044" max="12044" width="11.7109375" style="238" customWidth="1"/>
    <col min="12045" max="12045" width="12.140625" style="238" customWidth="1"/>
    <col min="12046" max="12046" width="0" style="238" hidden="1" customWidth="1"/>
    <col min="12047" max="12047" width="11" style="238" customWidth="1"/>
    <col min="12048" max="12048" width="0" style="238" hidden="1" customWidth="1"/>
    <col min="12049" max="12050" width="11.7109375" style="238" customWidth="1"/>
    <col min="12051" max="12051" width="0" style="238" hidden="1" customWidth="1"/>
    <col min="12052" max="12052" width="11" style="238" customWidth="1"/>
    <col min="12053" max="12053" width="0" style="238" hidden="1" customWidth="1"/>
    <col min="12054" max="12055" width="11.7109375" style="238" customWidth="1"/>
    <col min="12056" max="12056" width="0" style="238" hidden="1" customWidth="1"/>
    <col min="12057" max="12057" width="11" style="238" customWidth="1"/>
    <col min="12058" max="12058" width="0" style="238" hidden="1" customWidth="1"/>
    <col min="12059" max="12059" width="11.85546875" style="238" customWidth="1"/>
    <col min="12060" max="12060" width="11.7109375" style="238" customWidth="1"/>
    <col min="12061" max="12061" width="0" style="238" hidden="1" customWidth="1"/>
    <col min="12062" max="12062" width="11" style="238" customWidth="1"/>
    <col min="12063" max="12063" width="0" style="238" hidden="1" customWidth="1"/>
    <col min="12064" max="12064" width="11.7109375" style="238" customWidth="1"/>
    <col min="12065" max="12065" width="11.85546875" style="238" customWidth="1"/>
    <col min="12066" max="12066" width="0" style="238" hidden="1" customWidth="1"/>
    <col min="12067" max="12067" width="11" style="238" customWidth="1"/>
    <col min="12068" max="12068" width="0" style="238" hidden="1" customWidth="1"/>
    <col min="12069" max="12070" width="11" style="238" customWidth="1"/>
    <col min="12071" max="12071" width="0" style="238" hidden="1" customWidth="1"/>
    <col min="12072" max="12072" width="11" style="238" customWidth="1"/>
    <col min="12073" max="12073" width="0" style="238" hidden="1" customWidth="1"/>
    <col min="12074" max="12074" width="11.5703125" style="238" customWidth="1"/>
    <col min="12075" max="12075" width="11.7109375" style="238" customWidth="1"/>
    <col min="12076" max="12076" width="0" style="238" hidden="1" customWidth="1"/>
    <col min="12077" max="12077" width="11" style="238" customWidth="1"/>
    <col min="12078" max="12078" width="0" style="238" hidden="1" customWidth="1"/>
    <col min="12079" max="12080" width="11.7109375" style="238" customWidth="1"/>
    <col min="12081" max="12081" width="0" style="238" hidden="1" customWidth="1"/>
    <col min="12082" max="12082" width="10.28515625" style="238" customWidth="1"/>
    <col min="12083" max="12083" width="0" style="238" hidden="1" customWidth="1"/>
    <col min="12084" max="12084" width="16.85546875" style="238" customWidth="1"/>
    <col min="12085" max="12086" width="10.28515625" style="238" customWidth="1"/>
    <col min="12087" max="12288" width="9.140625" style="238"/>
    <col min="12289" max="12289" width="4.85546875" style="238" customWidth="1"/>
    <col min="12290" max="12290" width="30.7109375" style="238" customWidth="1"/>
    <col min="12291" max="12296" width="0" style="238" hidden="1" customWidth="1"/>
    <col min="12297" max="12297" width="12.7109375" style="238" customWidth="1"/>
    <col min="12298" max="12298" width="12.85546875" style="238" customWidth="1"/>
    <col min="12299" max="12299" width="11" style="238" customWidth="1"/>
    <col min="12300" max="12300" width="11.7109375" style="238" customWidth="1"/>
    <col min="12301" max="12301" width="12.140625" style="238" customWidth="1"/>
    <col min="12302" max="12302" width="0" style="238" hidden="1" customWidth="1"/>
    <col min="12303" max="12303" width="11" style="238" customWidth="1"/>
    <col min="12304" max="12304" width="0" style="238" hidden="1" customWidth="1"/>
    <col min="12305" max="12306" width="11.7109375" style="238" customWidth="1"/>
    <col min="12307" max="12307" width="0" style="238" hidden="1" customWidth="1"/>
    <col min="12308" max="12308" width="11" style="238" customWidth="1"/>
    <col min="12309" max="12309" width="0" style="238" hidden="1" customWidth="1"/>
    <col min="12310" max="12311" width="11.7109375" style="238" customWidth="1"/>
    <col min="12312" max="12312" width="0" style="238" hidden="1" customWidth="1"/>
    <col min="12313" max="12313" width="11" style="238" customWidth="1"/>
    <col min="12314" max="12314" width="0" style="238" hidden="1" customWidth="1"/>
    <col min="12315" max="12315" width="11.85546875" style="238" customWidth="1"/>
    <col min="12316" max="12316" width="11.7109375" style="238" customWidth="1"/>
    <col min="12317" max="12317" width="0" style="238" hidden="1" customWidth="1"/>
    <col min="12318" max="12318" width="11" style="238" customWidth="1"/>
    <col min="12319" max="12319" width="0" style="238" hidden="1" customWidth="1"/>
    <col min="12320" max="12320" width="11.7109375" style="238" customWidth="1"/>
    <col min="12321" max="12321" width="11.85546875" style="238" customWidth="1"/>
    <col min="12322" max="12322" width="0" style="238" hidden="1" customWidth="1"/>
    <col min="12323" max="12323" width="11" style="238" customWidth="1"/>
    <col min="12324" max="12324" width="0" style="238" hidden="1" customWidth="1"/>
    <col min="12325" max="12326" width="11" style="238" customWidth="1"/>
    <col min="12327" max="12327" width="0" style="238" hidden="1" customWidth="1"/>
    <col min="12328" max="12328" width="11" style="238" customWidth="1"/>
    <col min="12329" max="12329" width="0" style="238" hidden="1" customWidth="1"/>
    <col min="12330" max="12330" width="11.5703125" style="238" customWidth="1"/>
    <col min="12331" max="12331" width="11.7109375" style="238" customWidth="1"/>
    <col min="12332" max="12332" width="0" style="238" hidden="1" customWidth="1"/>
    <col min="12333" max="12333" width="11" style="238" customWidth="1"/>
    <col min="12334" max="12334" width="0" style="238" hidden="1" customWidth="1"/>
    <col min="12335" max="12336" width="11.7109375" style="238" customWidth="1"/>
    <col min="12337" max="12337" width="0" style="238" hidden="1" customWidth="1"/>
    <col min="12338" max="12338" width="10.28515625" style="238" customWidth="1"/>
    <col min="12339" max="12339" width="0" style="238" hidden="1" customWidth="1"/>
    <col min="12340" max="12340" width="16.85546875" style="238" customWidth="1"/>
    <col min="12341" max="12342" width="10.28515625" style="238" customWidth="1"/>
    <col min="12343" max="12544" width="9.140625" style="238"/>
    <col min="12545" max="12545" width="4.85546875" style="238" customWidth="1"/>
    <col min="12546" max="12546" width="30.7109375" style="238" customWidth="1"/>
    <col min="12547" max="12552" width="0" style="238" hidden="1" customWidth="1"/>
    <col min="12553" max="12553" width="12.7109375" style="238" customWidth="1"/>
    <col min="12554" max="12554" width="12.85546875" style="238" customWidth="1"/>
    <col min="12555" max="12555" width="11" style="238" customWidth="1"/>
    <col min="12556" max="12556" width="11.7109375" style="238" customWidth="1"/>
    <col min="12557" max="12557" width="12.140625" style="238" customWidth="1"/>
    <col min="12558" max="12558" width="0" style="238" hidden="1" customWidth="1"/>
    <col min="12559" max="12559" width="11" style="238" customWidth="1"/>
    <col min="12560" max="12560" width="0" style="238" hidden="1" customWidth="1"/>
    <col min="12561" max="12562" width="11.7109375" style="238" customWidth="1"/>
    <col min="12563" max="12563" width="0" style="238" hidden="1" customWidth="1"/>
    <col min="12564" max="12564" width="11" style="238" customWidth="1"/>
    <col min="12565" max="12565" width="0" style="238" hidden="1" customWidth="1"/>
    <col min="12566" max="12567" width="11.7109375" style="238" customWidth="1"/>
    <col min="12568" max="12568" width="0" style="238" hidden="1" customWidth="1"/>
    <col min="12569" max="12569" width="11" style="238" customWidth="1"/>
    <col min="12570" max="12570" width="0" style="238" hidden="1" customWidth="1"/>
    <col min="12571" max="12571" width="11.85546875" style="238" customWidth="1"/>
    <col min="12572" max="12572" width="11.7109375" style="238" customWidth="1"/>
    <col min="12573" max="12573" width="0" style="238" hidden="1" customWidth="1"/>
    <col min="12574" max="12574" width="11" style="238" customWidth="1"/>
    <col min="12575" max="12575" width="0" style="238" hidden="1" customWidth="1"/>
    <col min="12576" max="12576" width="11.7109375" style="238" customWidth="1"/>
    <col min="12577" max="12577" width="11.85546875" style="238" customWidth="1"/>
    <col min="12578" max="12578" width="0" style="238" hidden="1" customWidth="1"/>
    <col min="12579" max="12579" width="11" style="238" customWidth="1"/>
    <col min="12580" max="12580" width="0" style="238" hidden="1" customWidth="1"/>
    <col min="12581" max="12582" width="11" style="238" customWidth="1"/>
    <col min="12583" max="12583" width="0" style="238" hidden="1" customWidth="1"/>
    <col min="12584" max="12584" width="11" style="238" customWidth="1"/>
    <col min="12585" max="12585" width="0" style="238" hidden="1" customWidth="1"/>
    <col min="12586" max="12586" width="11.5703125" style="238" customWidth="1"/>
    <col min="12587" max="12587" width="11.7109375" style="238" customWidth="1"/>
    <col min="12588" max="12588" width="0" style="238" hidden="1" customWidth="1"/>
    <col min="12589" max="12589" width="11" style="238" customWidth="1"/>
    <col min="12590" max="12590" width="0" style="238" hidden="1" customWidth="1"/>
    <col min="12591" max="12592" width="11.7109375" style="238" customWidth="1"/>
    <col min="12593" max="12593" width="0" style="238" hidden="1" customWidth="1"/>
    <col min="12594" max="12594" width="10.28515625" style="238" customWidth="1"/>
    <col min="12595" max="12595" width="0" style="238" hidden="1" customWidth="1"/>
    <col min="12596" max="12596" width="16.85546875" style="238" customWidth="1"/>
    <col min="12597" max="12598" width="10.28515625" style="238" customWidth="1"/>
    <col min="12599" max="12800" width="9.140625" style="238"/>
    <col min="12801" max="12801" width="4.85546875" style="238" customWidth="1"/>
    <col min="12802" max="12802" width="30.7109375" style="238" customWidth="1"/>
    <col min="12803" max="12808" width="0" style="238" hidden="1" customWidth="1"/>
    <col min="12809" max="12809" width="12.7109375" style="238" customWidth="1"/>
    <col min="12810" max="12810" width="12.85546875" style="238" customWidth="1"/>
    <col min="12811" max="12811" width="11" style="238" customWidth="1"/>
    <col min="12812" max="12812" width="11.7109375" style="238" customWidth="1"/>
    <col min="12813" max="12813" width="12.140625" style="238" customWidth="1"/>
    <col min="12814" max="12814" width="0" style="238" hidden="1" customWidth="1"/>
    <col min="12815" max="12815" width="11" style="238" customWidth="1"/>
    <col min="12816" max="12816" width="0" style="238" hidden="1" customWidth="1"/>
    <col min="12817" max="12818" width="11.7109375" style="238" customWidth="1"/>
    <col min="12819" max="12819" width="0" style="238" hidden="1" customWidth="1"/>
    <col min="12820" max="12820" width="11" style="238" customWidth="1"/>
    <col min="12821" max="12821" width="0" style="238" hidden="1" customWidth="1"/>
    <col min="12822" max="12823" width="11.7109375" style="238" customWidth="1"/>
    <col min="12824" max="12824" width="0" style="238" hidden="1" customWidth="1"/>
    <col min="12825" max="12825" width="11" style="238" customWidth="1"/>
    <col min="12826" max="12826" width="0" style="238" hidden="1" customWidth="1"/>
    <col min="12827" max="12827" width="11.85546875" style="238" customWidth="1"/>
    <col min="12828" max="12828" width="11.7109375" style="238" customWidth="1"/>
    <col min="12829" max="12829" width="0" style="238" hidden="1" customWidth="1"/>
    <col min="12830" max="12830" width="11" style="238" customWidth="1"/>
    <col min="12831" max="12831" width="0" style="238" hidden="1" customWidth="1"/>
    <col min="12832" max="12832" width="11.7109375" style="238" customWidth="1"/>
    <col min="12833" max="12833" width="11.85546875" style="238" customWidth="1"/>
    <col min="12834" max="12834" width="0" style="238" hidden="1" customWidth="1"/>
    <col min="12835" max="12835" width="11" style="238" customWidth="1"/>
    <col min="12836" max="12836" width="0" style="238" hidden="1" customWidth="1"/>
    <col min="12837" max="12838" width="11" style="238" customWidth="1"/>
    <col min="12839" max="12839" width="0" style="238" hidden="1" customWidth="1"/>
    <col min="12840" max="12840" width="11" style="238" customWidth="1"/>
    <col min="12841" max="12841" width="0" style="238" hidden="1" customWidth="1"/>
    <col min="12842" max="12842" width="11.5703125" style="238" customWidth="1"/>
    <col min="12843" max="12843" width="11.7109375" style="238" customWidth="1"/>
    <col min="12844" max="12844" width="0" style="238" hidden="1" customWidth="1"/>
    <col min="12845" max="12845" width="11" style="238" customWidth="1"/>
    <col min="12846" max="12846" width="0" style="238" hidden="1" customWidth="1"/>
    <col min="12847" max="12848" width="11.7109375" style="238" customWidth="1"/>
    <col min="12849" max="12849" width="0" style="238" hidden="1" customWidth="1"/>
    <col min="12850" max="12850" width="10.28515625" style="238" customWidth="1"/>
    <col min="12851" max="12851" width="0" style="238" hidden="1" customWidth="1"/>
    <col min="12852" max="12852" width="16.85546875" style="238" customWidth="1"/>
    <col min="12853" max="12854" width="10.28515625" style="238" customWidth="1"/>
    <col min="12855" max="13056" width="9.140625" style="238"/>
    <col min="13057" max="13057" width="4.85546875" style="238" customWidth="1"/>
    <col min="13058" max="13058" width="30.7109375" style="238" customWidth="1"/>
    <col min="13059" max="13064" width="0" style="238" hidden="1" customWidth="1"/>
    <col min="13065" max="13065" width="12.7109375" style="238" customWidth="1"/>
    <col min="13066" max="13066" width="12.85546875" style="238" customWidth="1"/>
    <col min="13067" max="13067" width="11" style="238" customWidth="1"/>
    <col min="13068" max="13068" width="11.7109375" style="238" customWidth="1"/>
    <col min="13069" max="13069" width="12.140625" style="238" customWidth="1"/>
    <col min="13070" max="13070" width="0" style="238" hidden="1" customWidth="1"/>
    <col min="13071" max="13071" width="11" style="238" customWidth="1"/>
    <col min="13072" max="13072" width="0" style="238" hidden="1" customWidth="1"/>
    <col min="13073" max="13074" width="11.7109375" style="238" customWidth="1"/>
    <col min="13075" max="13075" width="0" style="238" hidden="1" customWidth="1"/>
    <col min="13076" max="13076" width="11" style="238" customWidth="1"/>
    <col min="13077" max="13077" width="0" style="238" hidden="1" customWidth="1"/>
    <col min="13078" max="13079" width="11.7109375" style="238" customWidth="1"/>
    <col min="13080" max="13080" width="0" style="238" hidden="1" customWidth="1"/>
    <col min="13081" max="13081" width="11" style="238" customWidth="1"/>
    <col min="13082" max="13082" width="0" style="238" hidden="1" customWidth="1"/>
    <col min="13083" max="13083" width="11.85546875" style="238" customWidth="1"/>
    <col min="13084" max="13084" width="11.7109375" style="238" customWidth="1"/>
    <col min="13085" max="13085" width="0" style="238" hidden="1" customWidth="1"/>
    <col min="13086" max="13086" width="11" style="238" customWidth="1"/>
    <col min="13087" max="13087" width="0" style="238" hidden="1" customWidth="1"/>
    <col min="13088" max="13088" width="11.7109375" style="238" customWidth="1"/>
    <col min="13089" max="13089" width="11.85546875" style="238" customWidth="1"/>
    <col min="13090" max="13090" width="0" style="238" hidden="1" customWidth="1"/>
    <col min="13091" max="13091" width="11" style="238" customWidth="1"/>
    <col min="13092" max="13092" width="0" style="238" hidden="1" customWidth="1"/>
    <col min="13093" max="13094" width="11" style="238" customWidth="1"/>
    <col min="13095" max="13095" width="0" style="238" hidden="1" customWidth="1"/>
    <col min="13096" max="13096" width="11" style="238" customWidth="1"/>
    <col min="13097" max="13097" width="0" style="238" hidden="1" customWidth="1"/>
    <col min="13098" max="13098" width="11.5703125" style="238" customWidth="1"/>
    <col min="13099" max="13099" width="11.7109375" style="238" customWidth="1"/>
    <col min="13100" max="13100" width="0" style="238" hidden="1" customWidth="1"/>
    <col min="13101" max="13101" width="11" style="238" customWidth="1"/>
    <col min="13102" max="13102" width="0" style="238" hidden="1" customWidth="1"/>
    <col min="13103" max="13104" width="11.7109375" style="238" customWidth="1"/>
    <col min="13105" max="13105" width="0" style="238" hidden="1" customWidth="1"/>
    <col min="13106" max="13106" width="10.28515625" style="238" customWidth="1"/>
    <col min="13107" max="13107" width="0" style="238" hidden="1" customWidth="1"/>
    <col min="13108" max="13108" width="16.85546875" style="238" customWidth="1"/>
    <col min="13109" max="13110" width="10.28515625" style="238" customWidth="1"/>
    <col min="13111" max="13312" width="9.140625" style="238"/>
    <col min="13313" max="13313" width="4.85546875" style="238" customWidth="1"/>
    <col min="13314" max="13314" width="30.7109375" style="238" customWidth="1"/>
    <col min="13315" max="13320" width="0" style="238" hidden="1" customWidth="1"/>
    <col min="13321" max="13321" width="12.7109375" style="238" customWidth="1"/>
    <col min="13322" max="13322" width="12.85546875" style="238" customWidth="1"/>
    <col min="13323" max="13323" width="11" style="238" customWidth="1"/>
    <col min="13324" max="13324" width="11.7109375" style="238" customWidth="1"/>
    <col min="13325" max="13325" width="12.140625" style="238" customWidth="1"/>
    <col min="13326" max="13326" width="0" style="238" hidden="1" customWidth="1"/>
    <col min="13327" max="13327" width="11" style="238" customWidth="1"/>
    <col min="13328" max="13328" width="0" style="238" hidden="1" customWidth="1"/>
    <col min="13329" max="13330" width="11.7109375" style="238" customWidth="1"/>
    <col min="13331" max="13331" width="0" style="238" hidden="1" customWidth="1"/>
    <col min="13332" max="13332" width="11" style="238" customWidth="1"/>
    <col min="13333" max="13333" width="0" style="238" hidden="1" customWidth="1"/>
    <col min="13334" max="13335" width="11.7109375" style="238" customWidth="1"/>
    <col min="13336" max="13336" width="0" style="238" hidden="1" customWidth="1"/>
    <col min="13337" max="13337" width="11" style="238" customWidth="1"/>
    <col min="13338" max="13338" width="0" style="238" hidden="1" customWidth="1"/>
    <col min="13339" max="13339" width="11.85546875" style="238" customWidth="1"/>
    <col min="13340" max="13340" width="11.7109375" style="238" customWidth="1"/>
    <col min="13341" max="13341" width="0" style="238" hidden="1" customWidth="1"/>
    <col min="13342" max="13342" width="11" style="238" customWidth="1"/>
    <col min="13343" max="13343" width="0" style="238" hidden="1" customWidth="1"/>
    <col min="13344" max="13344" width="11.7109375" style="238" customWidth="1"/>
    <col min="13345" max="13345" width="11.85546875" style="238" customWidth="1"/>
    <col min="13346" max="13346" width="0" style="238" hidden="1" customWidth="1"/>
    <col min="13347" max="13347" width="11" style="238" customWidth="1"/>
    <col min="13348" max="13348" width="0" style="238" hidden="1" customWidth="1"/>
    <col min="13349" max="13350" width="11" style="238" customWidth="1"/>
    <col min="13351" max="13351" width="0" style="238" hidden="1" customWidth="1"/>
    <col min="13352" max="13352" width="11" style="238" customWidth="1"/>
    <col min="13353" max="13353" width="0" style="238" hidden="1" customWidth="1"/>
    <col min="13354" max="13354" width="11.5703125" style="238" customWidth="1"/>
    <col min="13355" max="13355" width="11.7109375" style="238" customWidth="1"/>
    <col min="13356" max="13356" width="0" style="238" hidden="1" customWidth="1"/>
    <col min="13357" max="13357" width="11" style="238" customWidth="1"/>
    <col min="13358" max="13358" width="0" style="238" hidden="1" customWidth="1"/>
    <col min="13359" max="13360" width="11.7109375" style="238" customWidth="1"/>
    <col min="13361" max="13361" width="0" style="238" hidden="1" customWidth="1"/>
    <col min="13362" max="13362" width="10.28515625" style="238" customWidth="1"/>
    <col min="13363" max="13363" width="0" style="238" hidden="1" customWidth="1"/>
    <col min="13364" max="13364" width="16.85546875" style="238" customWidth="1"/>
    <col min="13365" max="13366" width="10.28515625" style="238" customWidth="1"/>
    <col min="13367" max="13568" width="9.140625" style="238"/>
    <col min="13569" max="13569" width="4.85546875" style="238" customWidth="1"/>
    <col min="13570" max="13570" width="30.7109375" style="238" customWidth="1"/>
    <col min="13571" max="13576" width="0" style="238" hidden="1" customWidth="1"/>
    <col min="13577" max="13577" width="12.7109375" style="238" customWidth="1"/>
    <col min="13578" max="13578" width="12.85546875" style="238" customWidth="1"/>
    <col min="13579" max="13579" width="11" style="238" customWidth="1"/>
    <col min="13580" max="13580" width="11.7109375" style="238" customWidth="1"/>
    <col min="13581" max="13581" width="12.140625" style="238" customWidth="1"/>
    <col min="13582" max="13582" width="0" style="238" hidden="1" customWidth="1"/>
    <col min="13583" max="13583" width="11" style="238" customWidth="1"/>
    <col min="13584" max="13584" width="0" style="238" hidden="1" customWidth="1"/>
    <col min="13585" max="13586" width="11.7109375" style="238" customWidth="1"/>
    <col min="13587" max="13587" width="0" style="238" hidden="1" customWidth="1"/>
    <col min="13588" max="13588" width="11" style="238" customWidth="1"/>
    <col min="13589" max="13589" width="0" style="238" hidden="1" customWidth="1"/>
    <col min="13590" max="13591" width="11.7109375" style="238" customWidth="1"/>
    <col min="13592" max="13592" width="0" style="238" hidden="1" customWidth="1"/>
    <col min="13593" max="13593" width="11" style="238" customWidth="1"/>
    <col min="13594" max="13594" width="0" style="238" hidden="1" customWidth="1"/>
    <col min="13595" max="13595" width="11.85546875" style="238" customWidth="1"/>
    <col min="13596" max="13596" width="11.7109375" style="238" customWidth="1"/>
    <col min="13597" max="13597" width="0" style="238" hidden="1" customWidth="1"/>
    <col min="13598" max="13598" width="11" style="238" customWidth="1"/>
    <col min="13599" max="13599" width="0" style="238" hidden="1" customWidth="1"/>
    <col min="13600" max="13600" width="11.7109375" style="238" customWidth="1"/>
    <col min="13601" max="13601" width="11.85546875" style="238" customWidth="1"/>
    <col min="13602" max="13602" width="0" style="238" hidden="1" customWidth="1"/>
    <col min="13603" max="13603" width="11" style="238" customWidth="1"/>
    <col min="13604" max="13604" width="0" style="238" hidden="1" customWidth="1"/>
    <col min="13605" max="13606" width="11" style="238" customWidth="1"/>
    <col min="13607" max="13607" width="0" style="238" hidden="1" customWidth="1"/>
    <col min="13608" max="13608" width="11" style="238" customWidth="1"/>
    <col min="13609" max="13609" width="0" style="238" hidden="1" customWidth="1"/>
    <col min="13610" max="13610" width="11.5703125" style="238" customWidth="1"/>
    <col min="13611" max="13611" width="11.7109375" style="238" customWidth="1"/>
    <col min="13612" max="13612" width="0" style="238" hidden="1" customWidth="1"/>
    <col min="13613" max="13613" width="11" style="238" customWidth="1"/>
    <col min="13614" max="13614" width="0" style="238" hidden="1" customWidth="1"/>
    <col min="13615" max="13616" width="11.7109375" style="238" customWidth="1"/>
    <col min="13617" max="13617" width="0" style="238" hidden="1" customWidth="1"/>
    <col min="13618" max="13618" width="10.28515625" style="238" customWidth="1"/>
    <col min="13619" max="13619" width="0" style="238" hidden="1" customWidth="1"/>
    <col min="13620" max="13620" width="16.85546875" style="238" customWidth="1"/>
    <col min="13621" max="13622" width="10.28515625" style="238" customWidth="1"/>
    <col min="13623" max="13824" width="9.140625" style="238"/>
    <col min="13825" max="13825" width="4.85546875" style="238" customWidth="1"/>
    <col min="13826" max="13826" width="30.7109375" style="238" customWidth="1"/>
    <col min="13827" max="13832" width="0" style="238" hidden="1" customWidth="1"/>
    <col min="13833" max="13833" width="12.7109375" style="238" customWidth="1"/>
    <col min="13834" max="13834" width="12.85546875" style="238" customWidth="1"/>
    <col min="13835" max="13835" width="11" style="238" customWidth="1"/>
    <col min="13836" max="13836" width="11.7109375" style="238" customWidth="1"/>
    <col min="13837" max="13837" width="12.140625" style="238" customWidth="1"/>
    <col min="13838" max="13838" width="0" style="238" hidden="1" customWidth="1"/>
    <col min="13839" max="13839" width="11" style="238" customWidth="1"/>
    <col min="13840" max="13840" width="0" style="238" hidden="1" customWidth="1"/>
    <col min="13841" max="13842" width="11.7109375" style="238" customWidth="1"/>
    <col min="13843" max="13843" width="0" style="238" hidden="1" customWidth="1"/>
    <col min="13844" max="13844" width="11" style="238" customWidth="1"/>
    <col min="13845" max="13845" width="0" style="238" hidden="1" customWidth="1"/>
    <col min="13846" max="13847" width="11.7109375" style="238" customWidth="1"/>
    <col min="13848" max="13848" width="0" style="238" hidden="1" customWidth="1"/>
    <col min="13849" max="13849" width="11" style="238" customWidth="1"/>
    <col min="13850" max="13850" width="0" style="238" hidden="1" customWidth="1"/>
    <col min="13851" max="13851" width="11.85546875" style="238" customWidth="1"/>
    <col min="13852" max="13852" width="11.7109375" style="238" customWidth="1"/>
    <col min="13853" max="13853" width="0" style="238" hidden="1" customWidth="1"/>
    <col min="13854" max="13854" width="11" style="238" customWidth="1"/>
    <col min="13855" max="13855" width="0" style="238" hidden="1" customWidth="1"/>
    <col min="13856" max="13856" width="11.7109375" style="238" customWidth="1"/>
    <col min="13857" max="13857" width="11.85546875" style="238" customWidth="1"/>
    <col min="13858" max="13858" width="0" style="238" hidden="1" customWidth="1"/>
    <col min="13859" max="13859" width="11" style="238" customWidth="1"/>
    <col min="13860" max="13860" width="0" style="238" hidden="1" customWidth="1"/>
    <col min="13861" max="13862" width="11" style="238" customWidth="1"/>
    <col min="13863" max="13863" width="0" style="238" hidden="1" customWidth="1"/>
    <col min="13864" max="13864" width="11" style="238" customWidth="1"/>
    <col min="13865" max="13865" width="0" style="238" hidden="1" customWidth="1"/>
    <col min="13866" max="13866" width="11.5703125" style="238" customWidth="1"/>
    <col min="13867" max="13867" width="11.7109375" style="238" customWidth="1"/>
    <col min="13868" max="13868" width="0" style="238" hidden="1" customWidth="1"/>
    <col min="13869" max="13869" width="11" style="238" customWidth="1"/>
    <col min="13870" max="13870" width="0" style="238" hidden="1" customWidth="1"/>
    <col min="13871" max="13872" width="11.7109375" style="238" customWidth="1"/>
    <col min="13873" max="13873" width="0" style="238" hidden="1" customWidth="1"/>
    <col min="13874" max="13874" width="10.28515625" style="238" customWidth="1"/>
    <col min="13875" max="13875" width="0" style="238" hidden="1" customWidth="1"/>
    <col min="13876" max="13876" width="16.85546875" style="238" customWidth="1"/>
    <col min="13877" max="13878" width="10.28515625" style="238" customWidth="1"/>
    <col min="13879" max="14080" width="9.140625" style="238"/>
    <col min="14081" max="14081" width="4.85546875" style="238" customWidth="1"/>
    <col min="14082" max="14082" width="30.7109375" style="238" customWidth="1"/>
    <col min="14083" max="14088" width="0" style="238" hidden="1" customWidth="1"/>
    <col min="14089" max="14089" width="12.7109375" style="238" customWidth="1"/>
    <col min="14090" max="14090" width="12.85546875" style="238" customWidth="1"/>
    <col min="14091" max="14091" width="11" style="238" customWidth="1"/>
    <col min="14092" max="14092" width="11.7109375" style="238" customWidth="1"/>
    <col min="14093" max="14093" width="12.140625" style="238" customWidth="1"/>
    <col min="14094" max="14094" width="0" style="238" hidden="1" customWidth="1"/>
    <col min="14095" max="14095" width="11" style="238" customWidth="1"/>
    <col min="14096" max="14096" width="0" style="238" hidden="1" customWidth="1"/>
    <col min="14097" max="14098" width="11.7109375" style="238" customWidth="1"/>
    <col min="14099" max="14099" width="0" style="238" hidden="1" customWidth="1"/>
    <col min="14100" max="14100" width="11" style="238" customWidth="1"/>
    <col min="14101" max="14101" width="0" style="238" hidden="1" customWidth="1"/>
    <col min="14102" max="14103" width="11.7109375" style="238" customWidth="1"/>
    <col min="14104" max="14104" width="0" style="238" hidden="1" customWidth="1"/>
    <col min="14105" max="14105" width="11" style="238" customWidth="1"/>
    <col min="14106" max="14106" width="0" style="238" hidden="1" customWidth="1"/>
    <col min="14107" max="14107" width="11.85546875" style="238" customWidth="1"/>
    <col min="14108" max="14108" width="11.7109375" style="238" customWidth="1"/>
    <col min="14109" max="14109" width="0" style="238" hidden="1" customWidth="1"/>
    <col min="14110" max="14110" width="11" style="238" customWidth="1"/>
    <col min="14111" max="14111" width="0" style="238" hidden="1" customWidth="1"/>
    <col min="14112" max="14112" width="11.7109375" style="238" customWidth="1"/>
    <col min="14113" max="14113" width="11.85546875" style="238" customWidth="1"/>
    <col min="14114" max="14114" width="0" style="238" hidden="1" customWidth="1"/>
    <col min="14115" max="14115" width="11" style="238" customWidth="1"/>
    <col min="14116" max="14116" width="0" style="238" hidden="1" customWidth="1"/>
    <col min="14117" max="14118" width="11" style="238" customWidth="1"/>
    <col min="14119" max="14119" width="0" style="238" hidden="1" customWidth="1"/>
    <col min="14120" max="14120" width="11" style="238" customWidth="1"/>
    <col min="14121" max="14121" width="0" style="238" hidden="1" customWidth="1"/>
    <col min="14122" max="14122" width="11.5703125" style="238" customWidth="1"/>
    <col min="14123" max="14123" width="11.7109375" style="238" customWidth="1"/>
    <col min="14124" max="14124" width="0" style="238" hidden="1" customWidth="1"/>
    <col min="14125" max="14125" width="11" style="238" customWidth="1"/>
    <col min="14126" max="14126" width="0" style="238" hidden="1" customWidth="1"/>
    <col min="14127" max="14128" width="11.7109375" style="238" customWidth="1"/>
    <col min="14129" max="14129" width="0" style="238" hidden="1" customWidth="1"/>
    <col min="14130" max="14130" width="10.28515625" style="238" customWidth="1"/>
    <col min="14131" max="14131" width="0" style="238" hidden="1" customWidth="1"/>
    <col min="14132" max="14132" width="16.85546875" style="238" customWidth="1"/>
    <col min="14133" max="14134" width="10.28515625" style="238" customWidth="1"/>
    <col min="14135" max="14336" width="9.140625" style="238"/>
    <col min="14337" max="14337" width="4.85546875" style="238" customWidth="1"/>
    <col min="14338" max="14338" width="30.7109375" style="238" customWidth="1"/>
    <col min="14339" max="14344" width="0" style="238" hidden="1" customWidth="1"/>
    <col min="14345" max="14345" width="12.7109375" style="238" customWidth="1"/>
    <col min="14346" max="14346" width="12.85546875" style="238" customWidth="1"/>
    <col min="14347" max="14347" width="11" style="238" customWidth="1"/>
    <col min="14348" max="14348" width="11.7109375" style="238" customWidth="1"/>
    <col min="14349" max="14349" width="12.140625" style="238" customWidth="1"/>
    <col min="14350" max="14350" width="0" style="238" hidden="1" customWidth="1"/>
    <col min="14351" max="14351" width="11" style="238" customWidth="1"/>
    <col min="14352" max="14352" width="0" style="238" hidden="1" customWidth="1"/>
    <col min="14353" max="14354" width="11.7109375" style="238" customWidth="1"/>
    <col min="14355" max="14355" width="0" style="238" hidden="1" customWidth="1"/>
    <col min="14356" max="14356" width="11" style="238" customWidth="1"/>
    <col min="14357" max="14357" width="0" style="238" hidden="1" customWidth="1"/>
    <col min="14358" max="14359" width="11.7109375" style="238" customWidth="1"/>
    <col min="14360" max="14360" width="0" style="238" hidden="1" customWidth="1"/>
    <col min="14361" max="14361" width="11" style="238" customWidth="1"/>
    <col min="14362" max="14362" width="0" style="238" hidden="1" customWidth="1"/>
    <col min="14363" max="14363" width="11.85546875" style="238" customWidth="1"/>
    <col min="14364" max="14364" width="11.7109375" style="238" customWidth="1"/>
    <col min="14365" max="14365" width="0" style="238" hidden="1" customWidth="1"/>
    <col min="14366" max="14366" width="11" style="238" customWidth="1"/>
    <col min="14367" max="14367" width="0" style="238" hidden="1" customWidth="1"/>
    <col min="14368" max="14368" width="11.7109375" style="238" customWidth="1"/>
    <col min="14369" max="14369" width="11.85546875" style="238" customWidth="1"/>
    <col min="14370" max="14370" width="0" style="238" hidden="1" customWidth="1"/>
    <col min="14371" max="14371" width="11" style="238" customWidth="1"/>
    <col min="14372" max="14372" width="0" style="238" hidden="1" customWidth="1"/>
    <col min="14373" max="14374" width="11" style="238" customWidth="1"/>
    <col min="14375" max="14375" width="0" style="238" hidden="1" customWidth="1"/>
    <col min="14376" max="14376" width="11" style="238" customWidth="1"/>
    <col min="14377" max="14377" width="0" style="238" hidden="1" customWidth="1"/>
    <col min="14378" max="14378" width="11.5703125" style="238" customWidth="1"/>
    <col min="14379" max="14379" width="11.7109375" style="238" customWidth="1"/>
    <col min="14380" max="14380" width="0" style="238" hidden="1" customWidth="1"/>
    <col min="14381" max="14381" width="11" style="238" customWidth="1"/>
    <col min="14382" max="14382" width="0" style="238" hidden="1" customWidth="1"/>
    <col min="14383" max="14384" width="11.7109375" style="238" customWidth="1"/>
    <col min="14385" max="14385" width="0" style="238" hidden="1" customWidth="1"/>
    <col min="14386" max="14386" width="10.28515625" style="238" customWidth="1"/>
    <col min="14387" max="14387" width="0" style="238" hidden="1" customWidth="1"/>
    <col min="14388" max="14388" width="16.85546875" style="238" customWidth="1"/>
    <col min="14389" max="14390" width="10.28515625" style="238" customWidth="1"/>
    <col min="14391" max="14592" width="9.140625" style="238"/>
    <col min="14593" max="14593" width="4.85546875" style="238" customWidth="1"/>
    <col min="14594" max="14594" width="30.7109375" style="238" customWidth="1"/>
    <col min="14595" max="14600" width="0" style="238" hidden="1" customWidth="1"/>
    <col min="14601" max="14601" width="12.7109375" style="238" customWidth="1"/>
    <col min="14602" max="14602" width="12.85546875" style="238" customWidth="1"/>
    <col min="14603" max="14603" width="11" style="238" customWidth="1"/>
    <col min="14604" max="14604" width="11.7109375" style="238" customWidth="1"/>
    <col min="14605" max="14605" width="12.140625" style="238" customWidth="1"/>
    <col min="14606" max="14606" width="0" style="238" hidden="1" customWidth="1"/>
    <col min="14607" max="14607" width="11" style="238" customWidth="1"/>
    <col min="14608" max="14608" width="0" style="238" hidden="1" customWidth="1"/>
    <col min="14609" max="14610" width="11.7109375" style="238" customWidth="1"/>
    <col min="14611" max="14611" width="0" style="238" hidden="1" customWidth="1"/>
    <col min="14612" max="14612" width="11" style="238" customWidth="1"/>
    <col min="14613" max="14613" width="0" style="238" hidden="1" customWidth="1"/>
    <col min="14614" max="14615" width="11.7109375" style="238" customWidth="1"/>
    <col min="14616" max="14616" width="0" style="238" hidden="1" customWidth="1"/>
    <col min="14617" max="14617" width="11" style="238" customWidth="1"/>
    <col min="14618" max="14618" width="0" style="238" hidden="1" customWidth="1"/>
    <col min="14619" max="14619" width="11.85546875" style="238" customWidth="1"/>
    <col min="14620" max="14620" width="11.7109375" style="238" customWidth="1"/>
    <col min="14621" max="14621" width="0" style="238" hidden="1" customWidth="1"/>
    <col min="14622" max="14622" width="11" style="238" customWidth="1"/>
    <col min="14623" max="14623" width="0" style="238" hidden="1" customWidth="1"/>
    <col min="14624" max="14624" width="11.7109375" style="238" customWidth="1"/>
    <col min="14625" max="14625" width="11.85546875" style="238" customWidth="1"/>
    <col min="14626" max="14626" width="0" style="238" hidden="1" customWidth="1"/>
    <col min="14627" max="14627" width="11" style="238" customWidth="1"/>
    <col min="14628" max="14628" width="0" style="238" hidden="1" customWidth="1"/>
    <col min="14629" max="14630" width="11" style="238" customWidth="1"/>
    <col min="14631" max="14631" width="0" style="238" hidden="1" customWidth="1"/>
    <col min="14632" max="14632" width="11" style="238" customWidth="1"/>
    <col min="14633" max="14633" width="0" style="238" hidden="1" customWidth="1"/>
    <col min="14634" max="14634" width="11.5703125" style="238" customWidth="1"/>
    <col min="14635" max="14635" width="11.7109375" style="238" customWidth="1"/>
    <col min="14636" max="14636" width="0" style="238" hidden="1" customWidth="1"/>
    <col min="14637" max="14637" width="11" style="238" customWidth="1"/>
    <col min="14638" max="14638" width="0" style="238" hidden="1" customWidth="1"/>
    <col min="14639" max="14640" width="11.7109375" style="238" customWidth="1"/>
    <col min="14641" max="14641" width="0" style="238" hidden="1" customWidth="1"/>
    <col min="14642" max="14642" width="10.28515625" style="238" customWidth="1"/>
    <col min="14643" max="14643" width="0" style="238" hidden="1" customWidth="1"/>
    <col min="14644" max="14644" width="16.85546875" style="238" customWidth="1"/>
    <col min="14645" max="14646" width="10.28515625" style="238" customWidth="1"/>
    <col min="14647" max="14848" width="9.140625" style="238"/>
    <col min="14849" max="14849" width="4.85546875" style="238" customWidth="1"/>
    <col min="14850" max="14850" width="30.7109375" style="238" customWidth="1"/>
    <col min="14851" max="14856" width="0" style="238" hidden="1" customWidth="1"/>
    <col min="14857" max="14857" width="12.7109375" style="238" customWidth="1"/>
    <col min="14858" max="14858" width="12.85546875" style="238" customWidth="1"/>
    <col min="14859" max="14859" width="11" style="238" customWidth="1"/>
    <col min="14860" max="14860" width="11.7109375" style="238" customWidth="1"/>
    <col min="14861" max="14861" width="12.140625" style="238" customWidth="1"/>
    <col min="14862" max="14862" width="0" style="238" hidden="1" customWidth="1"/>
    <col min="14863" max="14863" width="11" style="238" customWidth="1"/>
    <col min="14864" max="14864" width="0" style="238" hidden="1" customWidth="1"/>
    <col min="14865" max="14866" width="11.7109375" style="238" customWidth="1"/>
    <col min="14867" max="14867" width="0" style="238" hidden="1" customWidth="1"/>
    <col min="14868" max="14868" width="11" style="238" customWidth="1"/>
    <col min="14869" max="14869" width="0" style="238" hidden="1" customWidth="1"/>
    <col min="14870" max="14871" width="11.7109375" style="238" customWidth="1"/>
    <col min="14872" max="14872" width="0" style="238" hidden="1" customWidth="1"/>
    <col min="14873" max="14873" width="11" style="238" customWidth="1"/>
    <col min="14874" max="14874" width="0" style="238" hidden="1" customWidth="1"/>
    <col min="14875" max="14875" width="11.85546875" style="238" customWidth="1"/>
    <col min="14876" max="14876" width="11.7109375" style="238" customWidth="1"/>
    <col min="14877" max="14877" width="0" style="238" hidden="1" customWidth="1"/>
    <col min="14878" max="14878" width="11" style="238" customWidth="1"/>
    <col min="14879" max="14879" width="0" style="238" hidden="1" customWidth="1"/>
    <col min="14880" max="14880" width="11.7109375" style="238" customWidth="1"/>
    <col min="14881" max="14881" width="11.85546875" style="238" customWidth="1"/>
    <col min="14882" max="14882" width="0" style="238" hidden="1" customWidth="1"/>
    <col min="14883" max="14883" width="11" style="238" customWidth="1"/>
    <col min="14884" max="14884" width="0" style="238" hidden="1" customWidth="1"/>
    <col min="14885" max="14886" width="11" style="238" customWidth="1"/>
    <col min="14887" max="14887" width="0" style="238" hidden="1" customWidth="1"/>
    <col min="14888" max="14888" width="11" style="238" customWidth="1"/>
    <col min="14889" max="14889" width="0" style="238" hidden="1" customWidth="1"/>
    <col min="14890" max="14890" width="11.5703125" style="238" customWidth="1"/>
    <col min="14891" max="14891" width="11.7109375" style="238" customWidth="1"/>
    <col min="14892" max="14892" width="0" style="238" hidden="1" customWidth="1"/>
    <col min="14893" max="14893" width="11" style="238" customWidth="1"/>
    <col min="14894" max="14894" width="0" style="238" hidden="1" customWidth="1"/>
    <col min="14895" max="14896" width="11.7109375" style="238" customWidth="1"/>
    <col min="14897" max="14897" width="0" style="238" hidden="1" customWidth="1"/>
    <col min="14898" max="14898" width="10.28515625" style="238" customWidth="1"/>
    <col min="14899" max="14899" width="0" style="238" hidden="1" customWidth="1"/>
    <col min="14900" max="14900" width="16.85546875" style="238" customWidth="1"/>
    <col min="14901" max="14902" width="10.28515625" style="238" customWidth="1"/>
    <col min="14903" max="15104" width="9.140625" style="238"/>
    <col min="15105" max="15105" width="4.85546875" style="238" customWidth="1"/>
    <col min="15106" max="15106" width="30.7109375" style="238" customWidth="1"/>
    <col min="15107" max="15112" width="0" style="238" hidden="1" customWidth="1"/>
    <col min="15113" max="15113" width="12.7109375" style="238" customWidth="1"/>
    <col min="15114" max="15114" width="12.85546875" style="238" customWidth="1"/>
    <col min="15115" max="15115" width="11" style="238" customWidth="1"/>
    <col min="15116" max="15116" width="11.7109375" style="238" customWidth="1"/>
    <col min="15117" max="15117" width="12.140625" style="238" customWidth="1"/>
    <col min="15118" max="15118" width="0" style="238" hidden="1" customWidth="1"/>
    <col min="15119" max="15119" width="11" style="238" customWidth="1"/>
    <col min="15120" max="15120" width="0" style="238" hidden="1" customWidth="1"/>
    <col min="15121" max="15122" width="11.7109375" style="238" customWidth="1"/>
    <col min="15123" max="15123" width="0" style="238" hidden="1" customWidth="1"/>
    <col min="15124" max="15124" width="11" style="238" customWidth="1"/>
    <col min="15125" max="15125" width="0" style="238" hidden="1" customWidth="1"/>
    <col min="15126" max="15127" width="11.7109375" style="238" customWidth="1"/>
    <col min="15128" max="15128" width="0" style="238" hidden="1" customWidth="1"/>
    <col min="15129" max="15129" width="11" style="238" customWidth="1"/>
    <col min="15130" max="15130" width="0" style="238" hidden="1" customWidth="1"/>
    <col min="15131" max="15131" width="11.85546875" style="238" customWidth="1"/>
    <col min="15132" max="15132" width="11.7109375" style="238" customWidth="1"/>
    <col min="15133" max="15133" width="0" style="238" hidden="1" customWidth="1"/>
    <col min="15134" max="15134" width="11" style="238" customWidth="1"/>
    <col min="15135" max="15135" width="0" style="238" hidden="1" customWidth="1"/>
    <col min="15136" max="15136" width="11.7109375" style="238" customWidth="1"/>
    <col min="15137" max="15137" width="11.85546875" style="238" customWidth="1"/>
    <col min="15138" max="15138" width="0" style="238" hidden="1" customWidth="1"/>
    <col min="15139" max="15139" width="11" style="238" customWidth="1"/>
    <col min="15140" max="15140" width="0" style="238" hidden="1" customWidth="1"/>
    <col min="15141" max="15142" width="11" style="238" customWidth="1"/>
    <col min="15143" max="15143" width="0" style="238" hidden="1" customWidth="1"/>
    <col min="15144" max="15144" width="11" style="238" customWidth="1"/>
    <col min="15145" max="15145" width="0" style="238" hidden="1" customWidth="1"/>
    <col min="15146" max="15146" width="11.5703125" style="238" customWidth="1"/>
    <col min="15147" max="15147" width="11.7109375" style="238" customWidth="1"/>
    <col min="15148" max="15148" width="0" style="238" hidden="1" customWidth="1"/>
    <col min="15149" max="15149" width="11" style="238" customWidth="1"/>
    <col min="15150" max="15150" width="0" style="238" hidden="1" customWidth="1"/>
    <col min="15151" max="15152" width="11.7109375" style="238" customWidth="1"/>
    <col min="15153" max="15153" width="0" style="238" hidden="1" customWidth="1"/>
    <col min="15154" max="15154" width="10.28515625" style="238" customWidth="1"/>
    <col min="15155" max="15155" width="0" style="238" hidden="1" customWidth="1"/>
    <col min="15156" max="15156" width="16.85546875" style="238" customWidth="1"/>
    <col min="15157" max="15158" width="10.28515625" style="238" customWidth="1"/>
    <col min="15159" max="15360" width="9.140625" style="238"/>
    <col min="15361" max="15361" width="4.85546875" style="238" customWidth="1"/>
    <col min="15362" max="15362" width="30.7109375" style="238" customWidth="1"/>
    <col min="15363" max="15368" width="0" style="238" hidden="1" customWidth="1"/>
    <col min="15369" max="15369" width="12.7109375" style="238" customWidth="1"/>
    <col min="15370" max="15370" width="12.85546875" style="238" customWidth="1"/>
    <col min="15371" max="15371" width="11" style="238" customWidth="1"/>
    <col min="15372" max="15372" width="11.7109375" style="238" customWidth="1"/>
    <col min="15373" max="15373" width="12.140625" style="238" customWidth="1"/>
    <col min="15374" max="15374" width="0" style="238" hidden="1" customWidth="1"/>
    <col min="15375" max="15375" width="11" style="238" customWidth="1"/>
    <col min="15376" max="15376" width="0" style="238" hidden="1" customWidth="1"/>
    <col min="15377" max="15378" width="11.7109375" style="238" customWidth="1"/>
    <col min="15379" max="15379" width="0" style="238" hidden="1" customWidth="1"/>
    <col min="15380" max="15380" width="11" style="238" customWidth="1"/>
    <col min="15381" max="15381" width="0" style="238" hidden="1" customWidth="1"/>
    <col min="15382" max="15383" width="11.7109375" style="238" customWidth="1"/>
    <col min="15384" max="15384" width="0" style="238" hidden="1" customWidth="1"/>
    <col min="15385" max="15385" width="11" style="238" customWidth="1"/>
    <col min="15386" max="15386" width="0" style="238" hidden="1" customWidth="1"/>
    <col min="15387" max="15387" width="11.85546875" style="238" customWidth="1"/>
    <col min="15388" max="15388" width="11.7109375" style="238" customWidth="1"/>
    <col min="15389" max="15389" width="0" style="238" hidden="1" customWidth="1"/>
    <col min="15390" max="15390" width="11" style="238" customWidth="1"/>
    <col min="15391" max="15391" width="0" style="238" hidden="1" customWidth="1"/>
    <col min="15392" max="15392" width="11.7109375" style="238" customWidth="1"/>
    <col min="15393" max="15393" width="11.85546875" style="238" customWidth="1"/>
    <col min="15394" max="15394" width="0" style="238" hidden="1" customWidth="1"/>
    <col min="15395" max="15395" width="11" style="238" customWidth="1"/>
    <col min="15396" max="15396" width="0" style="238" hidden="1" customWidth="1"/>
    <col min="15397" max="15398" width="11" style="238" customWidth="1"/>
    <col min="15399" max="15399" width="0" style="238" hidden="1" customWidth="1"/>
    <col min="15400" max="15400" width="11" style="238" customWidth="1"/>
    <col min="15401" max="15401" width="0" style="238" hidden="1" customWidth="1"/>
    <col min="15402" max="15402" width="11.5703125" style="238" customWidth="1"/>
    <col min="15403" max="15403" width="11.7109375" style="238" customWidth="1"/>
    <col min="15404" max="15404" width="0" style="238" hidden="1" customWidth="1"/>
    <col min="15405" max="15405" width="11" style="238" customWidth="1"/>
    <col min="15406" max="15406" width="0" style="238" hidden="1" customWidth="1"/>
    <col min="15407" max="15408" width="11.7109375" style="238" customWidth="1"/>
    <col min="15409" max="15409" width="0" style="238" hidden="1" customWidth="1"/>
    <col min="15410" max="15410" width="10.28515625" style="238" customWidth="1"/>
    <col min="15411" max="15411" width="0" style="238" hidden="1" customWidth="1"/>
    <col min="15412" max="15412" width="16.85546875" style="238" customWidth="1"/>
    <col min="15413" max="15414" width="10.28515625" style="238" customWidth="1"/>
    <col min="15415" max="15616" width="9.140625" style="238"/>
    <col min="15617" max="15617" width="4.85546875" style="238" customWidth="1"/>
    <col min="15618" max="15618" width="30.7109375" style="238" customWidth="1"/>
    <col min="15619" max="15624" width="0" style="238" hidden="1" customWidth="1"/>
    <col min="15625" max="15625" width="12.7109375" style="238" customWidth="1"/>
    <col min="15626" max="15626" width="12.85546875" style="238" customWidth="1"/>
    <col min="15627" max="15627" width="11" style="238" customWidth="1"/>
    <col min="15628" max="15628" width="11.7109375" style="238" customWidth="1"/>
    <col min="15629" max="15629" width="12.140625" style="238" customWidth="1"/>
    <col min="15630" max="15630" width="0" style="238" hidden="1" customWidth="1"/>
    <col min="15631" max="15631" width="11" style="238" customWidth="1"/>
    <col min="15632" max="15632" width="0" style="238" hidden="1" customWidth="1"/>
    <col min="15633" max="15634" width="11.7109375" style="238" customWidth="1"/>
    <col min="15635" max="15635" width="0" style="238" hidden="1" customWidth="1"/>
    <col min="15636" max="15636" width="11" style="238" customWidth="1"/>
    <col min="15637" max="15637" width="0" style="238" hidden="1" customWidth="1"/>
    <col min="15638" max="15639" width="11.7109375" style="238" customWidth="1"/>
    <col min="15640" max="15640" width="0" style="238" hidden="1" customWidth="1"/>
    <col min="15641" max="15641" width="11" style="238" customWidth="1"/>
    <col min="15642" max="15642" width="0" style="238" hidden="1" customWidth="1"/>
    <col min="15643" max="15643" width="11.85546875" style="238" customWidth="1"/>
    <col min="15644" max="15644" width="11.7109375" style="238" customWidth="1"/>
    <col min="15645" max="15645" width="0" style="238" hidden="1" customWidth="1"/>
    <col min="15646" max="15646" width="11" style="238" customWidth="1"/>
    <col min="15647" max="15647" width="0" style="238" hidden="1" customWidth="1"/>
    <col min="15648" max="15648" width="11.7109375" style="238" customWidth="1"/>
    <col min="15649" max="15649" width="11.85546875" style="238" customWidth="1"/>
    <col min="15650" max="15650" width="0" style="238" hidden="1" customWidth="1"/>
    <col min="15651" max="15651" width="11" style="238" customWidth="1"/>
    <col min="15652" max="15652" width="0" style="238" hidden="1" customWidth="1"/>
    <col min="15653" max="15654" width="11" style="238" customWidth="1"/>
    <col min="15655" max="15655" width="0" style="238" hidden="1" customWidth="1"/>
    <col min="15656" max="15656" width="11" style="238" customWidth="1"/>
    <col min="15657" max="15657" width="0" style="238" hidden="1" customWidth="1"/>
    <col min="15658" max="15658" width="11.5703125" style="238" customWidth="1"/>
    <col min="15659" max="15659" width="11.7109375" style="238" customWidth="1"/>
    <col min="15660" max="15660" width="0" style="238" hidden="1" customWidth="1"/>
    <col min="15661" max="15661" width="11" style="238" customWidth="1"/>
    <col min="15662" max="15662" width="0" style="238" hidden="1" customWidth="1"/>
    <col min="15663" max="15664" width="11.7109375" style="238" customWidth="1"/>
    <col min="15665" max="15665" width="0" style="238" hidden="1" customWidth="1"/>
    <col min="15666" max="15666" width="10.28515625" style="238" customWidth="1"/>
    <col min="15667" max="15667" width="0" style="238" hidden="1" customWidth="1"/>
    <col min="15668" max="15668" width="16.85546875" style="238" customWidth="1"/>
    <col min="15669" max="15670" width="10.28515625" style="238" customWidth="1"/>
    <col min="15671" max="15872" width="9.140625" style="238"/>
    <col min="15873" max="15873" width="4.85546875" style="238" customWidth="1"/>
    <col min="15874" max="15874" width="30.7109375" style="238" customWidth="1"/>
    <col min="15875" max="15880" width="0" style="238" hidden="1" customWidth="1"/>
    <col min="15881" max="15881" width="12.7109375" style="238" customWidth="1"/>
    <col min="15882" max="15882" width="12.85546875" style="238" customWidth="1"/>
    <col min="15883" max="15883" width="11" style="238" customWidth="1"/>
    <col min="15884" max="15884" width="11.7109375" style="238" customWidth="1"/>
    <col min="15885" max="15885" width="12.140625" style="238" customWidth="1"/>
    <col min="15886" max="15886" width="0" style="238" hidden="1" customWidth="1"/>
    <col min="15887" max="15887" width="11" style="238" customWidth="1"/>
    <col min="15888" max="15888" width="0" style="238" hidden="1" customWidth="1"/>
    <col min="15889" max="15890" width="11.7109375" style="238" customWidth="1"/>
    <col min="15891" max="15891" width="0" style="238" hidden="1" customWidth="1"/>
    <col min="15892" max="15892" width="11" style="238" customWidth="1"/>
    <col min="15893" max="15893" width="0" style="238" hidden="1" customWidth="1"/>
    <col min="15894" max="15895" width="11.7109375" style="238" customWidth="1"/>
    <col min="15896" max="15896" width="0" style="238" hidden="1" customWidth="1"/>
    <col min="15897" max="15897" width="11" style="238" customWidth="1"/>
    <col min="15898" max="15898" width="0" style="238" hidden="1" customWidth="1"/>
    <col min="15899" max="15899" width="11.85546875" style="238" customWidth="1"/>
    <col min="15900" max="15900" width="11.7109375" style="238" customWidth="1"/>
    <col min="15901" max="15901" width="0" style="238" hidden="1" customWidth="1"/>
    <col min="15902" max="15902" width="11" style="238" customWidth="1"/>
    <col min="15903" max="15903" width="0" style="238" hidden="1" customWidth="1"/>
    <col min="15904" max="15904" width="11.7109375" style="238" customWidth="1"/>
    <col min="15905" max="15905" width="11.85546875" style="238" customWidth="1"/>
    <col min="15906" max="15906" width="0" style="238" hidden="1" customWidth="1"/>
    <col min="15907" max="15907" width="11" style="238" customWidth="1"/>
    <col min="15908" max="15908" width="0" style="238" hidden="1" customWidth="1"/>
    <col min="15909" max="15910" width="11" style="238" customWidth="1"/>
    <col min="15911" max="15911" width="0" style="238" hidden="1" customWidth="1"/>
    <col min="15912" max="15912" width="11" style="238" customWidth="1"/>
    <col min="15913" max="15913" width="0" style="238" hidden="1" customWidth="1"/>
    <col min="15914" max="15914" width="11.5703125" style="238" customWidth="1"/>
    <col min="15915" max="15915" width="11.7109375" style="238" customWidth="1"/>
    <col min="15916" max="15916" width="0" style="238" hidden="1" customWidth="1"/>
    <col min="15917" max="15917" width="11" style="238" customWidth="1"/>
    <col min="15918" max="15918" width="0" style="238" hidden="1" customWidth="1"/>
    <col min="15919" max="15920" width="11.7109375" style="238" customWidth="1"/>
    <col min="15921" max="15921" width="0" style="238" hidden="1" customWidth="1"/>
    <col min="15922" max="15922" width="10.28515625" style="238" customWidth="1"/>
    <col min="15923" max="15923" width="0" style="238" hidden="1" customWidth="1"/>
    <col min="15924" max="15924" width="16.85546875" style="238" customWidth="1"/>
    <col min="15925" max="15926" width="10.28515625" style="238" customWidth="1"/>
    <col min="15927" max="16128" width="9.140625" style="238"/>
    <col min="16129" max="16129" width="4.85546875" style="238" customWidth="1"/>
    <col min="16130" max="16130" width="30.7109375" style="238" customWidth="1"/>
    <col min="16131" max="16136" width="0" style="238" hidden="1" customWidth="1"/>
    <col min="16137" max="16137" width="12.7109375" style="238" customWidth="1"/>
    <col min="16138" max="16138" width="12.85546875" style="238" customWidth="1"/>
    <col min="16139" max="16139" width="11" style="238" customWidth="1"/>
    <col min="16140" max="16140" width="11.7109375" style="238" customWidth="1"/>
    <col min="16141" max="16141" width="12.140625" style="238" customWidth="1"/>
    <col min="16142" max="16142" width="0" style="238" hidden="1" customWidth="1"/>
    <col min="16143" max="16143" width="11" style="238" customWidth="1"/>
    <col min="16144" max="16144" width="0" style="238" hidden="1" customWidth="1"/>
    <col min="16145" max="16146" width="11.7109375" style="238" customWidth="1"/>
    <col min="16147" max="16147" width="0" style="238" hidden="1" customWidth="1"/>
    <col min="16148" max="16148" width="11" style="238" customWidth="1"/>
    <col min="16149" max="16149" width="0" style="238" hidden="1" customWidth="1"/>
    <col min="16150" max="16151" width="11.7109375" style="238" customWidth="1"/>
    <col min="16152" max="16152" width="0" style="238" hidden="1" customWidth="1"/>
    <col min="16153" max="16153" width="11" style="238" customWidth="1"/>
    <col min="16154" max="16154" width="0" style="238" hidden="1" customWidth="1"/>
    <col min="16155" max="16155" width="11.85546875" style="238" customWidth="1"/>
    <col min="16156" max="16156" width="11.7109375" style="238" customWidth="1"/>
    <col min="16157" max="16157" width="0" style="238" hidden="1" customWidth="1"/>
    <col min="16158" max="16158" width="11" style="238" customWidth="1"/>
    <col min="16159" max="16159" width="0" style="238" hidden="1" customWidth="1"/>
    <col min="16160" max="16160" width="11.7109375" style="238" customWidth="1"/>
    <col min="16161" max="16161" width="11.85546875" style="238" customWidth="1"/>
    <col min="16162" max="16162" width="0" style="238" hidden="1" customWidth="1"/>
    <col min="16163" max="16163" width="11" style="238" customWidth="1"/>
    <col min="16164" max="16164" width="0" style="238" hidden="1" customWidth="1"/>
    <col min="16165" max="16166" width="11" style="238" customWidth="1"/>
    <col min="16167" max="16167" width="0" style="238" hidden="1" customWidth="1"/>
    <col min="16168" max="16168" width="11" style="238" customWidth="1"/>
    <col min="16169" max="16169" width="0" style="238" hidden="1" customWidth="1"/>
    <col min="16170" max="16170" width="11.5703125" style="238" customWidth="1"/>
    <col min="16171" max="16171" width="11.7109375" style="238" customWidth="1"/>
    <col min="16172" max="16172" width="0" style="238" hidden="1" customWidth="1"/>
    <col min="16173" max="16173" width="11" style="238" customWidth="1"/>
    <col min="16174" max="16174" width="0" style="238" hidden="1" customWidth="1"/>
    <col min="16175" max="16176" width="11.7109375" style="238" customWidth="1"/>
    <col min="16177" max="16177" width="0" style="238" hidden="1" customWidth="1"/>
    <col min="16178" max="16178" width="10.28515625" style="238" customWidth="1"/>
    <col min="16179" max="16179" width="0" style="238" hidden="1" customWidth="1"/>
    <col min="16180" max="16180" width="16.85546875" style="238" customWidth="1"/>
    <col min="16181" max="16182" width="10.28515625" style="238" customWidth="1"/>
    <col min="16183" max="16384" width="9.140625" style="238"/>
  </cols>
  <sheetData>
    <row r="1" spans="1:51" ht="20.100000000000001" customHeight="1">
      <c r="A1" s="234"/>
      <c r="B1" s="235"/>
      <c r="C1" s="236"/>
      <c r="D1" s="236"/>
      <c r="E1" s="236"/>
      <c r="F1" s="236"/>
      <c r="G1" s="236"/>
      <c r="H1" s="236"/>
      <c r="I1" s="237"/>
      <c r="J1" s="237"/>
      <c r="K1" s="237"/>
      <c r="L1" s="236"/>
      <c r="M1" s="234"/>
      <c r="N1" s="234"/>
      <c r="O1" s="234"/>
      <c r="P1" s="234"/>
      <c r="Q1" s="236"/>
      <c r="R1" s="236"/>
      <c r="S1" s="236"/>
      <c r="T1" s="236"/>
      <c r="U1" s="236"/>
    </row>
    <row r="2" spans="1:51" ht="20.100000000000001" customHeight="1">
      <c r="A2" s="240" t="s">
        <v>320</v>
      </c>
      <c r="B2" s="235"/>
      <c r="C2" s="236"/>
      <c r="D2" s="236"/>
      <c r="E2" s="236"/>
      <c r="F2" s="236"/>
      <c r="G2" s="236"/>
      <c r="H2" s="236"/>
      <c r="I2" s="237"/>
      <c r="J2" s="237"/>
      <c r="K2" s="237"/>
      <c r="L2" s="236"/>
      <c r="M2" s="236"/>
      <c r="N2" s="236"/>
      <c r="O2" s="236"/>
      <c r="P2" s="236"/>
      <c r="Q2" s="236"/>
      <c r="R2" s="236"/>
      <c r="S2" s="236"/>
      <c r="T2" s="236"/>
      <c r="U2" s="236"/>
    </row>
    <row r="3" spans="1:51" ht="20.100000000000001" customHeight="1">
      <c r="A3" s="240" t="s">
        <v>1487</v>
      </c>
      <c r="B3" s="235"/>
      <c r="C3" s="236"/>
      <c r="D3" s="236"/>
      <c r="E3" s="236"/>
      <c r="F3" s="236"/>
      <c r="G3" s="236"/>
      <c r="H3" s="236"/>
      <c r="I3" s="241"/>
      <c r="J3" s="241"/>
      <c r="K3" s="241"/>
      <c r="L3" s="241"/>
      <c r="M3" s="241"/>
      <c r="N3" s="241" t="e">
        <f>#REF!+#REF!+#REF!+#REF!+#REF!+#REF!+#REF!+#REF!+#REF!+#REF!+#REF!+#REF!+#REF!+#REF!+#REF!+#REF!+#REF!+#REF!+#REF!+#REF!+#REF!+#REF!+#REF!+#REF!+#REF!+#REF!+#REF!+#REF!+#REF!+#REF!+#REF!+#REF!+#REF!+#REF!+#REF!+#REF!+#REF!+#REF!+#REF!+#REF!+#REF!+#REF!+#REF!+#REF!+#REF!+#REF!+#REF!+#REF!+#REF!+#REF!+#REF!+#REF!+#REF!+#REF!+N14+N15+N16+N17+N20+N21+#REF!+N22+#REF!+#REF!+N23+N24+#REF!+#REF!+N25+#REF!+N26+#REF!+#REF!+N28+N29+N30+#REF!+#REF!+#REF!+#REF!+#REF!+#REF!+#REF!+N32+N33+N34+#REF!+#REF!+N36+#REF!+#REF!+#REF!+#REF!+#REF!+#REF!+N37+#REF!</f>
        <v>#REF!</v>
      </c>
      <c r="O3" s="241"/>
      <c r="P3" s="241" t="e">
        <f>#REF!+#REF!+#REF!+#REF!+#REF!+#REF!+#REF!+#REF!+#REF!+#REF!+#REF!+#REF!+#REF!+#REF!+#REF!+#REF!+#REF!+#REF!+#REF!+#REF!+#REF!+#REF!+#REF!+#REF!+#REF!+#REF!+#REF!+#REF!+#REF!+#REF!+#REF!+#REF!+#REF!+#REF!+#REF!+#REF!+#REF!+#REF!+#REF!+#REF!+#REF!+#REF!+#REF!+#REF!+#REF!+#REF!+#REF!+#REF!+#REF!+#REF!+#REF!+#REF!+#REF!+#REF!+P14+P15+P16+P17+P20+P21+#REF!+P22+#REF!+#REF!+P23+P24+#REF!+#REF!+P25+#REF!+P26+#REF!+#REF!+P28+P29+P30+#REF!+#REF!+#REF!+#REF!+#REF!+#REF!+#REF!+P32+P33+P34+#REF!+#REF!+P36+#REF!+#REF!+#REF!+#REF!+#REF!+#REF!+P37+#REF!</f>
        <v>#REF!</v>
      </c>
      <c r="Q3" s="241"/>
      <c r="R3" s="241"/>
      <c r="S3" s="241"/>
      <c r="T3" s="241"/>
      <c r="U3" s="241" t="e">
        <f>#REF!+#REF!+#REF!+#REF!+#REF!+#REF!+#REF!+#REF!+#REF!+#REF!+#REF!+#REF!+#REF!+#REF!+#REF!+#REF!+#REF!+#REF!+#REF!+#REF!+#REF!+#REF!+#REF!+#REF!+#REF!+#REF!+#REF!+#REF!+#REF!+#REF!+#REF!+#REF!+#REF!+#REF!+#REF!+#REF!+#REF!+#REF!+#REF!+#REF!+#REF!+#REF!+#REF!+#REF!+#REF!+#REF!+#REF!+#REF!+#REF!+#REF!+#REF!+#REF!+#REF!+#REF!+U14+U15+U16+U17+U20+U21+#REF!+U22+#REF!+#REF!+U23+U24+#REF!+#REF!+U25+#REF!+U26+#REF!+#REF!+U28+U29+U30+#REF!+#REF!+#REF!+#REF!+#REF!+#REF!+#REF!+U32+U33+U34+#REF!+#REF!+U36+#REF!+#REF!+#REF!+#REF!+#REF!+#REF!+U37+#REF!</f>
        <v>#REF!</v>
      </c>
      <c r="V3" s="241"/>
      <c r="W3" s="241"/>
      <c r="X3" s="241" t="e">
        <f>#REF!+#REF!+#REF!+#REF!+#REF!+#REF!+#REF!+#REF!+#REF!+#REF!+#REF!+#REF!+#REF!+#REF!+#REF!+#REF!+#REF!+#REF!+#REF!+#REF!+#REF!+#REF!+#REF!+#REF!+#REF!+#REF!+#REF!+#REF!+#REF!+#REF!+#REF!+#REF!+#REF!+#REF!+#REF!+#REF!+#REF!+#REF!+#REF!+#REF!+#REF!+#REF!+#REF!+#REF!+#REF!+#REF!+#REF!+#REF!+#REF!+#REF!+#REF!+#REF!+#REF!+#REF!+X14+X15+X16+X17+X20+X21+#REF!+X22+#REF!+#REF!+X23+X24+#REF!+#REF!+X25+#REF!+X26+#REF!+#REF!+X28+X29+X30+#REF!+#REF!+#REF!+#REF!+#REF!+#REF!+#REF!+X32+X33+X34+#REF!+#REF!+X36+#REF!+#REF!+#REF!+#REF!+#REF!+#REF!+X37+#REF!</f>
        <v>#REF!</v>
      </c>
      <c r="Y3" s="241"/>
      <c r="Z3" s="241" t="e">
        <f>#REF!+#REF!+#REF!+#REF!+#REF!+#REF!+#REF!+#REF!+#REF!+#REF!+#REF!+#REF!+#REF!+#REF!+#REF!+#REF!+#REF!+#REF!+#REF!+#REF!+#REF!+#REF!+#REF!+#REF!+#REF!+#REF!+#REF!+#REF!+#REF!+#REF!+#REF!+#REF!+#REF!+#REF!+#REF!+#REF!+#REF!+#REF!+#REF!+#REF!+#REF!+#REF!+#REF!+#REF!+#REF!+#REF!+#REF!+#REF!+#REF!+#REF!+#REF!+#REF!+#REF!+#REF!+Z14+Z15+Z16+Z17+Z20+Z21+#REF!+Z22+#REF!+#REF!+Z23+Z24+#REF!+#REF!+Z25+#REF!+Z26+#REF!+#REF!+Z28+Z29+Z30+#REF!+#REF!+#REF!+#REF!+#REF!+#REF!+#REF!+Z32+Z33+Z34+#REF!+#REF!+Z36+#REF!+#REF!+#REF!+#REF!+#REF!+#REF!+Z37+#REF!</f>
        <v>#REF!</v>
      </c>
      <c r="AA3" s="241"/>
      <c r="AB3" s="241"/>
      <c r="AC3" s="241"/>
      <c r="AD3" s="241"/>
      <c r="AE3" s="241" t="e">
        <f>#REF!+#REF!+#REF!+#REF!+#REF!+#REF!+#REF!+#REF!+#REF!+#REF!+#REF!+#REF!+#REF!+#REF!+#REF!+#REF!+#REF!+#REF!+#REF!+#REF!+#REF!+#REF!+#REF!+#REF!+#REF!+#REF!+#REF!+#REF!+#REF!+#REF!+#REF!+#REF!+#REF!+#REF!+#REF!+#REF!+#REF!+#REF!+#REF!+#REF!+#REF!+#REF!+#REF!+#REF!+#REF!+#REF!+#REF!+#REF!+#REF!+#REF!+#REF!+#REF!+#REF!+#REF!+AE14+AE15+AE16+AE17+AE20+AE21+#REF!+AE22+#REF!+#REF!+AE23+AE24+#REF!+#REF!+AE25+#REF!+AE26+#REF!+#REF!+AE28+AE29+AE30+#REF!+#REF!+#REF!+#REF!+#REF!+#REF!+#REF!+AE32+AE33+AE34+#REF!+#REF!+AE36+#REF!+#REF!+#REF!+#REF!+#REF!+#REF!+AE37+#REF!</f>
        <v>#REF!</v>
      </c>
      <c r="AF3" s="241"/>
      <c r="AG3" s="241"/>
      <c r="AH3" s="241"/>
      <c r="AI3" s="241"/>
      <c r="AJ3" s="241" t="e">
        <f>#REF!+#REF!+#REF!+#REF!+#REF!+#REF!+#REF!+#REF!+#REF!+#REF!+#REF!+#REF!+#REF!+#REF!+#REF!+#REF!+#REF!+#REF!+#REF!+#REF!+#REF!+#REF!+#REF!+#REF!+#REF!+#REF!+#REF!+#REF!+#REF!+#REF!+#REF!+#REF!+#REF!+#REF!+#REF!+#REF!+#REF!+#REF!+#REF!+#REF!+#REF!+#REF!+#REF!+#REF!+#REF!+#REF!+#REF!+#REF!+#REF!+#REF!+#REF!+#REF!+#REF!+#REF!+AJ14+AJ15+AJ16+AJ17+AJ20+AJ21+#REF!+AJ22+#REF!+#REF!+AJ23+AJ24+#REF!+#REF!+AJ25+#REF!+AJ26+#REF!+#REF!+AJ28+AJ29+AJ30+#REF!+#REF!+#REF!+#REF!+#REF!+#REF!+#REF!+AJ32+AJ33+AJ34+#REF!+#REF!+AJ36+#REF!+#REF!+#REF!+#REF!+#REF!+#REF!+AJ37+#REF!</f>
        <v>#REF!</v>
      </c>
      <c r="AK3" s="241"/>
      <c r="AL3" s="241"/>
      <c r="AM3" s="241"/>
      <c r="AN3" s="241"/>
      <c r="AO3" s="241" t="e">
        <f>#REF!+#REF!+#REF!+#REF!+#REF!+#REF!+#REF!+#REF!+#REF!+#REF!+#REF!+#REF!+#REF!+#REF!+#REF!+#REF!+#REF!+#REF!+#REF!+#REF!+#REF!+#REF!+#REF!+#REF!+#REF!+#REF!+#REF!+#REF!+#REF!+#REF!+#REF!+#REF!+#REF!+#REF!+#REF!+#REF!+#REF!+#REF!+#REF!+#REF!+#REF!+#REF!+#REF!+#REF!+#REF!+#REF!+#REF!+#REF!+#REF!+#REF!+#REF!+#REF!+#REF!+#REF!+AO14+AO15+AO16+AO17+AO20+AO21+#REF!+AO22+#REF!+#REF!+AO23+AO24+#REF!+#REF!+AO25+#REF!+AO26+#REF!+#REF!+AO28+AO29+AO30+#REF!+#REF!+#REF!+#REF!+#REF!+#REF!+#REF!+AO32+AO33+AO34+#REF!+#REF!+AO36+#REF!+#REF!+#REF!+#REF!+#REF!+#REF!+AO37+#REF!</f>
        <v>#REF!</v>
      </c>
      <c r="AP3" s="241"/>
      <c r="AQ3" s="241"/>
      <c r="AR3" s="241"/>
      <c r="AS3" s="241"/>
      <c r="AT3" s="241" t="e">
        <f>#REF!+#REF!+#REF!+#REF!+#REF!+#REF!+#REF!+#REF!+#REF!+#REF!+#REF!+#REF!+#REF!+#REF!+#REF!+#REF!+#REF!+#REF!+#REF!+#REF!+#REF!+#REF!+#REF!+#REF!+#REF!+#REF!+#REF!+#REF!+#REF!+#REF!+#REF!+#REF!+#REF!+#REF!+#REF!+#REF!+#REF!+#REF!+#REF!+#REF!+#REF!+#REF!+#REF!+#REF!+#REF!+#REF!+#REF!+#REF!+#REF!+#REF!+#REF!+#REF!+#REF!+#REF!+AT14+AT15+AT16+AT17+AT20+AT21+#REF!+AT22+#REF!+#REF!+AT23+AT24+#REF!+#REF!+AT25+#REF!+AT26+#REF!+#REF!+AT28+AT29+AT30+#REF!+#REF!+#REF!+#REF!+#REF!+#REF!+#REF!+AT32+AT33+AT34+#REF!+#REF!+AT36+#REF!+#REF!+#REF!+#REF!+#REF!+#REF!+AT37+#REF!</f>
        <v>#REF!</v>
      </c>
      <c r="AU3" s="241"/>
      <c r="AV3" s="241"/>
      <c r="AW3" s="241"/>
      <c r="AX3" s="242"/>
    </row>
    <row r="4" spans="1:51" ht="20.100000000000001" customHeight="1">
      <c r="A4" s="243"/>
      <c r="B4" s="243"/>
      <c r="C4" s="243"/>
      <c r="D4" s="243"/>
      <c r="E4" s="243"/>
      <c r="F4" s="243"/>
      <c r="G4" s="243"/>
      <c r="H4" s="243"/>
      <c r="I4" s="244"/>
      <c r="J4" s="244"/>
      <c r="K4" s="244"/>
      <c r="L4" s="244"/>
      <c r="M4" s="243"/>
      <c r="N4" s="243"/>
      <c r="O4" s="243"/>
      <c r="P4" s="243"/>
      <c r="Q4" s="243"/>
      <c r="R4" s="245"/>
      <c r="S4" s="245"/>
      <c r="T4" s="245"/>
      <c r="U4" s="245"/>
      <c r="V4" s="246"/>
      <c r="AI4" s="247"/>
      <c r="AU4" s="248"/>
      <c r="AV4" s="248"/>
      <c r="AX4" s="248"/>
    </row>
    <row r="5" spans="1:51" s="249" customFormat="1" ht="12.75" customHeight="1">
      <c r="A5" s="1827" t="s">
        <v>0</v>
      </c>
      <c r="B5" s="1830" t="s">
        <v>318</v>
      </c>
      <c r="C5" s="1833"/>
      <c r="D5" s="1833"/>
      <c r="E5" s="1833"/>
      <c r="F5" s="1833"/>
      <c r="G5" s="1834"/>
      <c r="H5" s="1112"/>
      <c r="I5" s="1835" t="s">
        <v>1488</v>
      </c>
      <c r="J5" s="1836"/>
      <c r="K5" s="1837"/>
      <c r="L5" s="1841" t="s">
        <v>150</v>
      </c>
      <c r="M5" s="1842"/>
      <c r="N5" s="1842"/>
      <c r="O5" s="1842"/>
      <c r="P5" s="1842"/>
      <c r="Q5" s="1842"/>
      <c r="R5" s="1842"/>
      <c r="S5" s="1842"/>
      <c r="T5" s="1842"/>
      <c r="U5" s="1842"/>
      <c r="V5" s="1842"/>
      <c r="W5" s="1842"/>
      <c r="X5" s="1842"/>
      <c r="Y5" s="1842"/>
      <c r="Z5" s="1842"/>
      <c r="AA5" s="1842"/>
      <c r="AB5" s="1842"/>
      <c r="AC5" s="1842"/>
      <c r="AD5" s="1842"/>
      <c r="AE5" s="1842"/>
      <c r="AF5" s="1842"/>
      <c r="AG5" s="1842"/>
      <c r="AH5" s="1842"/>
      <c r="AI5" s="1842"/>
      <c r="AJ5" s="1842"/>
      <c r="AK5" s="1842"/>
      <c r="AL5" s="1842"/>
      <c r="AM5" s="1842"/>
      <c r="AN5" s="1842"/>
      <c r="AO5" s="1842"/>
      <c r="AP5" s="1842"/>
      <c r="AQ5" s="1842"/>
      <c r="AR5" s="1842"/>
      <c r="AS5" s="1842"/>
      <c r="AT5" s="1842"/>
      <c r="AU5" s="1842"/>
      <c r="AV5" s="1842"/>
      <c r="AW5" s="1842"/>
      <c r="AX5" s="1842"/>
      <c r="AY5" s="1843"/>
    </row>
    <row r="6" spans="1:51" s="249" customFormat="1" ht="14.25" customHeight="1">
      <c r="A6" s="1828" t="s">
        <v>316</v>
      </c>
      <c r="B6" s="1831"/>
      <c r="C6" s="1844" t="s">
        <v>240</v>
      </c>
      <c r="D6" s="1844"/>
      <c r="E6" s="1829"/>
      <c r="F6" s="1829"/>
      <c r="G6" s="1829"/>
      <c r="H6" s="250"/>
      <c r="I6" s="1838"/>
      <c r="J6" s="1839"/>
      <c r="K6" s="1840"/>
      <c r="L6" s="1841" t="s">
        <v>236</v>
      </c>
      <c r="M6" s="1842"/>
      <c r="N6" s="1842"/>
      <c r="O6" s="1842"/>
      <c r="P6" s="1843"/>
      <c r="Q6" s="1841" t="s">
        <v>235</v>
      </c>
      <c r="R6" s="1842"/>
      <c r="S6" s="1842"/>
      <c r="T6" s="1842"/>
      <c r="U6" s="1843"/>
      <c r="V6" s="1841" t="s">
        <v>238</v>
      </c>
      <c r="W6" s="1842"/>
      <c r="X6" s="1842"/>
      <c r="Y6" s="1842"/>
      <c r="Z6" s="1843"/>
      <c r="AA6" s="1841" t="s">
        <v>234</v>
      </c>
      <c r="AB6" s="1842"/>
      <c r="AC6" s="1842"/>
      <c r="AD6" s="1843"/>
      <c r="AE6" s="1113"/>
      <c r="AF6" s="1841" t="s">
        <v>237</v>
      </c>
      <c r="AG6" s="1842"/>
      <c r="AH6" s="1842"/>
      <c r="AI6" s="1843"/>
      <c r="AJ6" s="1113"/>
      <c r="AK6" s="1841" t="s">
        <v>233</v>
      </c>
      <c r="AL6" s="1842"/>
      <c r="AM6" s="1842"/>
      <c r="AN6" s="1842"/>
      <c r="AO6" s="1843"/>
      <c r="AP6" s="1841" t="s">
        <v>239</v>
      </c>
      <c r="AQ6" s="1842"/>
      <c r="AR6" s="1842"/>
      <c r="AS6" s="1842"/>
      <c r="AT6" s="1843"/>
      <c r="AU6" s="1841" t="s">
        <v>240</v>
      </c>
      <c r="AV6" s="1842"/>
      <c r="AW6" s="1842"/>
      <c r="AX6" s="1842"/>
      <c r="AY6" s="1843"/>
    </row>
    <row r="7" spans="1:51" s="249" customFormat="1" ht="20.100000000000001" customHeight="1">
      <c r="A7" s="1828"/>
      <c r="B7" s="1831"/>
      <c r="C7" s="1114"/>
      <c r="D7" s="1114"/>
      <c r="E7" s="1111"/>
      <c r="F7" s="1111"/>
      <c r="G7" s="1111"/>
      <c r="H7" s="250"/>
      <c r="I7" s="1845" t="s">
        <v>25</v>
      </c>
      <c r="J7" s="1847" t="s">
        <v>33</v>
      </c>
      <c r="K7" s="1848"/>
      <c r="L7" s="1849" t="s">
        <v>25</v>
      </c>
      <c r="M7" s="1851" t="s">
        <v>33</v>
      </c>
      <c r="N7" s="1852"/>
      <c r="O7" s="1852"/>
      <c r="P7" s="1853"/>
      <c r="Q7" s="1849" t="s">
        <v>25</v>
      </c>
      <c r="R7" s="1851" t="s">
        <v>33</v>
      </c>
      <c r="S7" s="1852"/>
      <c r="T7" s="1852"/>
      <c r="U7" s="1853"/>
      <c r="V7" s="1849" t="s">
        <v>25</v>
      </c>
      <c r="W7" s="1851" t="s">
        <v>33</v>
      </c>
      <c r="X7" s="1852"/>
      <c r="Y7" s="1852"/>
      <c r="Z7" s="1853"/>
      <c r="AA7" s="1849" t="s">
        <v>25</v>
      </c>
      <c r="AB7" s="1851" t="s">
        <v>33</v>
      </c>
      <c r="AC7" s="1852"/>
      <c r="AD7" s="1853"/>
      <c r="AE7" s="251"/>
      <c r="AF7" s="1849" t="s">
        <v>25</v>
      </c>
      <c r="AG7" s="1851" t="s">
        <v>33</v>
      </c>
      <c r="AH7" s="1852"/>
      <c r="AI7" s="1853"/>
      <c r="AJ7" s="251"/>
      <c r="AK7" s="1849" t="s">
        <v>25</v>
      </c>
      <c r="AL7" s="1851" t="s">
        <v>33</v>
      </c>
      <c r="AM7" s="1852"/>
      <c r="AN7" s="1852"/>
      <c r="AO7" s="1853"/>
      <c r="AP7" s="1849" t="s">
        <v>25</v>
      </c>
      <c r="AQ7" s="1851" t="s">
        <v>33</v>
      </c>
      <c r="AR7" s="1852"/>
      <c r="AS7" s="1852"/>
      <c r="AT7" s="1853"/>
      <c r="AU7" s="1849" t="s">
        <v>25</v>
      </c>
      <c r="AV7" s="1854" t="s">
        <v>33</v>
      </c>
      <c r="AW7" s="1854"/>
      <c r="AX7" s="1854"/>
      <c r="AY7" s="1854"/>
    </row>
    <row r="8" spans="1:51" s="249" customFormat="1" ht="20.100000000000001" customHeight="1">
      <c r="A8" s="1829"/>
      <c r="B8" s="1832"/>
      <c r="C8" s="1110" t="s">
        <v>25</v>
      </c>
      <c r="D8" s="1110"/>
      <c r="E8" s="1110" t="s">
        <v>315</v>
      </c>
      <c r="F8" s="1110"/>
      <c r="G8" s="1114" t="s">
        <v>314</v>
      </c>
      <c r="H8" s="1114"/>
      <c r="I8" s="1846"/>
      <c r="J8" s="252" t="s">
        <v>313</v>
      </c>
      <c r="K8" s="252" t="s">
        <v>312</v>
      </c>
      <c r="L8" s="1850"/>
      <c r="M8" s="1114" t="s">
        <v>313</v>
      </c>
      <c r="N8" s="1114" t="s">
        <v>1489</v>
      </c>
      <c r="O8" s="1114" t="s">
        <v>312</v>
      </c>
      <c r="P8" s="253" t="s">
        <v>1489</v>
      </c>
      <c r="Q8" s="1850"/>
      <c r="R8" s="253" t="s">
        <v>313</v>
      </c>
      <c r="S8" s="253" t="s">
        <v>1489</v>
      </c>
      <c r="T8" s="253" t="s">
        <v>312</v>
      </c>
      <c r="U8" s="253" t="s">
        <v>1489</v>
      </c>
      <c r="V8" s="1850"/>
      <c r="W8" s="253" t="s">
        <v>313</v>
      </c>
      <c r="X8" s="254" t="s">
        <v>1489</v>
      </c>
      <c r="Y8" s="254" t="s">
        <v>312</v>
      </c>
      <c r="Z8" s="254" t="s">
        <v>1489</v>
      </c>
      <c r="AA8" s="1850"/>
      <c r="AB8" s="1114" t="s">
        <v>313</v>
      </c>
      <c r="AC8" s="1114" t="s">
        <v>1489</v>
      </c>
      <c r="AD8" s="1114" t="s">
        <v>312</v>
      </c>
      <c r="AE8" s="253" t="s">
        <v>1489</v>
      </c>
      <c r="AF8" s="1850"/>
      <c r="AG8" s="1114" t="s">
        <v>313</v>
      </c>
      <c r="AH8" s="1114" t="s">
        <v>1489</v>
      </c>
      <c r="AI8" s="1114" t="s">
        <v>312</v>
      </c>
      <c r="AJ8" s="253"/>
      <c r="AK8" s="1850"/>
      <c r="AL8" s="253" t="s">
        <v>313</v>
      </c>
      <c r="AM8" s="253"/>
      <c r="AN8" s="253" t="s">
        <v>312</v>
      </c>
      <c r="AO8" s="253"/>
      <c r="AP8" s="1850"/>
      <c r="AQ8" s="253" t="s">
        <v>313</v>
      </c>
      <c r="AR8" s="253" t="s">
        <v>1489</v>
      </c>
      <c r="AS8" s="253" t="s">
        <v>312</v>
      </c>
      <c r="AT8" s="253" t="s">
        <v>1489</v>
      </c>
      <c r="AU8" s="1850"/>
      <c r="AV8" s="255" t="s">
        <v>313</v>
      </c>
      <c r="AW8" s="255" t="s">
        <v>1489</v>
      </c>
      <c r="AX8" s="255" t="s">
        <v>312</v>
      </c>
      <c r="AY8" s="1109" t="s">
        <v>1489</v>
      </c>
    </row>
    <row r="9" spans="1:51" s="261" customFormat="1" ht="20.100000000000001" customHeight="1">
      <c r="A9" s="256"/>
      <c r="B9" s="257"/>
      <c r="C9" s="258">
        <f>L9+Q9+V9+AA9+AF9+AK9+AP9+AU9</f>
        <v>192755.5613</v>
      </c>
      <c r="D9" s="258">
        <f>C11+C13+C14+C15+C16+C17+C20+C21+C22+C23+C24+C25+C26+C27+C28+C29+C30+C31+C32+C33+C34+C35+C36+C37</f>
        <v>192755.56129999997</v>
      </c>
      <c r="E9" s="258">
        <f>M9+R9+W9+AB9+AG9+AL9+AQ9+AV9</f>
        <v>186850.18939499999</v>
      </c>
      <c r="F9" s="258">
        <f t="shared" ref="F9:F17" si="0">E9-J9</f>
        <v>0</v>
      </c>
      <c r="G9" s="258">
        <f>O9+T9+Y9+AD9+AI9+AN9+AS9+AX9</f>
        <v>5905.371905</v>
      </c>
      <c r="H9" s="258">
        <f>G9-K9</f>
        <v>0</v>
      </c>
      <c r="I9" s="259">
        <f>SUM(I13:I17)+SUM(I20:I37)+I11</f>
        <v>192755.5613</v>
      </c>
      <c r="J9" s="259">
        <f>SUM(J13:J17)+SUM(J20:J37)+J11</f>
        <v>186850.18939500002</v>
      </c>
      <c r="K9" s="259">
        <f>SUM(K13:K17)+SUM(K20:K37)</f>
        <v>5905.3719049999991</v>
      </c>
      <c r="L9" s="259">
        <f>SUM(L13:L17)+SUM(L20:L37)+L11</f>
        <v>35256.832999999999</v>
      </c>
      <c r="M9" s="259">
        <f>SUM(M13:M17)+SUM(M20:M37)+M11</f>
        <v>34681.483</v>
      </c>
      <c r="N9" s="259">
        <f t="shared" ref="N9:AY9" si="1">SUM(N13:N17)+SUM(N20:N37)</f>
        <v>0</v>
      </c>
      <c r="O9" s="259">
        <f t="shared" si="1"/>
        <v>575.35</v>
      </c>
      <c r="P9" s="259">
        <f t="shared" si="1"/>
        <v>0</v>
      </c>
      <c r="Q9" s="259">
        <f t="shared" si="1"/>
        <v>18525.349000000002</v>
      </c>
      <c r="R9" s="259">
        <f t="shared" si="1"/>
        <v>18039.593000000001</v>
      </c>
      <c r="S9" s="259">
        <f t="shared" si="1"/>
        <v>0</v>
      </c>
      <c r="T9" s="259">
        <f t="shared" si="1"/>
        <v>485.75599999999997</v>
      </c>
      <c r="U9" s="259">
        <f t="shared" si="1"/>
        <v>0</v>
      </c>
      <c r="V9" s="259">
        <f t="shared" si="1"/>
        <v>25731.225999999999</v>
      </c>
      <c r="W9" s="259">
        <f t="shared" si="1"/>
        <v>25113.606</v>
      </c>
      <c r="X9" s="259">
        <f t="shared" si="1"/>
        <v>0</v>
      </c>
      <c r="Y9" s="259">
        <f t="shared" si="1"/>
        <v>617.62</v>
      </c>
      <c r="Z9" s="259">
        <f t="shared" si="1"/>
        <v>0</v>
      </c>
      <c r="AA9" s="259">
        <f t="shared" si="1"/>
        <v>14469.940399999999</v>
      </c>
      <c r="AB9" s="259">
        <f t="shared" si="1"/>
        <v>13725.750495</v>
      </c>
      <c r="AC9" s="259">
        <f t="shared" si="1"/>
        <v>0</v>
      </c>
      <c r="AD9" s="259">
        <f t="shared" si="1"/>
        <v>744.18990499999995</v>
      </c>
      <c r="AE9" s="259">
        <f t="shared" si="1"/>
        <v>0</v>
      </c>
      <c r="AF9" s="259">
        <f t="shared" si="1"/>
        <v>26986.169000000002</v>
      </c>
      <c r="AG9" s="259">
        <f t="shared" si="1"/>
        <v>24136.417999999998</v>
      </c>
      <c r="AH9" s="259">
        <f t="shared" si="1"/>
        <v>0</v>
      </c>
      <c r="AI9" s="259">
        <f t="shared" si="1"/>
        <v>2849.7510000000002</v>
      </c>
      <c r="AJ9" s="259">
        <f t="shared" si="1"/>
        <v>0</v>
      </c>
      <c r="AK9" s="259">
        <f t="shared" si="1"/>
        <v>8379.6779999999999</v>
      </c>
      <c r="AL9" s="259">
        <f t="shared" si="1"/>
        <v>8114.5779999999995</v>
      </c>
      <c r="AM9" s="259">
        <f t="shared" si="1"/>
        <v>0</v>
      </c>
      <c r="AN9" s="259">
        <f t="shared" si="1"/>
        <v>265.10000000000002</v>
      </c>
      <c r="AO9" s="259">
        <f t="shared" si="1"/>
        <v>0</v>
      </c>
      <c r="AP9" s="259">
        <f t="shared" si="1"/>
        <v>33038.920900000005</v>
      </c>
      <c r="AQ9" s="259">
        <f t="shared" si="1"/>
        <v>32674.520900000003</v>
      </c>
      <c r="AR9" s="259">
        <f t="shared" si="1"/>
        <v>0</v>
      </c>
      <c r="AS9" s="259">
        <f t="shared" si="1"/>
        <v>364.4</v>
      </c>
      <c r="AT9" s="259">
        <f t="shared" si="1"/>
        <v>0</v>
      </c>
      <c r="AU9" s="259">
        <f t="shared" si="1"/>
        <v>30367.445</v>
      </c>
      <c r="AV9" s="259">
        <f t="shared" si="1"/>
        <v>30364.239999999998</v>
      </c>
      <c r="AW9" s="259">
        <f t="shared" si="1"/>
        <v>0</v>
      </c>
      <c r="AX9" s="259">
        <f t="shared" si="1"/>
        <v>3.2050000000000001</v>
      </c>
      <c r="AY9" s="260">
        <f t="shared" si="1"/>
        <v>0</v>
      </c>
    </row>
    <row r="10" spans="1:51" s="261" customFormat="1" ht="20.100000000000001" customHeight="1">
      <c r="A10" s="262" t="s">
        <v>7</v>
      </c>
      <c r="B10" s="263" t="s">
        <v>1420</v>
      </c>
      <c r="C10" s="258">
        <f t="shared" ref="C10:C37" si="2">L10+Q10+V10+AA10+AF10+AK10+AP10+AU10</f>
        <v>0</v>
      </c>
      <c r="D10" s="258">
        <f t="shared" ref="D10:D17" si="3">C10-I10</f>
        <v>0</v>
      </c>
      <c r="E10" s="258">
        <f t="shared" ref="E10:E37" si="4">M10+R10+W10+AB10+AG10+AL10+AQ10+AV10</f>
        <v>0</v>
      </c>
      <c r="F10" s="258">
        <f t="shared" si="0"/>
        <v>0</v>
      </c>
      <c r="G10" s="258">
        <f t="shared" ref="G10:G37" si="5">O10+T10+Y10+AD10+AI10+AN10+AS10+AX10</f>
        <v>0</v>
      </c>
      <c r="H10" s="258">
        <f t="shared" ref="H10:H37" si="6">G10-K10</f>
        <v>0</v>
      </c>
      <c r="I10" s="264"/>
      <c r="J10" s="264"/>
      <c r="K10" s="264"/>
      <c r="L10" s="264"/>
      <c r="M10" s="264"/>
      <c r="N10" s="264"/>
      <c r="O10" s="264"/>
      <c r="P10" s="264"/>
      <c r="Q10" s="264"/>
      <c r="R10" s="264"/>
      <c r="S10" s="264"/>
      <c r="T10" s="264"/>
      <c r="U10" s="264"/>
      <c r="V10" s="264"/>
      <c r="W10" s="264"/>
      <c r="X10" s="264"/>
      <c r="Y10" s="264"/>
      <c r="Z10" s="264"/>
      <c r="AA10" s="264"/>
      <c r="AB10" s="264"/>
      <c r="AC10" s="264"/>
      <c r="AD10" s="264"/>
      <c r="AE10" s="264"/>
      <c r="AF10" s="264"/>
      <c r="AG10" s="264"/>
      <c r="AH10" s="264"/>
      <c r="AI10" s="264"/>
      <c r="AJ10" s="264"/>
      <c r="AK10" s="264"/>
      <c r="AL10" s="264"/>
      <c r="AM10" s="264"/>
      <c r="AN10" s="264"/>
      <c r="AO10" s="264"/>
      <c r="AP10" s="264"/>
      <c r="AQ10" s="264"/>
      <c r="AR10" s="264"/>
      <c r="AS10" s="264"/>
      <c r="AT10" s="264"/>
      <c r="AU10" s="264"/>
      <c r="AV10" s="264"/>
      <c r="AW10" s="264"/>
      <c r="AX10" s="264"/>
      <c r="AY10" s="260"/>
    </row>
    <row r="11" spans="1:51" s="271" customFormat="1" ht="29.25" customHeight="1">
      <c r="A11" s="265">
        <v>1</v>
      </c>
      <c r="B11" s="266" t="s">
        <v>1490</v>
      </c>
      <c r="C11" s="258">
        <f t="shared" si="2"/>
        <v>1548.5630000000001</v>
      </c>
      <c r="D11" s="258">
        <f t="shared" si="3"/>
        <v>0</v>
      </c>
      <c r="E11" s="258">
        <f t="shared" si="4"/>
        <v>1548.5630000000001</v>
      </c>
      <c r="F11" s="258">
        <f t="shared" si="0"/>
        <v>0</v>
      </c>
      <c r="G11" s="258">
        <f t="shared" si="5"/>
        <v>0</v>
      </c>
      <c r="H11" s="258">
        <f t="shared" si="6"/>
        <v>0</v>
      </c>
      <c r="I11" s="267">
        <f>J11+K11</f>
        <v>1548.5630000000001</v>
      </c>
      <c r="J11" s="268">
        <f>M11+R11+W11+AB11+AG11+AL11+AQ11+AV11</f>
        <v>1548.5630000000001</v>
      </c>
      <c r="K11" s="268">
        <f>O11+T11+Y11+AD11+AI11+AN11+AS11+AX11</f>
        <v>0</v>
      </c>
      <c r="L11" s="269">
        <f>M11</f>
        <v>1548.5630000000001</v>
      </c>
      <c r="M11" s="269">
        <v>1548.5630000000001</v>
      </c>
      <c r="N11" s="269"/>
      <c r="O11" s="269"/>
      <c r="P11" s="269"/>
      <c r="Q11" s="269"/>
      <c r="R11" s="269"/>
      <c r="S11" s="269"/>
      <c r="T11" s="269"/>
      <c r="U11" s="269"/>
      <c r="V11" s="269"/>
      <c r="W11" s="269"/>
      <c r="X11" s="269"/>
      <c r="Y11" s="269"/>
      <c r="Z11" s="269"/>
      <c r="AA11" s="269"/>
      <c r="AB11" s="269"/>
      <c r="AC11" s="269"/>
      <c r="AD11" s="269"/>
      <c r="AE11" s="269"/>
      <c r="AF11" s="269"/>
      <c r="AG11" s="269"/>
      <c r="AH11" s="269"/>
      <c r="AI11" s="269"/>
      <c r="AJ11" s="269"/>
      <c r="AK11" s="269"/>
      <c r="AL11" s="269"/>
      <c r="AM11" s="269"/>
      <c r="AN11" s="269"/>
      <c r="AO11" s="269"/>
      <c r="AP11" s="269"/>
      <c r="AQ11" s="269"/>
      <c r="AR11" s="269"/>
      <c r="AS11" s="269"/>
      <c r="AT11" s="269"/>
      <c r="AU11" s="269"/>
      <c r="AV11" s="269"/>
      <c r="AW11" s="269"/>
      <c r="AX11" s="269"/>
      <c r="AY11" s="270"/>
    </row>
    <row r="12" spans="1:51" s="261" customFormat="1" ht="20.100000000000001" customHeight="1">
      <c r="A12" s="262" t="s">
        <v>7</v>
      </c>
      <c r="B12" s="263" t="s">
        <v>1491</v>
      </c>
      <c r="C12" s="258">
        <f t="shared" si="2"/>
        <v>0</v>
      </c>
      <c r="D12" s="258">
        <f t="shared" si="3"/>
        <v>0</v>
      </c>
      <c r="E12" s="258">
        <f t="shared" si="4"/>
        <v>0</v>
      </c>
      <c r="F12" s="258">
        <f t="shared" si="0"/>
        <v>0</v>
      </c>
      <c r="G12" s="258">
        <f>O12+T12+Y12+AD12+AI12+AN12+AS12+AX12</f>
        <v>0</v>
      </c>
      <c r="H12" s="258">
        <f t="shared" si="6"/>
        <v>0</v>
      </c>
      <c r="I12" s="264"/>
      <c r="J12" s="264"/>
      <c r="K12" s="264"/>
      <c r="L12" s="264"/>
      <c r="M12" s="264"/>
      <c r="N12" s="264"/>
      <c r="O12" s="264"/>
      <c r="P12" s="264"/>
      <c r="Q12" s="264"/>
      <c r="R12" s="264"/>
      <c r="S12" s="264"/>
      <c r="T12" s="264"/>
      <c r="U12" s="264"/>
      <c r="V12" s="264"/>
      <c r="W12" s="264"/>
      <c r="X12" s="264"/>
      <c r="Y12" s="264"/>
      <c r="Z12" s="264"/>
      <c r="AA12" s="264"/>
      <c r="AB12" s="264"/>
      <c r="AC12" s="264"/>
      <c r="AD12" s="264"/>
      <c r="AE12" s="264"/>
      <c r="AF12" s="264"/>
      <c r="AG12" s="264"/>
      <c r="AH12" s="264"/>
      <c r="AI12" s="264"/>
      <c r="AJ12" s="264"/>
      <c r="AK12" s="264"/>
      <c r="AL12" s="264"/>
      <c r="AM12" s="264"/>
      <c r="AN12" s="264"/>
      <c r="AO12" s="264"/>
      <c r="AP12" s="264"/>
      <c r="AQ12" s="264"/>
      <c r="AR12" s="264"/>
      <c r="AS12" s="264"/>
      <c r="AT12" s="264"/>
      <c r="AU12" s="264"/>
      <c r="AV12" s="264"/>
      <c r="AW12" s="264"/>
      <c r="AX12" s="264"/>
      <c r="AY12" s="260"/>
    </row>
    <row r="13" spans="1:51" s="274" customFormat="1" ht="21.75" customHeight="1">
      <c r="A13" s="272">
        <v>1</v>
      </c>
      <c r="B13" s="266" t="s">
        <v>1492</v>
      </c>
      <c r="C13" s="258">
        <f t="shared" si="2"/>
        <v>44.167225999999999</v>
      </c>
      <c r="D13" s="258">
        <f t="shared" si="3"/>
        <v>0</v>
      </c>
      <c r="E13" s="258">
        <f t="shared" si="4"/>
        <v>44.167225999999999</v>
      </c>
      <c r="F13" s="258">
        <f t="shared" si="0"/>
        <v>0</v>
      </c>
      <c r="G13" s="258">
        <f t="shared" si="5"/>
        <v>0</v>
      </c>
      <c r="H13" s="258">
        <f t="shared" si="6"/>
        <v>0</v>
      </c>
      <c r="I13" s="267">
        <f>J13+K13</f>
        <v>44.167225999999999</v>
      </c>
      <c r="J13" s="268">
        <f>M13+R13+W13+AB13+AG13+AL13+AQ13+AV13</f>
        <v>44.167225999999999</v>
      </c>
      <c r="K13" s="268">
        <f>O13+T13+Y13+AD13+AI13+AN13+AS13+AX13</f>
        <v>0</v>
      </c>
      <c r="L13" s="267">
        <f>M13+O13</f>
        <v>0</v>
      </c>
      <c r="M13" s="268"/>
      <c r="N13" s="268"/>
      <c r="O13" s="268"/>
      <c r="P13" s="268"/>
      <c r="Q13" s="267">
        <f>R13+T13</f>
        <v>0</v>
      </c>
      <c r="R13" s="268"/>
      <c r="S13" s="268"/>
      <c r="T13" s="268"/>
      <c r="U13" s="268"/>
      <c r="V13" s="267">
        <f>W13+Y13</f>
        <v>0</v>
      </c>
      <c r="W13" s="268"/>
      <c r="X13" s="267"/>
      <c r="Y13" s="267"/>
      <c r="Z13" s="267"/>
      <c r="AA13" s="267">
        <f>AB13+AD13</f>
        <v>44.167225999999999</v>
      </c>
      <c r="AB13" s="268">
        <v>44.167225999999999</v>
      </c>
      <c r="AC13" s="268"/>
      <c r="AD13" s="268"/>
      <c r="AE13" s="268"/>
      <c r="AF13" s="267">
        <f>AG13+AI13</f>
        <v>0</v>
      </c>
      <c r="AG13" s="273"/>
      <c r="AH13" s="268"/>
      <c r="AI13" s="268"/>
      <c r="AJ13" s="268"/>
      <c r="AK13" s="267">
        <f>AL13+AN13</f>
        <v>0</v>
      </c>
      <c r="AL13" s="268"/>
      <c r="AM13" s="268"/>
      <c r="AN13" s="268"/>
      <c r="AO13" s="268"/>
      <c r="AP13" s="267">
        <f>AQ13+AS13</f>
        <v>0</v>
      </c>
      <c r="AQ13" s="268"/>
      <c r="AR13" s="268"/>
      <c r="AS13" s="268"/>
      <c r="AT13" s="268"/>
      <c r="AU13" s="267">
        <f>AV13+AX13</f>
        <v>0</v>
      </c>
      <c r="AV13" s="268"/>
      <c r="AW13" s="268"/>
      <c r="AX13" s="268"/>
      <c r="AY13" s="268"/>
    </row>
    <row r="14" spans="1:51" s="274" customFormat="1" ht="22.5" customHeight="1">
      <c r="A14" s="272">
        <v>3</v>
      </c>
      <c r="B14" s="1148" t="s">
        <v>1493</v>
      </c>
      <c r="C14" s="258">
        <f t="shared" si="2"/>
        <v>16992.855499999998</v>
      </c>
      <c r="D14" s="258">
        <f t="shared" si="3"/>
        <v>0</v>
      </c>
      <c r="E14" s="258">
        <f t="shared" si="4"/>
        <v>16992.855499999998</v>
      </c>
      <c r="F14" s="258">
        <f t="shared" si="0"/>
        <v>0</v>
      </c>
      <c r="G14" s="258">
        <f t="shared" si="5"/>
        <v>0</v>
      </c>
      <c r="H14" s="258">
        <f t="shared" si="6"/>
        <v>0</v>
      </c>
      <c r="I14" s="267">
        <f t="shared" ref="I14:I37" si="7">J14+K14</f>
        <v>16992.855499999998</v>
      </c>
      <c r="J14" s="268">
        <f t="shared" ref="J14:J37" si="8">M14+R14+W14+AB14+AG14+AL14+AQ14+AV14</f>
        <v>16992.855499999998</v>
      </c>
      <c r="K14" s="268">
        <f t="shared" ref="K14:K37" si="9">O14+T14+Y14+AD14+AI14+AN14+AS14+AX14</f>
        <v>0</v>
      </c>
      <c r="L14" s="267">
        <f t="shared" ref="L14:L37" si="10">M14+O14</f>
        <v>5873.19</v>
      </c>
      <c r="M14" s="268">
        <v>5873.19</v>
      </c>
      <c r="N14" s="268"/>
      <c r="O14" s="268"/>
      <c r="P14" s="268"/>
      <c r="Q14" s="267">
        <f t="shared" ref="Q14:Q37" si="11">R14+T14</f>
        <v>2576.8850000000002</v>
      </c>
      <c r="R14" s="268">
        <v>2576.8850000000002</v>
      </c>
      <c r="S14" s="268"/>
      <c r="T14" s="268"/>
      <c r="U14" s="268"/>
      <c r="V14" s="267">
        <f t="shared" ref="V14:V37" si="12">W14+Y14</f>
        <v>4324.21</v>
      </c>
      <c r="W14" s="268">
        <v>4324.21</v>
      </c>
      <c r="X14" s="267"/>
      <c r="Y14" s="267"/>
      <c r="Z14" s="267"/>
      <c r="AA14" s="267">
        <f t="shared" ref="AA14:AA37" si="13">AB14+AD14</f>
        <v>0</v>
      </c>
      <c r="AB14" s="268"/>
      <c r="AC14" s="268"/>
      <c r="AD14" s="268"/>
      <c r="AE14" s="268"/>
      <c r="AF14" s="267">
        <f t="shared" ref="AF14:AF37" si="14">AG14+AI14</f>
        <v>2921.1489999999999</v>
      </c>
      <c r="AG14" s="268">
        <v>2921.1489999999999</v>
      </c>
      <c r="AH14" s="268"/>
      <c r="AI14" s="268"/>
      <c r="AJ14" s="268"/>
      <c r="AK14" s="267">
        <f t="shared" ref="AK14:AK37" si="15">AL14+AN14</f>
        <v>733.77800000000002</v>
      </c>
      <c r="AL14" s="268">
        <v>733.77800000000002</v>
      </c>
      <c r="AM14" s="268"/>
      <c r="AN14" s="268"/>
      <c r="AO14" s="268"/>
      <c r="AP14" s="267">
        <f t="shared" ref="AP14:AP37" si="16">AQ14+AS14</f>
        <v>563.64350000000002</v>
      </c>
      <c r="AQ14" s="268">
        <v>563.64350000000002</v>
      </c>
      <c r="AR14" s="268"/>
      <c r="AS14" s="268"/>
      <c r="AT14" s="268"/>
      <c r="AU14" s="267">
        <f t="shared" ref="AU14:AU37" si="17">AV14+AX14</f>
        <v>0</v>
      </c>
      <c r="AV14" s="268"/>
      <c r="AW14" s="268"/>
      <c r="AX14" s="268"/>
      <c r="AY14" s="268"/>
    </row>
    <row r="15" spans="1:51" s="274" customFormat="1" ht="24.75" customHeight="1">
      <c r="A15" s="272">
        <v>4</v>
      </c>
      <c r="B15" s="266" t="s">
        <v>1494</v>
      </c>
      <c r="C15" s="258">
        <f t="shared" si="2"/>
        <v>19887.936999999998</v>
      </c>
      <c r="D15" s="258">
        <f t="shared" si="3"/>
        <v>0</v>
      </c>
      <c r="E15" s="258">
        <f t="shared" si="4"/>
        <v>19887.936999999998</v>
      </c>
      <c r="F15" s="258">
        <f t="shared" si="0"/>
        <v>0</v>
      </c>
      <c r="G15" s="258">
        <f t="shared" si="5"/>
        <v>0</v>
      </c>
      <c r="H15" s="258">
        <f t="shared" si="6"/>
        <v>0</v>
      </c>
      <c r="I15" s="267">
        <f t="shared" si="7"/>
        <v>19887.936999999998</v>
      </c>
      <c r="J15" s="268">
        <f t="shared" si="8"/>
        <v>19887.936999999998</v>
      </c>
      <c r="K15" s="268">
        <f t="shared" si="9"/>
        <v>0</v>
      </c>
      <c r="L15" s="267">
        <f t="shared" si="10"/>
        <v>4211.82</v>
      </c>
      <c r="M15" s="268">
        <v>4211.82</v>
      </c>
      <c r="N15" s="268"/>
      <c r="O15" s="268"/>
      <c r="P15" s="268"/>
      <c r="Q15" s="267">
        <f t="shared" si="11"/>
        <v>1462.7639999999999</v>
      </c>
      <c r="R15" s="268">
        <v>1462.7639999999999</v>
      </c>
      <c r="S15" s="268"/>
      <c r="T15" s="268"/>
      <c r="U15" s="268"/>
      <c r="V15" s="267">
        <f t="shared" si="12"/>
        <v>2178.9250000000002</v>
      </c>
      <c r="W15" s="268">
        <v>2178.9250000000002</v>
      </c>
      <c r="X15" s="267"/>
      <c r="Y15" s="267"/>
      <c r="Z15" s="267"/>
      <c r="AA15" s="267">
        <f t="shared" si="13"/>
        <v>2073.4679999999998</v>
      </c>
      <c r="AB15" s="268">
        <f>2073468000/1000000</f>
        <v>2073.4679999999998</v>
      </c>
      <c r="AC15" s="268"/>
      <c r="AD15" s="268"/>
      <c r="AE15" s="268"/>
      <c r="AF15" s="267">
        <f>AG15+AI15</f>
        <v>2431.62</v>
      </c>
      <c r="AG15" s="268">
        <v>2431.62</v>
      </c>
      <c r="AH15" s="268"/>
      <c r="AI15" s="268"/>
      <c r="AJ15" s="268"/>
      <c r="AK15" s="267">
        <f t="shared" si="15"/>
        <v>970.7</v>
      </c>
      <c r="AL15" s="268">
        <v>970.7</v>
      </c>
      <c r="AM15" s="268"/>
      <c r="AN15" s="268"/>
      <c r="AO15" s="268"/>
      <c r="AP15" s="267">
        <f t="shared" si="16"/>
        <v>4334.6400000000003</v>
      </c>
      <c r="AQ15" s="268">
        <v>4334.6400000000003</v>
      </c>
      <c r="AR15" s="268"/>
      <c r="AS15" s="268"/>
      <c r="AT15" s="268"/>
      <c r="AU15" s="267">
        <f t="shared" si="17"/>
        <v>2224</v>
      </c>
      <c r="AV15" s="268">
        <v>2224</v>
      </c>
      <c r="AW15" s="268"/>
      <c r="AX15" s="268"/>
      <c r="AY15" s="268"/>
    </row>
    <row r="16" spans="1:51" s="274" customFormat="1" ht="33" customHeight="1">
      <c r="A16" s="272">
        <v>5</v>
      </c>
      <c r="B16" s="266" t="s">
        <v>1495</v>
      </c>
      <c r="C16" s="258">
        <f t="shared" si="2"/>
        <v>27028.235000000001</v>
      </c>
      <c r="D16" s="258">
        <f t="shared" si="3"/>
        <v>0</v>
      </c>
      <c r="E16" s="258">
        <f t="shared" si="4"/>
        <v>27028.235000000001</v>
      </c>
      <c r="F16" s="258">
        <f t="shared" si="0"/>
        <v>0</v>
      </c>
      <c r="G16" s="258">
        <f t="shared" si="5"/>
        <v>0</v>
      </c>
      <c r="H16" s="258">
        <f t="shared" si="6"/>
        <v>0</v>
      </c>
      <c r="I16" s="267">
        <f t="shared" si="7"/>
        <v>27028.235000000001</v>
      </c>
      <c r="J16" s="268">
        <f t="shared" si="8"/>
        <v>27028.235000000001</v>
      </c>
      <c r="K16" s="268">
        <f t="shared" si="9"/>
        <v>0</v>
      </c>
      <c r="L16" s="267">
        <f t="shared" si="10"/>
        <v>2911.89</v>
      </c>
      <c r="M16" s="268">
        <v>2911.89</v>
      </c>
      <c r="N16" s="268"/>
      <c r="O16" s="268"/>
      <c r="P16" s="268"/>
      <c r="Q16" s="267">
        <f t="shared" si="11"/>
        <v>9.82</v>
      </c>
      <c r="R16" s="268">
        <v>9.82</v>
      </c>
      <c r="S16" s="268"/>
      <c r="T16" s="268"/>
      <c r="U16" s="268"/>
      <c r="V16" s="267">
        <f t="shared" si="12"/>
        <v>4135.99</v>
      </c>
      <c r="W16" s="268">
        <v>4135.99</v>
      </c>
      <c r="X16" s="267"/>
      <c r="Y16" s="267"/>
      <c r="Z16" s="267"/>
      <c r="AA16" s="267">
        <f t="shared" si="13"/>
        <v>1364.85</v>
      </c>
      <c r="AB16" s="268">
        <v>1364.85</v>
      </c>
      <c r="AC16" s="268"/>
      <c r="AD16" s="268"/>
      <c r="AE16" s="268"/>
      <c r="AF16" s="267">
        <f t="shared" si="14"/>
        <v>3371.9870000000001</v>
      </c>
      <c r="AG16" s="268">
        <v>3371.9870000000001</v>
      </c>
      <c r="AH16" s="268"/>
      <c r="AI16" s="268"/>
      <c r="AJ16" s="268"/>
      <c r="AK16" s="267">
        <f t="shared" si="15"/>
        <v>475.6</v>
      </c>
      <c r="AL16" s="268">
        <v>475.6</v>
      </c>
      <c r="AM16" s="268"/>
      <c r="AN16" s="268"/>
      <c r="AO16" s="268"/>
      <c r="AP16" s="267">
        <f t="shared" si="16"/>
        <v>6879.2809999999999</v>
      </c>
      <c r="AQ16" s="268">
        <v>6879.2809999999999</v>
      </c>
      <c r="AR16" s="268"/>
      <c r="AS16" s="268"/>
      <c r="AT16" s="268"/>
      <c r="AU16" s="267">
        <f t="shared" si="17"/>
        <v>7878.817</v>
      </c>
      <c r="AV16" s="268">
        <v>7878.817</v>
      </c>
      <c r="AW16" s="268"/>
      <c r="AX16" s="268"/>
      <c r="AY16" s="268"/>
    </row>
    <row r="17" spans="1:51" s="274" customFormat="1" ht="44.25" customHeight="1">
      <c r="A17" s="272">
        <v>6</v>
      </c>
      <c r="B17" s="266" t="s">
        <v>1496</v>
      </c>
      <c r="C17" s="258">
        <f t="shared" si="2"/>
        <v>35398.4833</v>
      </c>
      <c r="D17" s="258">
        <f t="shared" si="3"/>
        <v>0</v>
      </c>
      <c r="E17" s="258">
        <f t="shared" si="4"/>
        <v>35398.4833</v>
      </c>
      <c r="F17" s="258">
        <f t="shared" si="0"/>
        <v>0</v>
      </c>
      <c r="G17" s="258">
        <f t="shared" si="5"/>
        <v>0</v>
      </c>
      <c r="H17" s="258">
        <f t="shared" si="6"/>
        <v>0</v>
      </c>
      <c r="I17" s="267">
        <f>J17+K17</f>
        <v>35398.4833</v>
      </c>
      <c r="J17" s="268">
        <f>M17+R17+W17+AB17+AG17+AL17+AQ17+AV17</f>
        <v>35398.4833</v>
      </c>
      <c r="K17" s="268">
        <f>O17+T17+Y17+AD17+AI17+AN17+AS17+AX17</f>
        <v>0</v>
      </c>
      <c r="L17" s="267">
        <f t="shared" si="10"/>
        <v>4185.79</v>
      </c>
      <c r="M17" s="268">
        <f>M18</f>
        <v>4185.79</v>
      </c>
      <c r="N17" s="268"/>
      <c r="O17" s="268"/>
      <c r="P17" s="268"/>
      <c r="Q17" s="267">
        <f t="shared" si="11"/>
        <v>3132.4560000000001</v>
      </c>
      <c r="R17" s="268">
        <v>3132.4560000000001</v>
      </c>
      <c r="S17" s="268"/>
      <c r="T17" s="268"/>
      <c r="U17" s="268"/>
      <c r="V17" s="267">
        <f t="shared" si="12"/>
        <v>4619.84</v>
      </c>
      <c r="W17" s="268">
        <f>W18+W19</f>
        <v>4619.84</v>
      </c>
      <c r="X17" s="267"/>
      <c r="Y17" s="267"/>
      <c r="Z17" s="267"/>
      <c r="AA17" s="267">
        <f t="shared" si="13"/>
        <v>696.65430000000003</v>
      </c>
      <c r="AB17" s="268">
        <f>AB18</f>
        <v>696.65430000000003</v>
      </c>
      <c r="AC17" s="268"/>
      <c r="AD17" s="268"/>
      <c r="AE17" s="268"/>
      <c r="AF17" s="267">
        <f t="shared" si="14"/>
        <v>3790.9180000000001</v>
      </c>
      <c r="AG17" s="268">
        <v>3790.9180000000001</v>
      </c>
      <c r="AH17" s="268"/>
      <c r="AI17" s="268"/>
      <c r="AJ17" s="268"/>
      <c r="AK17" s="267">
        <f t="shared" si="15"/>
        <v>0</v>
      </c>
      <c r="AL17" s="268"/>
      <c r="AM17" s="268"/>
      <c r="AN17" s="268"/>
      <c r="AO17" s="268"/>
      <c r="AP17" s="267">
        <f t="shared" si="16"/>
        <v>7436.81</v>
      </c>
      <c r="AQ17" s="268">
        <f>AQ18</f>
        <v>7436.81</v>
      </c>
      <c r="AR17" s="268"/>
      <c r="AS17" s="268"/>
      <c r="AT17" s="268"/>
      <c r="AU17" s="267">
        <f t="shared" si="17"/>
        <v>11536.014999999999</v>
      </c>
      <c r="AV17" s="268">
        <f>AV18</f>
        <v>11536.014999999999</v>
      </c>
      <c r="AW17" s="268"/>
      <c r="AX17" s="268"/>
      <c r="AY17" s="268"/>
    </row>
    <row r="18" spans="1:51" s="280" customFormat="1" ht="25.5" customHeight="1">
      <c r="A18" s="275"/>
      <c r="B18" s="276" t="s">
        <v>1497</v>
      </c>
      <c r="C18" s="277">
        <f t="shared" si="2"/>
        <v>34832.671300000002</v>
      </c>
      <c r="D18" s="277"/>
      <c r="E18" s="277">
        <f t="shared" si="4"/>
        <v>34832.671300000002</v>
      </c>
      <c r="F18" s="277"/>
      <c r="G18" s="277">
        <f t="shared" si="5"/>
        <v>0</v>
      </c>
      <c r="H18" s="277">
        <f t="shared" si="6"/>
        <v>0</v>
      </c>
      <c r="I18" s="278">
        <f>J18+K18</f>
        <v>34832.671300000002</v>
      </c>
      <c r="J18" s="279">
        <f>M18+R18+W18+AB18+AG18+AL18+AQ18+AV18</f>
        <v>34832.671300000002</v>
      </c>
      <c r="K18" s="279">
        <f>O18+T18+Y18+AD18+AI18+AN18+AS18+AX18</f>
        <v>0</v>
      </c>
      <c r="L18" s="278">
        <f t="shared" si="10"/>
        <v>4185.79</v>
      </c>
      <c r="M18" s="279">
        <v>4185.79</v>
      </c>
      <c r="N18" s="279"/>
      <c r="O18" s="279"/>
      <c r="P18" s="279"/>
      <c r="Q18" s="278">
        <f t="shared" si="11"/>
        <v>3132.4560000000001</v>
      </c>
      <c r="R18" s="279">
        <f>R17</f>
        <v>3132.4560000000001</v>
      </c>
      <c r="S18" s="279"/>
      <c r="T18" s="279"/>
      <c r="U18" s="279"/>
      <c r="V18" s="278">
        <f t="shared" si="12"/>
        <v>4054.0280000000002</v>
      </c>
      <c r="W18" s="279">
        <v>4054.0280000000002</v>
      </c>
      <c r="X18" s="278"/>
      <c r="Y18" s="278"/>
      <c r="Z18" s="278"/>
      <c r="AA18" s="278">
        <f t="shared" si="13"/>
        <v>696.65430000000003</v>
      </c>
      <c r="AB18" s="279">
        <v>696.65430000000003</v>
      </c>
      <c r="AC18" s="279"/>
      <c r="AD18" s="279"/>
      <c r="AE18" s="279"/>
      <c r="AF18" s="278">
        <f t="shared" si="14"/>
        <v>3790.9180000000001</v>
      </c>
      <c r="AG18" s="279">
        <f>AG17</f>
        <v>3790.9180000000001</v>
      </c>
      <c r="AH18" s="279"/>
      <c r="AI18" s="279"/>
      <c r="AJ18" s="279"/>
      <c r="AK18" s="278">
        <f t="shared" si="15"/>
        <v>0</v>
      </c>
      <c r="AL18" s="279"/>
      <c r="AM18" s="279"/>
      <c r="AN18" s="279"/>
      <c r="AO18" s="279"/>
      <c r="AP18" s="278">
        <f t="shared" si="16"/>
        <v>7436.81</v>
      </c>
      <c r="AQ18" s="279">
        <v>7436.81</v>
      </c>
      <c r="AR18" s="279"/>
      <c r="AS18" s="279"/>
      <c r="AT18" s="279"/>
      <c r="AU18" s="278">
        <f t="shared" si="17"/>
        <v>11536.014999999999</v>
      </c>
      <c r="AV18" s="279">
        <v>11536.014999999999</v>
      </c>
      <c r="AW18" s="279"/>
      <c r="AX18" s="279"/>
      <c r="AY18" s="279"/>
    </row>
    <row r="19" spans="1:51" s="280" customFormat="1" ht="25.5" customHeight="1">
      <c r="A19" s="275"/>
      <c r="B19" s="276" t="s">
        <v>1498</v>
      </c>
      <c r="C19" s="277">
        <f t="shared" si="2"/>
        <v>565.81200000000001</v>
      </c>
      <c r="D19" s="277"/>
      <c r="E19" s="277">
        <f t="shared" si="4"/>
        <v>565.81200000000001</v>
      </c>
      <c r="F19" s="277"/>
      <c r="G19" s="277">
        <f t="shared" si="5"/>
        <v>0</v>
      </c>
      <c r="H19" s="277">
        <f t="shared" si="6"/>
        <v>0</v>
      </c>
      <c r="I19" s="278">
        <f>J19+K19</f>
        <v>565.81200000000001</v>
      </c>
      <c r="J19" s="279">
        <f>M19+R19+W19+AB19+AG19+AL19+AQ19+AV19</f>
        <v>565.81200000000001</v>
      </c>
      <c r="K19" s="279">
        <f>O19+T19+Y19+AD19+AI19+AN19+AS19+AX19</f>
        <v>0</v>
      </c>
      <c r="L19" s="278">
        <f t="shared" si="10"/>
        <v>0</v>
      </c>
      <c r="M19" s="279"/>
      <c r="N19" s="279"/>
      <c r="O19" s="279"/>
      <c r="P19" s="279"/>
      <c r="Q19" s="278">
        <f t="shared" si="11"/>
        <v>0</v>
      </c>
      <c r="R19" s="279"/>
      <c r="S19" s="279"/>
      <c r="T19" s="279"/>
      <c r="U19" s="279"/>
      <c r="V19" s="278">
        <f t="shared" si="12"/>
        <v>565.81200000000001</v>
      </c>
      <c r="W19" s="279">
        <v>565.81200000000001</v>
      </c>
      <c r="X19" s="278"/>
      <c r="Y19" s="278"/>
      <c r="Z19" s="278"/>
      <c r="AA19" s="278">
        <f t="shared" si="13"/>
        <v>0</v>
      </c>
      <c r="AB19" s="279"/>
      <c r="AC19" s="279"/>
      <c r="AD19" s="279"/>
      <c r="AE19" s="279"/>
      <c r="AF19" s="278">
        <f t="shared" si="14"/>
        <v>0</v>
      </c>
      <c r="AG19" s="279"/>
      <c r="AH19" s="279"/>
      <c r="AI19" s="279"/>
      <c r="AJ19" s="279"/>
      <c r="AK19" s="278">
        <f t="shared" si="15"/>
        <v>0</v>
      </c>
      <c r="AL19" s="279"/>
      <c r="AM19" s="279"/>
      <c r="AN19" s="279"/>
      <c r="AO19" s="279"/>
      <c r="AP19" s="278">
        <f t="shared" si="16"/>
        <v>0</v>
      </c>
      <c r="AQ19" s="279"/>
      <c r="AR19" s="279"/>
      <c r="AS19" s="279"/>
      <c r="AT19" s="279"/>
      <c r="AU19" s="278">
        <f t="shared" si="17"/>
        <v>0</v>
      </c>
      <c r="AV19" s="279"/>
      <c r="AW19" s="279"/>
      <c r="AX19" s="279"/>
      <c r="AY19" s="279"/>
    </row>
    <row r="20" spans="1:51" s="274" customFormat="1" ht="32.25" customHeight="1">
      <c r="A20" s="272">
        <v>7</v>
      </c>
      <c r="B20" s="266" t="s">
        <v>1499</v>
      </c>
      <c r="C20" s="258">
        <f t="shared" si="2"/>
        <v>50147.370999999992</v>
      </c>
      <c r="D20" s="258">
        <f t="shared" ref="D20:D37" si="18">C20-I20</f>
        <v>0</v>
      </c>
      <c r="E20" s="258">
        <f t="shared" si="4"/>
        <v>50147.370999999992</v>
      </c>
      <c r="F20" s="258">
        <f t="shared" ref="F20:F37" si="19">E20-J20</f>
        <v>0</v>
      </c>
      <c r="G20" s="258">
        <f t="shared" si="5"/>
        <v>0</v>
      </c>
      <c r="H20" s="258">
        <f t="shared" si="6"/>
        <v>0</v>
      </c>
      <c r="I20" s="267">
        <f t="shared" si="7"/>
        <v>50147.370999999992</v>
      </c>
      <c r="J20" s="268">
        <f t="shared" si="8"/>
        <v>50147.370999999992</v>
      </c>
      <c r="K20" s="268">
        <f t="shared" si="9"/>
        <v>0</v>
      </c>
      <c r="L20" s="267">
        <f t="shared" si="10"/>
        <v>10087.4</v>
      </c>
      <c r="M20" s="268">
        <v>10087.4</v>
      </c>
      <c r="N20" s="268"/>
      <c r="O20" s="268"/>
      <c r="P20" s="268"/>
      <c r="Q20" s="267">
        <f t="shared" si="11"/>
        <v>6392.0069999999996</v>
      </c>
      <c r="R20" s="268">
        <v>6392.0069999999996</v>
      </c>
      <c r="S20" s="268"/>
      <c r="T20" s="268"/>
      <c r="U20" s="268"/>
      <c r="V20" s="267">
        <f t="shared" si="12"/>
        <v>4956.99</v>
      </c>
      <c r="W20" s="268">
        <v>4956.99</v>
      </c>
      <c r="X20" s="267"/>
      <c r="Y20" s="267"/>
      <c r="Z20" s="267"/>
      <c r="AA20" s="267">
        <f t="shared" si="13"/>
        <v>6456.1149999999998</v>
      </c>
      <c r="AB20" s="268">
        <v>6456.1149999999998</v>
      </c>
      <c r="AC20" s="268"/>
      <c r="AD20" s="268"/>
      <c r="AE20" s="268"/>
      <c r="AF20" s="267">
        <f t="shared" si="14"/>
        <v>6355.7190000000001</v>
      </c>
      <c r="AG20" s="268">
        <v>6355.7190000000001</v>
      </c>
      <c r="AH20" s="268"/>
      <c r="AI20" s="268"/>
      <c r="AJ20" s="268"/>
      <c r="AK20" s="267">
        <f t="shared" si="15"/>
        <v>5176.5</v>
      </c>
      <c r="AL20" s="268">
        <v>5176.5</v>
      </c>
      <c r="AM20" s="268"/>
      <c r="AN20" s="268"/>
      <c r="AO20" s="268"/>
      <c r="AP20" s="267">
        <f t="shared" si="16"/>
        <v>6746.39</v>
      </c>
      <c r="AQ20" s="268">
        <v>6746.39</v>
      </c>
      <c r="AR20" s="268"/>
      <c r="AS20" s="268"/>
      <c r="AT20" s="268"/>
      <c r="AU20" s="267">
        <f t="shared" si="17"/>
        <v>3976.25</v>
      </c>
      <c r="AV20" s="268">
        <v>3976.25</v>
      </c>
      <c r="AW20" s="268"/>
      <c r="AX20" s="268"/>
      <c r="AY20" s="268"/>
    </row>
    <row r="21" spans="1:51" s="274" customFormat="1" ht="44.25" customHeight="1">
      <c r="A21" s="272">
        <v>8</v>
      </c>
      <c r="B21" s="266" t="s">
        <v>1500</v>
      </c>
      <c r="C21" s="258">
        <f t="shared" si="2"/>
        <v>780.59999999999991</v>
      </c>
      <c r="D21" s="258">
        <f t="shared" si="18"/>
        <v>0</v>
      </c>
      <c r="E21" s="258">
        <f t="shared" si="4"/>
        <v>531.4</v>
      </c>
      <c r="F21" s="258">
        <f t="shared" si="19"/>
        <v>0</v>
      </c>
      <c r="G21" s="258">
        <f t="shared" si="5"/>
        <v>249.20000000000002</v>
      </c>
      <c r="H21" s="258">
        <f>G21-K21</f>
        <v>0</v>
      </c>
      <c r="I21" s="267">
        <f t="shared" si="7"/>
        <v>780.6</v>
      </c>
      <c r="J21" s="268">
        <f t="shared" si="8"/>
        <v>531.4</v>
      </c>
      <c r="K21" s="268">
        <f>O21+T21+Y21+AD21+AI21+AN21+AS21+AX21</f>
        <v>249.20000000000002</v>
      </c>
      <c r="L21" s="267">
        <f t="shared" si="10"/>
        <v>100.7</v>
      </c>
      <c r="M21" s="268">
        <v>100.7</v>
      </c>
      <c r="N21" s="268"/>
      <c r="O21" s="268"/>
      <c r="P21" s="268"/>
      <c r="Q21" s="267">
        <f t="shared" si="11"/>
        <v>115</v>
      </c>
      <c r="R21" s="268">
        <v>115</v>
      </c>
      <c r="S21" s="268"/>
      <c r="T21" s="268"/>
      <c r="U21" s="268"/>
      <c r="V21" s="267">
        <f t="shared" si="12"/>
        <v>77</v>
      </c>
      <c r="W21" s="268">
        <v>77</v>
      </c>
      <c r="X21" s="267"/>
      <c r="Y21" s="267"/>
      <c r="Z21" s="267"/>
      <c r="AA21" s="267">
        <f t="shared" si="13"/>
        <v>79.599999999999994</v>
      </c>
      <c r="AB21" s="268">
        <v>6</v>
      </c>
      <c r="AC21" s="268"/>
      <c r="AD21" s="268">
        <v>73.599999999999994</v>
      </c>
      <c r="AE21" s="268"/>
      <c r="AF21" s="267">
        <f t="shared" si="14"/>
        <v>101.9</v>
      </c>
      <c r="AG21" s="268">
        <v>8.6999999999999993</v>
      </c>
      <c r="AH21" s="268"/>
      <c r="AI21" s="268">
        <v>93.2</v>
      </c>
      <c r="AJ21" s="268"/>
      <c r="AK21" s="267">
        <f t="shared" si="15"/>
        <v>83</v>
      </c>
      <c r="AL21" s="268">
        <v>83</v>
      </c>
      <c r="AM21" s="268"/>
      <c r="AN21" s="268"/>
      <c r="AO21" s="268"/>
      <c r="AP21" s="267">
        <f t="shared" si="16"/>
        <v>124.4</v>
      </c>
      <c r="AQ21" s="268">
        <v>42</v>
      </c>
      <c r="AR21" s="268"/>
      <c r="AS21" s="268">
        <v>82.4</v>
      </c>
      <c r="AT21" s="268"/>
      <c r="AU21" s="267">
        <f t="shared" si="17"/>
        <v>99</v>
      </c>
      <c r="AV21" s="268">
        <v>99</v>
      </c>
      <c r="AW21" s="268"/>
      <c r="AX21" s="268"/>
      <c r="AY21" s="268"/>
    </row>
    <row r="22" spans="1:51" s="274" customFormat="1" ht="47.25" customHeight="1">
      <c r="A22" s="272">
        <v>10</v>
      </c>
      <c r="B22" s="266" t="s">
        <v>1501</v>
      </c>
      <c r="C22" s="258">
        <f t="shared" si="2"/>
        <v>1000</v>
      </c>
      <c r="D22" s="258">
        <f t="shared" si="18"/>
        <v>0</v>
      </c>
      <c r="E22" s="258">
        <f t="shared" si="4"/>
        <v>1000</v>
      </c>
      <c r="F22" s="258">
        <f t="shared" si="19"/>
        <v>0</v>
      </c>
      <c r="G22" s="258">
        <f t="shared" si="5"/>
        <v>0</v>
      </c>
      <c r="H22" s="258">
        <f t="shared" si="6"/>
        <v>0</v>
      </c>
      <c r="I22" s="267">
        <f t="shared" si="7"/>
        <v>1000</v>
      </c>
      <c r="J22" s="268">
        <f t="shared" si="8"/>
        <v>1000</v>
      </c>
      <c r="K22" s="268">
        <f t="shared" si="9"/>
        <v>0</v>
      </c>
      <c r="L22" s="267">
        <f t="shared" si="10"/>
        <v>0</v>
      </c>
      <c r="M22" s="268"/>
      <c r="N22" s="268"/>
      <c r="O22" s="268"/>
      <c r="P22" s="268"/>
      <c r="Q22" s="267">
        <f t="shared" si="11"/>
        <v>0</v>
      </c>
      <c r="R22" s="268"/>
      <c r="S22" s="268"/>
      <c r="T22" s="268"/>
      <c r="U22" s="268"/>
      <c r="V22" s="267">
        <f t="shared" si="12"/>
        <v>0</v>
      </c>
      <c r="W22" s="268"/>
      <c r="X22" s="267"/>
      <c r="Y22" s="267"/>
      <c r="Z22" s="267"/>
      <c r="AA22" s="267">
        <f t="shared" si="13"/>
        <v>0</v>
      </c>
      <c r="AB22" s="268"/>
      <c r="AC22" s="268"/>
      <c r="AD22" s="268"/>
      <c r="AE22" s="268"/>
      <c r="AF22" s="267">
        <f t="shared" si="14"/>
        <v>1000</v>
      </c>
      <c r="AG22" s="268">
        <v>1000</v>
      </c>
      <c r="AH22" s="268"/>
      <c r="AI22" s="268"/>
      <c r="AJ22" s="268"/>
      <c r="AK22" s="267">
        <f t="shared" si="15"/>
        <v>0</v>
      </c>
      <c r="AL22" s="268"/>
      <c r="AM22" s="268"/>
      <c r="AN22" s="268"/>
      <c r="AO22" s="268"/>
      <c r="AP22" s="267">
        <f t="shared" si="16"/>
        <v>0</v>
      </c>
      <c r="AQ22" s="268"/>
      <c r="AR22" s="268"/>
      <c r="AS22" s="268"/>
      <c r="AT22" s="268"/>
      <c r="AU22" s="267">
        <f t="shared" si="17"/>
        <v>0</v>
      </c>
      <c r="AV22" s="268"/>
      <c r="AW22" s="268"/>
      <c r="AX22" s="268"/>
      <c r="AY22" s="268"/>
    </row>
    <row r="23" spans="1:51" s="274" customFormat="1" ht="20.100000000000001" customHeight="1">
      <c r="A23" s="272">
        <v>13</v>
      </c>
      <c r="B23" s="266" t="s">
        <v>1502</v>
      </c>
      <c r="C23" s="258">
        <f t="shared" si="2"/>
        <v>13773.481</v>
      </c>
      <c r="D23" s="258">
        <f t="shared" si="18"/>
        <v>0</v>
      </c>
      <c r="E23" s="258">
        <f t="shared" si="4"/>
        <v>13773.481</v>
      </c>
      <c r="F23" s="258">
        <f t="shared" si="19"/>
        <v>0</v>
      </c>
      <c r="G23" s="258">
        <f t="shared" si="5"/>
        <v>0</v>
      </c>
      <c r="H23" s="258">
        <f t="shared" si="6"/>
        <v>0</v>
      </c>
      <c r="I23" s="267">
        <f t="shared" si="7"/>
        <v>13773.481</v>
      </c>
      <c r="J23" s="268">
        <f t="shared" si="8"/>
        <v>13773.481</v>
      </c>
      <c r="K23" s="268">
        <f t="shared" si="9"/>
        <v>0</v>
      </c>
      <c r="L23" s="267">
        <f t="shared" si="10"/>
        <v>1483.37</v>
      </c>
      <c r="M23" s="268">
        <v>1483.37</v>
      </c>
      <c r="N23" s="268"/>
      <c r="O23" s="268"/>
      <c r="P23" s="268"/>
      <c r="Q23" s="267">
        <f t="shared" si="11"/>
        <v>1750.374</v>
      </c>
      <c r="R23" s="268">
        <v>1750.374</v>
      </c>
      <c r="S23" s="268"/>
      <c r="T23" s="268"/>
      <c r="U23" s="268"/>
      <c r="V23" s="267">
        <f t="shared" si="12"/>
        <v>2198.19</v>
      </c>
      <c r="W23" s="268">
        <v>2198.19</v>
      </c>
      <c r="X23" s="267"/>
      <c r="Y23" s="267"/>
      <c r="Z23" s="267"/>
      <c r="AA23" s="267">
        <f t="shared" si="13"/>
        <v>1655.6610000000001</v>
      </c>
      <c r="AB23" s="268">
        <v>1655.6610000000001</v>
      </c>
      <c r="AC23" s="268"/>
      <c r="AD23" s="268"/>
      <c r="AE23" s="268"/>
      <c r="AF23" s="267">
        <f t="shared" si="14"/>
        <v>1688.26</v>
      </c>
      <c r="AG23" s="268">
        <v>1688.26</v>
      </c>
      <c r="AH23" s="268"/>
      <c r="AI23" s="268"/>
      <c r="AJ23" s="268"/>
      <c r="AK23" s="267">
        <f t="shared" si="15"/>
        <v>150.80000000000001</v>
      </c>
      <c r="AL23" s="268">
        <v>150.80000000000001</v>
      </c>
      <c r="AM23" s="268"/>
      <c r="AN23" s="268"/>
      <c r="AO23" s="268"/>
      <c r="AP23" s="267">
        <f t="shared" si="16"/>
        <v>2757.9650000000001</v>
      </c>
      <c r="AQ23" s="268">
        <v>2757.9650000000001</v>
      </c>
      <c r="AR23" s="268"/>
      <c r="AS23" s="268"/>
      <c r="AT23" s="268"/>
      <c r="AU23" s="267">
        <f t="shared" si="17"/>
        <v>2088.8609999999999</v>
      </c>
      <c r="AV23" s="268">
        <v>2088.8609999999999</v>
      </c>
      <c r="AW23" s="268"/>
      <c r="AX23" s="268"/>
      <c r="AY23" s="268"/>
    </row>
    <row r="24" spans="1:51" s="274" customFormat="1" ht="27.75" customHeight="1">
      <c r="A24" s="272">
        <v>14</v>
      </c>
      <c r="B24" s="266" t="s">
        <v>1503</v>
      </c>
      <c r="C24" s="258">
        <f t="shared" si="2"/>
        <v>4181.6859999999997</v>
      </c>
      <c r="D24" s="258">
        <f t="shared" si="18"/>
        <v>0</v>
      </c>
      <c r="E24" s="258">
        <f t="shared" si="4"/>
        <v>3129.067</v>
      </c>
      <c r="F24" s="258">
        <f t="shared" si="19"/>
        <v>0</v>
      </c>
      <c r="G24" s="258">
        <f t="shared" si="5"/>
        <v>1052.6189999999999</v>
      </c>
      <c r="H24" s="258">
        <f t="shared" si="6"/>
        <v>0</v>
      </c>
      <c r="I24" s="267">
        <f t="shared" si="7"/>
        <v>4181.6859999999997</v>
      </c>
      <c r="J24" s="268">
        <f t="shared" si="8"/>
        <v>3129.067</v>
      </c>
      <c r="K24" s="268">
        <f t="shared" si="9"/>
        <v>1052.6189999999999</v>
      </c>
      <c r="L24" s="267">
        <f t="shared" si="10"/>
        <v>838.42</v>
      </c>
      <c r="M24" s="268">
        <v>838.42</v>
      </c>
      <c r="N24" s="268"/>
      <c r="O24" s="268"/>
      <c r="P24" s="268"/>
      <c r="Q24" s="267">
        <f t="shared" si="11"/>
        <v>901</v>
      </c>
      <c r="R24" s="268">
        <v>901</v>
      </c>
      <c r="S24" s="268"/>
      <c r="T24" s="268"/>
      <c r="U24" s="268"/>
      <c r="V24" s="267">
        <f t="shared" si="12"/>
        <v>707.17</v>
      </c>
      <c r="W24" s="268">
        <v>707.17</v>
      </c>
      <c r="X24" s="267"/>
      <c r="Y24" s="267"/>
      <c r="Z24" s="267"/>
      <c r="AA24" s="267">
        <f t="shared" si="13"/>
        <v>0</v>
      </c>
      <c r="AB24" s="268"/>
      <c r="AC24" s="268"/>
      <c r="AD24" s="268"/>
      <c r="AE24" s="268"/>
      <c r="AF24" s="267">
        <f t="shared" si="14"/>
        <v>1052.6189999999999</v>
      </c>
      <c r="AG24" s="268"/>
      <c r="AH24" s="268"/>
      <c r="AI24" s="268">
        <v>1052.6189999999999</v>
      </c>
      <c r="AJ24" s="268"/>
      <c r="AK24" s="267">
        <f t="shared" si="15"/>
        <v>0</v>
      </c>
      <c r="AL24" s="268"/>
      <c r="AM24" s="268"/>
      <c r="AN24" s="268"/>
      <c r="AO24" s="268"/>
      <c r="AP24" s="267">
        <f t="shared" si="16"/>
        <v>682.47699999999998</v>
      </c>
      <c r="AQ24" s="268">
        <v>682.47699999999998</v>
      </c>
      <c r="AR24" s="268"/>
      <c r="AS24" s="268"/>
      <c r="AT24" s="268"/>
      <c r="AU24" s="267">
        <f t="shared" si="17"/>
        <v>0</v>
      </c>
      <c r="AV24" s="268"/>
      <c r="AW24" s="268"/>
      <c r="AX24" s="268"/>
      <c r="AY24" s="268"/>
    </row>
    <row r="25" spans="1:51" s="274" customFormat="1" ht="23.25" customHeight="1">
      <c r="A25" s="272">
        <v>17</v>
      </c>
      <c r="B25" s="266" t="s">
        <v>1504</v>
      </c>
      <c r="C25" s="258">
        <f t="shared" si="2"/>
        <v>8277.9334600000002</v>
      </c>
      <c r="D25" s="258">
        <f t="shared" si="18"/>
        <v>0</v>
      </c>
      <c r="E25" s="258">
        <f t="shared" si="4"/>
        <v>8178.6334600000009</v>
      </c>
      <c r="F25" s="258">
        <f t="shared" si="19"/>
        <v>0</v>
      </c>
      <c r="G25" s="258">
        <f t="shared" si="5"/>
        <v>99.3</v>
      </c>
      <c r="H25" s="258">
        <f t="shared" si="6"/>
        <v>0</v>
      </c>
      <c r="I25" s="267">
        <f t="shared" si="7"/>
        <v>8277.9334600000002</v>
      </c>
      <c r="J25" s="268">
        <f t="shared" si="8"/>
        <v>8178.6334600000009</v>
      </c>
      <c r="K25" s="268">
        <f t="shared" si="9"/>
        <v>99.3</v>
      </c>
      <c r="L25" s="267">
        <f t="shared" si="10"/>
        <v>2073.15</v>
      </c>
      <c r="M25" s="268">
        <v>2073.15</v>
      </c>
      <c r="N25" s="268"/>
      <c r="O25" s="268"/>
      <c r="P25" s="268"/>
      <c r="Q25" s="267">
        <f t="shared" si="11"/>
        <v>0</v>
      </c>
      <c r="R25" s="268"/>
      <c r="S25" s="268"/>
      <c r="T25" s="268"/>
      <c r="U25" s="268"/>
      <c r="V25" s="267">
        <f t="shared" si="12"/>
        <v>1260.24</v>
      </c>
      <c r="W25" s="268">
        <v>1260.24</v>
      </c>
      <c r="X25" s="267"/>
      <c r="Y25" s="267"/>
      <c r="Z25" s="267"/>
      <c r="AA25" s="267">
        <f t="shared" si="13"/>
        <v>766.73645999999997</v>
      </c>
      <c r="AB25" s="268">
        <v>766.73645999999997</v>
      </c>
      <c r="AC25" s="268"/>
      <c r="AD25" s="268"/>
      <c r="AE25" s="268"/>
      <c r="AF25" s="267">
        <f t="shared" si="14"/>
        <v>1293.634</v>
      </c>
      <c r="AG25" s="268">
        <v>1293.634</v>
      </c>
      <c r="AH25" s="268"/>
      <c r="AI25" s="268"/>
      <c r="AJ25" s="268"/>
      <c r="AK25" s="267">
        <f t="shared" si="15"/>
        <v>99.3</v>
      </c>
      <c r="AL25" s="268"/>
      <c r="AM25" s="268"/>
      <c r="AN25" s="268">
        <v>99.3</v>
      </c>
      <c r="AO25" s="268"/>
      <c r="AP25" s="267">
        <f t="shared" si="16"/>
        <v>2094.1880000000001</v>
      </c>
      <c r="AQ25" s="268">
        <v>2094.1880000000001</v>
      </c>
      <c r="AR25" s="268"/>
      <c r="AS25" s="268"/>
      <c r="AT25" s="268"/>
      <c r="AU25" s="267">
        <f t="shared" si="17"/>
        <v>690.68499999999995</v>
      </c>
      <c r="AV25" s="268">
        <v>690.68499999999995</v>
      </c>
      <c r="AW25" s="268"/>
      <c r="AX25" s="268"/>
      <c r="AY25" s="268"/>
    </row>
    <row r="26" spans="1:51" s="274" customFormat="1" ht="32.25" customHeight="1">
      <c r="A26" s="272">
        <v>19</v>
      </c>
      <c r="B26" s="266" t="s">
        <v>1505</v>
      </c>
      <c r="C26" s="258">
        <f t="shared" si="2"/>
        <v>4035.6040000000003</v>
      </c>
      <c r="D26" s="258">
        <f t="shared" si="18"/>
        <v>0</v>
      </c>
      <c r="E26" s="258">
        <f t="shared" si="4"/>
        <v>4035.6040000000003</v>
      </c>
      <c r="F26" s="258">
        <f t="shared" si="19"/>
        <v>0</v>
      </c>
      <c r="G26" s="258">
        <f t="shared" si="5"/>
        <v>0</v>
      </c>
      <c r="H26" s="258">
        <f t="shared" si="6"/>
        <v>0</v>
      </c>
      <c r="I26" s="267">
        <f t="shared" si="7"/>
        <v>4035.6040000000003</v>
      </c>
      <c r="J26" s="268">
        <f t="shared" si="8"/>
        <v>4035.6040000000003</v>
      </c>
      <c r="K26" s="268">
        <f t="shared" si="9"/>
        <v>0</v>
      </c>
      <c r="L26" s="267">
        <f t="shared" si="10"/>
        <v>547.57000000000005</v>
      </c>
      <c r="M26" s="268">
        <v>547.57000000000005</v>
      </c>
      <c r="N26" s="268"/>
      <c r="O26" s="268"/>
      <c r="P26" s="268"/>
      <c r="Q26" s="267">
        <f t="shared" si="11"/>
        <v>596.64</v>
      </c>
      <c r="R26" s="268">
        <v>596.64</v>
      </c>
      <c r="S26" s="268"/>
      <c r="T26" s="268"/>
      <c r="U26" s="268"/>
      <c r="V26" s="267">
        <f t="shared" si="12"/>
        <v>325.67</v>
      </c>
      <c r="W26" s="268">
        <v>325.67</v>
      </c>
      <c r="X26" s="267"/>
      <c r="Y26" s="267"/>
      <c r="Z26" s="267"/>
      <c r="AA26" s="267">
        <f t="shared" si="13"/>
        <v>461.94</v>
      </c>
      <c r="AB26" s="268">
        <v>461.94</v>
      </c>
      <c r="AC26" s="268"/>
      <c r="AD26" s="268"/>
      <c r="AE26" s="268"/>
      <c r="AF26" s="267">
        <f t="shared" si="14"/>
        <v>756.88400000000001</v>
      </c>
      <c r="AG26" s="268">
        <v>756.88400000000001</v>
      </c>
      <c r="AH26" s="268"/>
      <c r="AI26" s="268"/>
      <c r="AJ26" s="268"/>
      <c r="AK26" s="267">
        <f t="shared" si="15"/>
        <v>123.4</v>
      </c>
      <c r="AL26" s="268">
        <v>123.4</v>
      </c>
      <c r="AM26" s="268"/>
      <c r="AN26" s="268"/>
      <c r="AO26" s="268"/>
      <c r="AP26" s="267">
        <f t="shared" si="16"/>
        <v>471.84</v>
      </c>
      <c r="AQ26" s="268">
        <v>471.84</v>
      </c>
      <c r="AR26" s="268"/>
      <c r="AS26" s="268"/>
      <c r="AT26" s="268"/>
      <c r="AU26" s="267">
        <f t="shared" si="17"/>
        <v>751.66</v>
      </c>
      <c r="AV26" s="268">
        <v>751.66</v>
      </c>
      <c r="AW26" s="268"/>
      <c r="AX26" s="268"/>
      <c r="AY26" s="268"/>
    </row>
    <row r="27" spans="1:51" s="274" customFormat="1" ht="29.25" customHeight="1">
      <c r="A27" s="272">
        <v>21</v>
      </c>
      <c r="B27" s="266" t="s">
        <v>1506</v>
      </c>
      <c r="C27" s="258">
        <f t="shared" si="2"/>
        <v>664.70899999999995</v>
      </c>
      <c r="D27" s="258">
        <f t="shared" si="18"/>
        <v>0</v>
      </c>
      <c r="E27" s="258">
        <f t="shared" si="4"/>
        <v>664.70899999999995</v>
      </c>
      <c r="F27" s="258">
        <f t="shared" si="19"/>
        <v>0</v>
      </c>
      <c r="G27" s="258">
        <f t="shared" si="5"/>
        <v>0</v>
      </c>
      <c r="H27" s="258">
        <f t="shared" si="6"/>
        <v>0</v>
      </c>
      <c r="I27" s="267">
        <f t="shared" si="7"/>
        <v>664.70899999999995</v>
      </c>
      <c r="J27" s="268">
        <f t="shared" si="8"/>
        <v>664.70899999999995</v>
      </c>
      <c r="K27" s="268">
        <f t="shared" si="9"/>
        <v>0</v>
      </c>
      <c r="L27" s="267">
        <f t="shared" si="10"/>
        <v>119.29</v>
      </c>
      <c r="M27" s="268">
        <v>119.29</v>
      </c>
      <c r="N27" s="268"/>
      <c r="O27" s="268"/>
      <c r="P27" s="268"/>
      <c r="Q27" s="267">
        <f t="shared" si="11"/>
        <v>180.279</v>
      </c>
      <c r="R27" s="268">
        <v>180.279</v>
      </c>
      <c r="S27" s="268"/>
      <c r="T27" s="268"/>
      <c r="U27" s="268"/>
      <c r="V27" s="267">
        <f t="shared" si="12"/>
        <v>145.21</v>
      </c>
      <c r="W27" s="268">
        <v>145.21</v>
      </c>
      <c r="X27" s="267"/>
      <c r="Y27" s="267"/>
      <c r="Z27" s="267"/>
      <c r="AA27" s="267">
        <f t="shared" si="13"/>
        <v>56.265000000000001</v>
      </c>
      <c r="AB27" s="268">
        <v>56.265000000000001</v>
      </c>
      <c r="AC27" s="268"/>
      <c r="AD27" s="268"/>
      <c r="AE27" s="268"/>
      <c r="AF27" s="267">
        <f t="shared" si="14"/>
        <v>43.685000000000002</v>
      </c>
      <c r="AG27" s="268">
        <v>43.685000000000002</v>
      </c>
      <c r="AH27" s="268"/>
      <c r="AI27" s="268"/>
      <c r="AJ27" s="268"/>
      <c r="AK27" s="267">
        <f t="shared" si="15"/>
        <v>0</v>
      </c>
      <c r="AL27" s="268"/>
      <c r="AM27" s="268"/>
      <c r="AN27" s="268"/>
      <c r="AO27" s="268"/>
      <c r="AP27" s="267">
        <f t="shared" si="16"/>
        <v>102.137</v>
      </c>
      <c r="AQ27" s="268">
        <v>102.137</v>
      </c>
      <c r="AR27" s="268"/>
      <c r="AS27" s="268"/>
      <c r="AT27" s="268"/>
      <c r="AU27" s="267">
        <f t="shared" si="17"/>
        <v>17.843</v>
      </c>
      <c r="AV27" s="268">
        <v>17.843</v>
      </c>
      <c r="AW27" s="268"/>
      <c r="AX27" s="268"/>
      <c r="AY27" s="268"/>
    </row>
    <row r="28" spans="1:51" s="274" customFormat="1" ht="27" customHeight="1">
      <c r="A28" s="272">
        <v>22</v>
      </c>
      <c r="B28" s="1148" t="s">
        <v>1507</v>
      </c>
      <c r="C28" s="258">
        <f t="shared" si="2"/>
        <v>820</v>
      </c>
      <c r="D28" s="258">
        <f t="shared" si="18"/>
        <v>0</v>
      </c>
      <c r="E28" s="258">
        <f t="shared" si="4"/>
        <v>785</v>
      </c>
      <c r="F28" s="258">
        <f t="shared" si="19"/>
        <v>0</v>
      </c>
      <c r="G28" s="258">
        <f t="shared" si="5"/>
        <v>35</v>
      </c>
      <c r="H28" s="258">
        <f t="shared" si="6"/>
        <v>0</v>
      </c>
      <c r="I28" s="267">
        <f t="shared" si="7"/>
        <v>820</v>
      </c>
      <c r="J28" s="268">
        <f t="shared" si="8"/>
        <v>785</v>
      </c>
      <c r="K28" s="268">
        <f t="shared" si="9"/>
        <v>35</v>
      </c>
      <c r="L28" s="267">
        <f t="shared" si="10"/>
        <v>185</v>
      </c>
      <c r="M28" s="281">
        <v>185</v>
      </c>
      <c r="N28" s="281"/>
      <c r="O28" s="281"/>
      <c r="P28" s="281"/>
      <c r="Q28" s="267">
        <f t="shared" si="11"/>
        <v>185</v>
      </c>
      <c r="R28" s="281">
        <v>170</v>
      </c>
      <c r="S28" s="281"/>
      <c r="T28" s="281">
        <v>15</v>
      </c>
      <c r="U28" s="281"/>
      <c r="V28" s="267">
        <f t="shared" si="12"/>
        <v>185</v>
      </c>
      <c r="W28" s="281">
        <v>165</v>
      </c>
      <c r="X28" s="282"/>
      <c r="Y28" s="282">
        <v>20</v>
      </c>
      <c r="Z28" s="282"/>
      <c r="AA28" s="267">
        <f t="shared" si="13"/>
        <v>0</v>
      </c>
      <c r="AB28" s="281"/>
      <c r="AC28" s="281"/>
      <c r="AD28" s="281"/>
      <c r="AE28" s="281"/>
      <c r="AF28" s="267">
        <f t="shared" si="14"/>
        <v>0</v>
      </c>
      <c r="AG28" s="268"/>
      <c r="AH28" s="268"/>
      <c r="AI28" s="268"/>
      <c r="AJ28" s="268"/>
      <c r="AK28" s="267">
        <f t="shared" si="15"/>
        <v>0</v>
      </c>
      <c r="AL28" s="268"/>
      <c r="AM28" s="268"/>
      <c r="AN28" s="268"/>
      <c r="AO28" s="268"/>
      <c r="AP28" s="267">
        <f t="shared" si="16"/>
        <v>80</v>
      </c>
      <c r="AQ28" s="268">
        <v>80</v>
      </c>
      <c r="AR28" s="268"/>
      <c r="AS28" s="268"/>
      <c r="AT28" s="268"/>
      <c r="AU28" s="267">
        <f t="shared" si="17"/>
        <v>185</v>
      </c>
      <c r="AV28" s="268">
        <v>185</v>
      </c>
      <c r="AW28" s="268"/>
      <c r="AX28" s="268"/>
      <c r="AY28" s="268"/>
    </row>
    <row r="29" spans="1:51" s="274" customFormat="1" ht="30" customHeight="1">
      <c r="A29" s="272">
        <v>23</v>
      </c>
      <c r="B29" s="266" t="s">
        <v>1508</v>
      </c>
      <c r="C29" s="258">
        <f t="shared" si="2"/>
        <v>3022.5428139999999</v>
      </c>
      <c r="D29" s="258">
        <f t="shared" si="18"/>
        <v>0</v>
      </c>
      <c r="E29" s="258">
        <f t="shared" si="4"/>
        <v>1157.908909</v>
      </c>
      <c r="F29" s="258">
        <f t="shared" si="19"/>
        <v>0</v>
      </c>
      <c r="G29" s="258">
        <f t="shared" si="5"/>
        <v>1864.6339049999999</v>
      </c>
      <c r="H29" s="258">
        <f t="shared" si="6"/>
        <v>0</v>
      </c>
      <c r="I29" s="267">
        <f t="shared" si="7"/>
        <v>3022.5428139999999</v>
      </c>
      <c r="J29" s="268">
        <f t="shared" si="8"/>
        <v>1157.908909</v>
      </c>
      <c r="K29" s="268">
        <f t="shared" si="9"/>
        <v>1864.6339049999999</v>
      </c>
      <c r="L29" s="267">
        <f t="shared" si="10"/>
        <v>374.14</v>
      </c>
      <c r="M29" s="268"/>
      <c r="N29" s="268"/>
      <c r="O29" s="268">
        <v>374.14</v>
      </c>
      <c r="P29" s="268"/>
      <c r="Q29" s="267">
        <f t="shared" si="11"/>
        <v>64.346999999999994</v>
      </c>
      <c r="R29" s="268"/>
      <c r="S29" s="268"/>
      <c r="T29" s="268">
        <v>64.346999999999994</v>
      </c>
      <c r="U29" s="268"/>
      <c r="V29" s="267">
        <f t="shared" si="12"/>
        <v>215.75</v>
      </c>
      <c r="W29" s="268"/>
      <c r="X29" s="267"/>
      <c r="Y29" s="267">
        <v>215.75</v>
      </c>
      <c r="Z29" s="267"/>
      <c r="AA29" s="267">
        <f t="shared" si="13"/>
        <v>366.89741400000003</v>
      </c>
      <c r="AB29" s="268">
        <f>128680509/1000000</f>
        <v>128.680509</v>
      </c>
      <c r="AC29" s="268"/>
      <c r="AD29" s="268">
        <f>238216905/1000000</f>
        <v>238.216905</v>
      </c>
      <c r="AE29" s="268"/>
      <c r="AF29" s="267">
        <f t="shared" si="14"/>
        <v>1202.242</v>
      </c>
      <c r="AG29" s="268">
        <v>395.86200000000002</v>
      </c>
      <c r="AH29" s="268"/>
      <c r="AI29" s="268">
        <v>806.38</v>
      </c>
      <c r="AJ29" s="268"/>
      <c r="AK29" s="267">
        <f t="shared" si="15"/>
        <v>165.8</v>
      </c>
      <c r="AL29" s="268"/>
      <c r="AM29" s="268"/>
      <c r="AN29" s="268">
        <v>165.8</v>
      </c>
      <c r="AO29" s="268"/>
      <c r="AP29" s="267">
        <f t="shared" si="16"/>
        <v>470.14940000000001</v>
      </c>
      <c r="AQ29" s="268">
        <v>470.14940000000001</v>
      </c>
      <c r="AR29" s="268"/>
      <c r="AS29" s="268"/>
      <c r="AT29" s="268"/>
      <c r="AU29" s="267">
        <f t="shared" si="17"/>
        <v>163.21700000000001</v>
      </c>
      <c r="AV29" s="268">
        <v>163.21700000000001</v>
      </c>
      <c r="AW29" s="268"/>
      <c r="AX29" s="268"/>
      <c r="AY29" s="268"/>
    </row>
    <row r="30" spans="1:51" s="274" customFormat="1" ht="27" customHeight="1">
      <c r="A30" s="272"/>
      <c r="B30" s="266" t="s">
        <v>1509</v>
      </c>
      <c r="C30" s="258">
        <f t="shared" si="2"/>
        <v>2248</v>
      </c>
      <c r="D30" s="258">
        <f t="shared" si="18"/>
        <v>0</v>
      </c>
      <c r="E30" s="258">
        <f t="shared" si="4"/>
        <v>294</v>
      </c>
      <c r="F30" s="258">
        <f t="shared" si="19"/>
        <v>0</v>
      </c>
      <c r="G30" s="258">
        <f t="shared" si="5"/>
        <v>1954</v>
      </c>
      <c r="H30" s="258">
        <f t="shared" si="6"/>
        <v>0</v>
      </c>
      <c r="I30" s="267">
        <f t="shared" si="7"/>
        <v>2248</v>
      </c>
      <c r="J30" s="268">
        <f t="shared" si="8"/>
        <v>294</v>
      </c>
      <c r="K30" s="268">
        <f t="shared" si="9"/>
        <v>1954</v>
      </c>
      <c r="L30" s="267">
        <f t="shared" si="10"/>
        <v>170</v>
      </c>
      <c r="M30" s="268"/>
      <c r="N30" s="268"/>
      <c r="O30" s="268">
        <v>170</v>
      </c>
      <c r="P30" s="268"/>
      <c r="Q30" s="267">
        <f t="shared" si="11"/>
        <v>314</v>
      </c>
      <c r="R30" s="283"/>
      <c r="S30" s="268"/>
      <c r="T30" s="268">
        <v>314</v>
      </c>
      <c r="U30" s="268"/>
      <c r="V30" s="267">
        <f t="shared" si="12"/>
        <v>366</v>
      </c>
      <c r="W30" s="268"/>
      <c r="X30" s="267"/>
      <c r="Y30" s="267">
        <v>366</v>
      </c>
      <c r="Z30" s="267"/>
      <c r="AA30" s="267">
        <f t="shared" si="13"/>
        <v>156</v>
      </c>
      <c r="AB30" s="268"/>
      <c r="AC30" s="268"/>
      <c r="AD30" s="268">
        <v>156</v>
      </c>
      <c r="AE30" s="268"/>
      <c r="AF30" s="267">
        <f t="shared" si="14"/>
        <v>666</v>
      </c>
      <c r="AG30" s="268"/>
      <c r="AH30" s="268"/>
      <c r="AI30" s="268">
        <v>666</v>
      </c>
      <c r="AJ30" s="268"/>
      <c r="AK30" s="267">
        <f t="shared" si="15"/>
        <v>0</v>
      </c>
      <c r="AL30" s="268"/>
      <c r="AM30" s="268"/>
      <c r="AN30" s="268"/>
      <c r="AO30" s="268"/>
      <c r="AP30" s="267">
        <f t="shared" si="16"/>
        <v>282</v>
      </c>
      <c r="AQ30" s="268"/>
      <c r="AR30" s="268"/>
      <c r="AS30" s="268">
        <v>282</v>
      </c>
      <c r="AT30" s="268"/>
      <c r="AU30" s="267">
        <f t="shared" si="17"/>
        <v>294</v>
      </c>
      <c r="AV30" s="268">
        <v>294</v>
      </c>
      <c r="AW30" s="268"/>
      <c r="AX30" s="268"/>
      <c r="AY30" s="268"/>
    </row>
    <row r="31" spans="1:51" s="274" customFormat="1" ht="28.5" customHeight="1">
      <c r="A31" s="272">
        <v>28</v>
      </c>
      <c r="B31" s="266" t="s">
        <v>1510</v>
      </c>
      <c r="C31" s="258">
        <f t="shared" si="2"/>
        <v>7.4</v>
      </c>
      <c r="D31" s="258">
        <f t="shared" si="18"/>
        <v>0</v>
      </c>
      <c r="E31" s="258">
        <f t="shared" si="4"/>
        <v>7.4</v>
      </c>
      <c r="F31" s="258">
        <f t="shared" si="19"/>
        <v>0</v>
      </c>
      <c r="G31" s="258">
        <f t="shared" si="5"/>
        <v>0</v>
      </c>
      <c r="H31" s="258">
        <f t="shared" si="6"/>
        <v>0</v>
      </c>
      <c r="I31" s="267">
        <f t="shared" si="7"/>
        <v>7.4</v>
      </c>
      <c r="J31" s="268">
        <f t="shared" si="8"/>
        <v>7.4</v>
      </c>
      <c r="K31" s="268">
        <f t="shared" si="9"/>
        <v>0</v>
      </c>
      <c r="L31" s="267">
        <f t="shared" si="10"/>
        <v>7.4</v>
      </c>
      <c r="M31" s="268">
        <v>7.4</v>
      </c>
      <c r="N31" s="268"/>
      <c r="O31" s="268"/>
      <c r="P31" s="268"/>
      <c r="Q31" s="267">
        <f t="shared" si="11"/>
        <v>0</v>
      </c>
      <c r="R31" s="268"/>
      <c r="S31" s="268"/>
      <c r="T31" s="268"/>
      <c r="U31" s="268"/>
      <c r="V31" s="267">
        <f t="shared" si="12"/>
        <v>0</v>
      </c>
      <c r="W31" s="268"/>
      <c r="X31" s="267"/>
      <c r="Y31" s="267"/>
      <c r="Z31" s="267"/>
      <c r="AA31" s="267">
        <f t="shared" si="13"/>
        <v>0</v>
      </c>
      <c r="AB31" s="268"/>
      <c r="AC31" s="268"/>
      <c r="AD31" s="268"/>
      <c r="AE31" s="268"/>
      <c r="AF31" s="267">
        <f t="shared" si="14"/>
        <v>0</v>
      </c>
      <c r="AG31" s="268"/>
      <c r="AH31" s="268"/>
      <c r="AI31" s="268"/>
      <c r="AJ31" s="268"/>
      <c r="AK31" s="267">
        <f t="shared" si="15"/>
        <v>0</v>
      </c>
      <c r="AL31" s="268"/>
      <c r="AM31" s="268"/>
      <c r="AN31" s="268"/>
      <c r="AO31" s="268"/>
      <c r="AP31" s="267">
        <f t="shared" si="16"/>
        <v>0</v>
      </c>
      <c r="AQ31" s="268"/>
      <c r="AR31" s="268"/>
      <c r="AS31" s="268"/>
      <c r="AT31" s="268"/>
      <c r="AU31" s="267">
        <f t="shared" si="17"/>
        <v>0</v>
      </c>
      <c r="AV31" s="268"/>
      <c r="AW31" s="268"/>
      <c r="AX31" s="268"/>
      <c r="AY31" s="268"/>
    </row>
    <row r="32" spans="1:51" s="274" customFormat="1" ht="33" customHeight="1">
      <c r="A32" s="272">
        <v>31</v>
      </c>
      <c r="B32" s="266" t="s">
        <v>1511</v>
      </c>
      <c r="C32" s="258">
        <f t="shared" si="2"/>
        <v>642.96</v>
      </c>
      <c r="D32" s="258">
        <f t="shared" si="18"/>
        <v>0</v>
      </c>
      <c r="E32" s="258">
        <f t="shared" si="4"/>
        <v>642.96</v>
      </c>
      <c r="F32" s="258">
        <f t="shared" si="19"/>
        <v>0</v>
      </c>
      <c r="G32" s="258">
        <f t="shared" si="5"/>
        <v>0</v>
      </c>
      <c r="H32" s="258">
        <f t="shared" si="6"/>
        <v>0</v>
      </c>
      <c r="I32" s="267">
        <f t="shared" si="7"/>
        <v>642.96</v>
      </c>
      <c r="J32" s="268">
        <f t="shared" si="8"/>
        <v>642.96</v>
      </c>
      <c r="K32" s="268">
        <f t="shared" si="9"/>
        <v>0</v>
      </c>
      <c r="L32" s="267">
        <f t="shared" si="10"/>
        <v>282.95999999999998</v>
      </c>
      <c r="M32" s="268">
        <v>282.95999999999998</v>
      </c>
      <c r="N32" s="268"/>
      <c r="O32" s="268"/>
      <c r="P32" s="268"/>
      <c r="Q32" s="267">
        <f t="shared" si="11"/>
        <v>360</v>
      </c>
      <c r="R32" s="268">
        <v>360</v>
      </c>
      <c r="S32" s="268"/>
      <c r="T32" s="268"/>
      <c r="U32" s="268"/>
      <c r="V32" s="267">
        <f t="shared" si="12"/>
        <v>0</v>
      </c>
      <c r="W32" s="268"/>
      <c r="X32" s="267"/>
      <c r="Y32" s="267"/>
      <c r="Z32" s="267"/>
      <c r="AA32" s="267">
        <f t="shared" si="13"/>
        <v>0</v>
      </c>
      <c r="AB32" s="268"/>
      <c r="AC32" s="268"/>
      <c r="AD32" s="268"/>
      <c r="AE32" s="268"/>
      <c r="AF32" s="267">
        <f t="shared" si="14"/>
        <v>0</v>
      </c>
      <c r="AG32" s="268"/>
      <c r="AH32" s="268"/>
      <c r="AI32" s="268"/>
      <c r="AJ32" s="268"/>
      <c r="AK32" s="267">
        <f t="shared" si="15"/>
        <v>0</v>
      </c>
      <c r="AL32" s="268"/>
      <c r="AM32" s="268"/>
      <c r="AN32" s="268"/>
      <c r="AO32" s="268"/>
      <c r="AP32" s="267">
        <f t="shared" si="16"/>
        <v>0</v>
      </c>
      <c r="AQ32" s="268"/>
      <c r="AR32" s="268"/>
      <c r="AS32" s="268"/>
      <c r="AT32" s="268"/>
      <c r="AU32" s="267">
        <f t="shared" si="17"/>
        <v>0</v>
      </c>
      <c r="AV32" s="268"/>
      <c r="AW32" s="268"/>
      <c r="AX32" s="268"/>
      <c r="AY32" s="268"/>
    </row>
    <row r="33" spans="1:51" s="274" customFormat="1" ht="21.75" customHeight="1">
      <c r="A33" s="272">
        <v>32</v>
      </c>
      <c r="B33" s="266" t="s">
        <v>1512</v>
      </c>
      <c r="C33" s="258">
        <f t="shared" si="2"/>
        <v>227.71899999999999</v>
      </c>
      <c r="D33" s="258">
        <f t="shared" si="18"/>
        <v>0</v>
      </c>
      <c r="E33" s="258">
        <f t="shared" si="4"/>
        <v>104.1</v>
      </c>
      <c r="F33" s="258">
        <f t="shared" si="19"/>
        <v>0</v>
      </c>
      <c r="G33" s="258">
        <f t="shared" si="5"/>
        <v>123.619</v>
      </c>
      <c r="H33" s="258">
        <f t="shared" si="6"/>
        <v>0</v>
      </c>
      <c r="I33" s="267">
        <f t="shared" si="7"/>
        <v>227.71899999999999</v>
      </c>
      <c r="J33" s="268">
        <f t="shared" si="8"/>
        <v>104.1</v>
      </c>
      <c r="K33" s="268">
        <f t="shared" si="9"/>
        <v>123.619</v>
      </c>
      <c r="L33" s="267">
        <f t="shared" si="10"/>
        <v>31.21</v>
      </c>
      <c r="M33" s="268"/>
      <c r="N33" s="268"/>
      <c r="O33" s="268">
        <v>31.21</v>
      </c>
      <c r="P33" s="268"/>
      <c r="Q33" s="267">
        <f t="shared" si="11"/>
        <v>92.409000000000006</v>
      </c>
      <c r="R33" s="268"/>
      <c r="S33" s="268"/>
      <c r="T33" s="268">
        <v>92.409000000000006</v>
      </c>
      <c r="U33" s="268"/>
      <c r="V33" s="267">
        <f t="shared" si="12"/>
        <v>0</v>
      </c>
      <c r="W33" s="268"/>
      <c r="X33" s="267"/>
      <c r="Y33" s="267"/>
      <c r="Z33" s="267"/>
      <c r="AA33" s="267">
        <f t="shared" si="13"/>
        <v>0</v>
      </c>
      <c r="AB33" s="268"/>
      <c r="AC33" s="268"/>
      <c r="AD33" s="268"/>
      <c r="AE33" s="268"/>
      <c r="AF33" s="267">
        <f t="shared" si="14"/>
        <v>0</v>
      </c>
      <c r="AG33" s="268"/>
      <c r="AH33" s="268"/>
      <c r="AI33" s="268"/>
      <c r="AJ33" s="268"/>
      <c r="AK33" s="267">
        <f t="shared" si="15"/>
        <v>104.1</v>
      </c>
      <c r="AL33" s="268">
        <v>104.1</v>
      </c>
      <c r="AM33" s="268"/>
      <c r="AN33" s="268"/>
      <c r="AO33" s="268"/>
      <c r="AP33" s="267">
        <f t="shared" si="16"/>
        <v>0</v>
      </c>
      <c r="AQ33" s="268"/>
      <c r="AR33" s="268"/>
      <c r="AS33" s="268"/>
      <c r="AT33" s="268"/>
      <c r="AU33" s="267">
        <f t="shared" si="17"/>
        <v>0</v>
      </c>
      <c r="AV33" s="268"/>
      <c r="AW33" s="268"/>
      <c r="AX33" s="268"/>
      <c r="AY33" s="268"/>
    </row>
    <row r="34" spans="1:51" s="274" customFormat="1" ht="32.25" customHeight="1">
      <c r="A34" s="272">
        <v>33</v>
      </c>
      <c r="B34" s="266" t="s">
        <v>1490</v>
      </c>
      <c r="C34" s="258">
        <f t="shared" si="2"/>
        <v>1072.981</v>
      </c>
      <c r="D34" s="258">
        <f t="shared" si="18"/>
        <v>0</v>
      </c>
      <c r="E34" s="258">
        <f t="shared" si="4"/>
        <v>838.22399999999993</v>
      </c>
      <c r="F34" s="258">
        <f t="shared" si="19"/>
        <v>0</v>
      </c>
      <c r="G34" s="258">
        <f t="shared" si="5"/>
        <v>234.75700000000001</v>
      </c>
      <c r="H34" s="258">
        <f t="shared" si="6"/>
        <v>0</v>
      </c>
      <c r="I34" s="267">
        <f t="shared" si="7"/>
        <v>1072.981</v>
      </c>
      <c r="J34" s="268">
        <f t="shared" si="8"/>
        <v>838.22399999999993</v>
      </c>
      <c r="K34" s="268">
        <f t="shared" si="9"/>
        <v>234.75700000000001</v>
      </c>
      <c r="L34" s="267">
        <f t="shared" si="10"/>
        <v>0</v>
      </c>
      <c r="M34" s="268"/>
      <c r="N34" s="268"/>
      <c r="O34" s="268"/>
      <c r="P34" s="268"/>
      <c r="Q34" s="267">
        <f t="shared" si="11"/>
        <v>210.304</v>
      </c>
      <c r="R34" s="268">
        <v>210.304</v>
      </c>
      <c r="S34" s="268"/>
      <c r="T34" s="268"/>
      <c r="U34" s="268"/>
      <c r="V34" s="267">
        <f t="shared" si="12"/>
        <v>0</v>
      </c>
      <c r="W34" s="268"/>
      <c r="X34" s="267"/>
      <c r="Y34" s="267"/>
      <c r="Z34" s="267"/>
      <c r="AA34" s="267">
        <f t="shared" si="13"/>
        <v>15.212999999999999</v>
      </c>
      <c r="AB34" s="268">
        <v>15.212999999999999</v>
      </c>
      <c r="AC34" s="268"/>
      <c r="AD34" s="268"/>
      <c r="AE34" s="268"/>
      <c r="AF34" s="267">
        <f t="shared" si="14"/>
        <v>291.55200000000002</v>
      </c>
      <c r="AG34" s="268">
        <v>60</v>
      </c>
      <c r="AH34" s="268"/>
      <c r="AI34" s="268">
        <v>231.55199999999999</v>
      </c>
      <c r="AJ34" s="268"/>
      <c r="AK34" s="267">
        <f t="shared" si="15"/>
        <v>296.7</v>
      </c>
      <c r="AL34" s="268">
        <v>296.7</v>
      </c>
      <c r="AM34" s="268"/>
      <c r="AN34" s="268"/>
      <c r="AO34" s="268"/>
      <c r="AP34" s="267">
        <f t="shared" si="16"/>
        <v>0</v>
      </c>
      <c r="AQ34" s="268"/>
      <c r="AR34" s="268"/>
      <c r="AS34" s="268"/>
      <c r="AT34" s="268"/>
      <c r="AU34" s="267">
        <f t="shared" si="17"/>
        <v>259.21199999999999</v>
      </c>
      <c r="AV34" s="268">
        <v>256.00700000000001</v>
      </c>
      <c r="AW34" s="268"/>
      <c r="AX34" s="268">
        <v>3.2050000000000001</v>
      </c>
      <c r="AY34" s="268"/>
    </row>
    <row r="35" spans="1:51" s="274" customFormat="1" ht="24" customHeight="1">
      <c r="A35" s="272">
        <v>38</v>
      </c>
      <c r="B35" s="266" t="s">
        <v>1513</v>
      </c>
      <c r="C35" s="258">
        <f t="shared" si="2"/>
        <v>889.33299999999997</v>
      </c>
      <c r="D35" s="258">
        <f t="shared" si="18"/>
        <v>0</v>
      </c>
      <c r="E35" s="258">
        <f t="shared" si="4"/>
        <v>597.08999999999992</v>
      </c>
      <c r="F35" s="258">
        <f t="shared" si="19"/>
        <v>0</v>
      </c>
      <c r="G35" s="258">
        <f t="shared" si="5"/>
        <v>292.24299999999999</v>
      </c>
      <c r="H35" s="258">
        <f t="shared" si="6"/>
        <v>0</v>
      </c>
      <c r="I35" s="267">
        <f t="shared" si="7"/>
        <v>889.33299999999986</v>
      </c>
      <c r="J35" s="268">
        <f t="shared" si="8"/>
        <v>597.08999999999992</v>
      </c>
      <c r="K35" s="268">
        <f t="shared" si="9"/>
        <v>292.24299999999999</v>
      </c>
      <c r="L35" s="267">
        <f t="shared" si="10"/>
        <v>224.97</v>
      </c>
      <c r="M35" s="268">
        <v>224.97</v>
      </c>
      <c r="N35" s="268"/>
      <c r="O35" s="268"/>
      <c r="P35" s="268"/>
      <c r="Q35" s="267">
        <f t="shared" si="11"/>
        <v>169.06399999999999</v>
      </c>
      <c r="R35" s="268">
        <v>169.06399999999999</v>
      </c>
      <c r="S35" s="268"/>
      <c r="T35" s="268"/>
      <c r="U35" s="268"/>
      <c r="V35" s="267">
        <f t="shared" si="12"/>
        <v>16.041</v>
      </c>
      <c r="W35" s="268">
        <v>0.17100000000000115</v>
      </c>
      <c r="X35" s="267"/>
      <c r="Y35" s="267">
        <v>15.87</v>
      </c>
      <c r="Z35" s="267"/>
      <c r="AA35" s="267">
        <f t="shared" si="13"/>
        <v>276.37299999999999</v>
      </c>
      <c r="AB35" s="268"/>
      <c r="AC35" s="268"/>
      <c r="AD35" s="268">
        <v>276.37299999999999</v>
      </c>
      <c r="AE35" s="268"/>
      <c r="AF35" s="267">
        <f t="shared" si="14"/>
        <v>0</v>
      </c>
      <c r="AG35" s="268"/>
      <c r="AH35" s="268"/>
      <c r="AI35" s="268"/>
      <c r="AJ35" s="268"/>
      <c r="AK35" s="267">
        <f t="shared" si="15"/>
        <v>0</v>
      </c>
      <c r="AL35" s="268"/>
      <c r="AM35" s="268"/>
      <c r="AN35" s="268"/>
      <c r="AO35" s="268"/>
      <c r="AP35" s="267">
        <f t="shared" si="16"/>
        <v>0</v>
      </c>
      <c r="AQ35" s="268"/>
      <c r="AR35" s="268"/>
      <c r="AS35" s="268"/>
      <c r="AT35" s="268"/>
      <c r="AU35" s="267">
        <f t="shared" si="17"/>
        <v>202.88499999999999</v>
      </c>
      <c r="AV35" s="268">
        <v>202.88499999999999</v>
      </c>
      <c r="AW35" s="268"/>
      <c r="AX35" s="268"/>
      <c r="AY35" s="268"/>
    </row>
    <row r="36" spans="1:51" s="274" customFormat="1" ht="30.75" customHeight="1">
      <c r="A36" s="272">
        <v>36</v>
      </c>
      <c r="B36" s="266" t="s">
        <v>1514</v>
      </c>
      <c r="C36" s="258">
        <f t="shared" si="2"/>
        <v>10</v>
      </c>
      <c r="D36" s="258">
        <f t="shared" si="18"/>
        <v>0</v>
      </c>
      <c r="E36" s="258">
        <f t="shared" si="4"/>
        <v>10</v>
      </c>
      <c r="F36" s="258">
        <f t="shared" si="19"/>
        <v>0</v>
      </c>
      <c r="G36" s="258">
        <f t="shared" si="5"/>
        <v>0</v>
      </c>
      <c r="H36" s="258">
        <f t="shared" si="6"/>
        <v>0</v>
      </c>
      <c r="I36" s="267">
        <f t="shared" si="7"/>
        <v>10</v>
      </c>
      <c r="J36" s="268">
        <f t="shared" si="8"/>
        <v>10</v>
      </c>
      <c r="K36" s="268">
        <f t="shared" si="9"/>
        <v>0</v>
      </c>
      <c r="L36" s="267">
        <f t="shared" si="10"/>
        <v>0</v>
      </c>
      <c r="M36" s="268"/>
      <c r="N36" s="268"/>
      <c r="O36" s="268"/>
      <c r="P36" s="268"/>
      <c r="Q36" s="267">
        <f t="shared" si="11"/>
        <v>0</v>
      </c>
      <c r="R36" s="268"/>
      <c r="S36" s="268"/>
      <c r="T36" s="268"/>
      <c r="U36" s="268"/>
      <c r="V36" s="267">
        <f t="shared" si="12"/>
        <v>10</v>
      </c>
      <c r="W36" s="268">
        <v>10</v>
      </c>
      <c r="X36" s="267"/>
      <c r="Y36" s="267"/>
      <c r="Z36" s="267"/>
      <c r="AA36" s="267">
        <f t="shared" si="13"/>
        <v>0</v>
      </c>
      <c r="AB36" s="268"/>
      <c r="AC36" s="268"/>
      <c r="AD36" s="268"/>
      <c r="AE36" s="268"/>
      <c r="AF36" s="267">
        <f t="shared" si="14"/>
        <v>0</v>
      </c>
      <c r="AG36" s="268"/>
      <c r="AH36" s="268"/>
      <c r="AI36" s="268"/>
      <c r="AJ36" s="268"/>
      <c r="AK36" s="267">
        <f t="shared" si="15"/>
        <v>0</v>
      </c>
      <c r="AL36" s="268"/>
      <c r="AM36" s="268"/>
      <c r="AN36" s="268"/>
      <c r="AO36" s="268"/>
      <c r="AP36" s="267">
        <f t="shared" si="16"/>
        <v>0</v>
      </c>
      <c r="AQ36" s="268"/>
      <c r="AR36" s="268"/>
      <c r="AS36" s="268"/>
      <c r="AT36" s="268"/>
      <c r="AU36" s="267">
        <f t="shared" si="17"/>
        <v>0</v>
      </c>
      <c r="AV36" s="268"/>
      <c r="AW36" s="268"/>
      <c r="AX36" s="268"/>
      <c r="AY36" s="268"/>
    </row>
    <row r="37" spans="1:51" s="274" customFormat="1" ht="30" customHeight="1">
      <c r="A37" s="284">
        <v>42</v>
      </c>
      <c r="B37" s="285" t="s">
        <v>1515</v>
      </c>
      <c r="C37" s="258">
        <f t="shared" si="2"/>
        <v>53</v>
      </c>
      <c r="D37" s="258">
        <f t="shared" si="18"/>
        <v>0</v>
      </c>
      <c r="E37" s="258">
        <f t="shared" si="4"/>
        <v>53</v>
      </c>
      <c r="F37" s="258">
        <f t="shared" si="19"/>
        <v>0</v>
      </c>
      <c r="G37" s="258">
        <f t="shared" si="5"/>
        <v>0</v>
      </c>
      <c r="H37" s="258">
        <f t="shared" si="6"/>
        <v>0</v>
      </c>
      <c r="I37" s="286">
        <f t="shared" si="7"/>
        <v>53</v>
      </c>
      <c r="J37" s="287">
        <f t="shared" si="8"/>
        <v>53</v>
      </c>
      <c r="K37" s="287">
        <f t="shared" si="9"/>
        <v>0</v>
      </c>
      <c r="L37" s="286">
        <f t="shared" si="10"/>
        <v>0</v>
      </c>
      <c r="M37" s="287"/>
      <c r="N37" s="287"/>
      <c r="O37" s="287"/>
      <c r="P37" s="287"/>
      <c r="Q37" s="286">
        <f t="shared" si="11"/>
        <v>13</v>
      </c>
      <c r="R37" s="287">
        <v>13</v>
      </c>
      <c r="S37" s="287"/>
      <c r="T37" s="287"/>
      <c r="U37" s="287"/>
      <c r="V37" s="286">
        <f t="shared" si="12"/>
        <v>9</v>
      </c>
      <c r="W37" s="287">
        <v>9</v>
      </c>
      <c r="X37" s="286"/>
      <c r="Y37" s="286"/>
      <c r="Z37" s="286"/>
      <c r="AA37" s="286">
        <f t="shared" si="13"/>
        <v>0</v>
      </c>
      <c r="AB37" s="287"/>
      <c r="AC37" s="287"/>
      <c r="AD37" s="287"/>
      <c r="AE37" s="287"/>
      <c r="AF37" s="286">
        <f t="shared" si="14"/>
        <v>18</v>
      </c>
      <c r="AG37" s="287">
        <v>18</v>
      </c>
      <c r="AH37" s="287"/>
      <c r="AI37" s="287"/>
      <c r="AJ37" s="287"/>
      <c r="AK37" s="286">
        <f t="shared" si="15"/>
        <v>0</v>
      </c>
      <c r="AL37" s="287"/>
      <c r="AM37" s="287"/>
      <c r="AN37" s="287"/>
      <c r="AO37" s="287"/>
      <c r="AP37" s="286">
        <f t="shared" si="16"/>
        <v>13</v>
      </c>
      <c r="AQ37" s="287">
        <v>13</v>
      </c>
      <c r="AR37" s="287"/>
      <c r="AS37" s="287"/>
      <c r="AT37" s="287"/>
      <c r="AU37" s="286">
        <f t="shared" si="17"/>
        <v>0</v>
      </c>
      <c r="AV37" s="287"/>
      <c r="AW37" s="287"/>
      <c r="AX37" s="287"/>
      <c r="AY37" s="268"/>
    </row>
    <row r="38" spans="1:51" s="271" customFormat="1" ht="20.100000000000001" customHeight="1">
      <c r="B38" s="288"/>
      <c r="I38" s="261"/>
      <c r="J38" s="261"/>
      <c r="K38" s="261"/>
      <c r="X38" s="289"/>
      <c r="Y38" s="289"/>
      <c r="Z38" s="289"/>
    </row>
  </sheetData>
  <autoFilter ref="A8:AY37"/>
  <mergeCells count="32">
    <mergeCell ref="L7:L8"/>
    <mergeCell ref="M7:P7"/>
    <mergeCell ref="Q7:Q8"/>
    <mergeCell ref="R7:U7"/>
    <mergeCell ref="AV7:AY7"/>
    <mergeCell ref="V7:V8"/>
    <mergeCell ref="W7:Z7"/>
    <mergeCell ref="AA7:AA8"/>
    <mergeCell ref="AB7:AD7"/>
    <mergeCell ref="AF7:AF8"/>
    <mergeCell ref="AG7:AI7"/>
    <mergeCell ref="AK7:AK8"/>
    <mergeCell ref="AL7:AO7"/>
    <mergeCell ref="AP7:AP8"/>
    <mergeCell ref="AQ7:AT7"/>
    <mergeCell ref="AU7:AU8"/>
    <mergeCell ref="A5:A8"/>
    <mergeCell ref="B5:B8"/>
    <mergeCell ref="C5:G5"/>
    <mergeCell ref="I5:K6"/>
    <mergeCell ref="L5:AY5"/>
    <mergeCell ref="C6:G6"/>
    <mergeCell ref="L6:P6"/>
    <mergeCell ref="Q6:U6"/>
    <mergeCell ref="V6:Z6"/>
    <mergeCell ref="AA6:AD6"/>
    <mergeCell ref="AF6:AI6"/>
    <mergeCell ref="AK6:AO6"/>
    <mergeCell ref="AP6:AT6"/>
    <mergeCell ref="AU6:AY6"/>
    <mergeCell ref="I7:I8"/>
    <mergeCell ref="J7:K7"/>
  </mergeCells>
  <pageMargins left="0.2" right="0.2" top="0.43" bottom="0.33" header="0.26" footer="0.22"/>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J85"/>
  <sheetViews>
    <sheetView zoomScaleNormal="100" workbookViewId="0">
      <selection activeCell="G74" sqref="G74"/>
    </sheetView>
  </sheetViews>
  <sheetFormatPr defaultRowHeight="18" customHeight="1"/>
  <cols>
    <col min="1" max="1" width="9.140625" style="806" customWidth="1"/>
    <col min="2" max="2" width="81.5703125" style="393" customWidth="1"/>
    <col min="3" max="3" width="22.85546875" style="813" customWidth="1"/>
    <col min="4" max="5" width="0" style="393" hidden="1" customWidth="1"/>
    <col min="6" max="6" width="37.140625" style="393" customWidth="1"/>
    <col min="7" max="7" width="13.28515625" style="393" customWidth="1"/>
    <col min="8" max="8" width="12.140625" style="393" customWidth="1"/>
    <col min="9" max="256" width="9.140625" style="393"/>
    <col min="257" max="257" width="9.140625" style="393" customWidth="1"/>
    <col min="258" max="258" width="81.5703125" style="393" customWidth="1"/>
    <col min="259" max="259" width="22.85546875" style="393" customWidth="1"/>
    <col min="260" max="261" width="0" style="393" hidden="1" customWidth="1"/>
    <col min="262" max="262" width="34.28515625" style="393" customWidth="1"/>
    <col min="263" max="263" width="13.28515625" style="393" customWidth="1"/>
    <col min="264" max="264" width="12.140625" style="393" customWidth="1"/>
    <col min="265" max="512" width="9.140625" style="393"/>
    <col min="513" max="513" width="9.140625" style="393" customWidth="1"/>
    <col min="514" max="514" width="81.5703125" style="393" customWidth="1"/>
    <col min="515" max="515" width="22.85546875" style="393" customWidth="1"/>
    <col min="516" max="517" width="0" style="393" hidden="1" customWidth="1"/>
    <col min="518" max="518" width="34.28515625" style="393" customWidth="1"/>
    <col min="519" max="519" width="13.28515625" style="393" customWidth="1"/>
    <col min="520" max="520" width="12.140625" style="393" customWidth="1"/>
    <col min="521" max="768" width="9.140625" style="393"/>
    <col min="769" max="769" width="9.140625" style="393" customWidth="1"/>
    <col min="770" max="770" width="81.5703125" style="393" customWidth="1"/>
    <col min="771" max="771" width="22.85546875" style="393" customWidth="1"/>
    <col min="772" max="773" width="0" style="393" hidden="1" customWidth="1"/>
    <col min="774" max="774" width="34.28515625" style="393" customWidth="1"/>
    <col min="775" max="775" width="13.28515625" style="393" customWidth="1"/>
    <col min="776" max="776" width="12.140625" style="393" customWidth="1"/>
    <col min="777" max="1024" width="9.140625" style="393"/>
    <col min="1025" max="1025" width="9.140625" style="393" customWidth="1"/>
    <col min="1026" max="1026" width="81.5703125" style="393" customWidth="1"/>
    <col min="1027" max="1027" width="22.85546875" style="393" customWidth="1"/>
    <col min="1028" max="1029" width="0" style="393" hidden="1" customWidth="1"/>
    <col min="1030" max="1030" width="34.28515625" style="393" customWidth="1"/>
    <col min="1031" max="1031" width="13.28515625" style="393" customWidth="1"/>
    <col min="1032" max="1032" width="12.140625" style="393" customWidth="1"/>
    <col min="1033" max="1280" width="9.140625" style="393"/>
    <col min="1281" max="1281" width="9.140625" style="393" customWidth="1"/>
    <col min="1282" max="1282" width="81.5703125" style="393" customWidth="1"/>
    <col min="1283" max="1283" width="22.85546875" style="393" customWidth="1"/>
    <col min="1284" max="1285" width="0" style="393" hidden="1" customWidth="1"/>
    <col min="1286" max="1286" width="34.28515625" style="393" customWidth="1"/>
    <col min="1287" max="1287" width="13.28515625" style="393" customWidth="1"/>
    <col min="1288" max="1288" width="12.140625" style="393" customWidth="1"/>
    <col min="1289" max="1536" width="9.140625" style="393"/>
    <col min="1537" max="1537" width="9.140625" style="393" customWidth="1"/>
    <col min="1538" max="1538" width="81.5703125" style="393" customWidth="1"/>
    <col min="1539" max="1539" width="22.85546875" style="393" customWidth="1"/>
    <col min="1540" max="1541" width="0" style="393" hidden="1" customWidth="1"/>
    <col min="1542" max="1542" width="34.28515625" style="393" customWidth="1"/>
    <col min="1543" max="1543" width="13.28515625" style="393" customWidth="1"/>
    <col min="1544" max="1544" width="12.140625" style="393" customWidth="1"/>
    <col min="1545" max="1792" width="9.140625" style="393"/>
    <col min="1793" max="1793" width="9.140625" style="393" customWidth="1"/>
    <col min="1794" max="1794" width="81.5703125" style="393" customWidth="1"/>
    <col min="1795" max="1795" width="22.85546875" style="393" customWidth="1"/>
    <col min="1796" max="1797" width="0" style="393" hidden="1" customWidth="1"/>
    <col min="1798" max="1798" width="34.28515625" style="393" customWidth="1"/>
    <col min="1799" max="1799" width="13.28515625" style="393" customWidth="1"/>
    <col min="1800" max="1800" width="12.140625" style="393" customWidth="1"/>
    <col min="1801" max="2048" width="9.140625" style="393"/>
    <col min="2049" max="2049" width="9.140625" style="393" customWidth="1"/>
    <col min="2050" max="2050" width="81.5703125" style="393" customWidth="1"/>
    <col min="2051" max="2051" width="22.85546875" style="393" customWidth="1"/>
    <col min="2052" max="2053" width="0" style="393" hidden="1" customWidth="1"/>
    <col min="2054" max="2054" width="34.28515625" style="393" customWidth="1"/>
    <col min="2055" max="2055" width="13.28515625" style="393" customWidth="1"/>
    <col min="2056" max="2056" width="12.140625" style="393" customWidth="1"/>
    <col min="2057" max="2304" width="9.140625" style="393"/>
    <col min="2305" max="2305" width="9.140625" style="393" customWidth="1"/>
    <col min="2306" max="2306" width="81.5703125" style="393" customWidth="1"/>
    <col min="2307" max="2307" width="22.85546875" style="393" customWidth="1"/>
    <col min="2308" max="2309" width="0" style="393" hidden="1" customWidth="1"/>
    <col min="2310" max="2310" width="34.28515625" style="393" customWidth="1"/>
    <col min="2311" max="2311" width="13.28515625" style="393" customWidth="1"/>
    <col min="2312" max="2312" width="12.140625" style="393" customWidth="1"/>
    <col min="2313" max="2560" width="9.140625" style="393"/>
    <col min="2561" max="2561" width="9.140625" style="393" customWidth="1"/>
    <col min="2562" max="2562" width="81.5703125" style="393" customWidth="1"/>
    <col min="2563" max="2563" width="22.85546875" style="393" customWidth="1"/>
    <col min="2564" max="2565" width="0" style="393" hidden="1" customWidth="1"/>
    <col min="2566" max="2566" width="34.28515625" style="393" customWidth="1"/>
    <col min="2567" max="2567" width="13.28515625" style="393" customWidth="1"/>
    <col min="2568" max="2568" width="12.140625" style="393" customWidth="1"/>
    <col min="2569" max="2816" width="9.140625" style="393"/>
    <col min="2817" max="2817" width="9.140625" style="393" customWidth="1"/>
    <col min="2818" max="2818" width="81.5703125" style="393" customWidth="1"/>
    <col min="2819" max="2819" width="22.85546875" style="393" customWidth="1"/>
    <col min="2820" max="2821" width="0" style="393" hidden="1" customWidth="1"/>
    <col min="2822" max="2822" width="34.28515625" style="393" customWidth="1"/>
    <col min="2823" max="2823" width="13.28515625" style="393" customWidth="1"/>
    <col min="2824" max="2824" width="12.140625" style="393" customWidth="1"/>
    <col min="2825" max="3072" width="9.140625" style="393"/>
    <col min="3073" max="3073" width="9.140625" style="393" customWidth="1"/>
    <col min="3074" max="3074" width="81.5703125" style="393" customWidth="1"/>
    <col min="3075" max="3075" width="22.85546875" style="393" customWidth="1"/>
    <col min="3076" max="3077" width="0" style="393" hidden="1" customWidth="1"/>
    <col min="3078" max="3078" width="34.28515625" style="393" customWidth="1"/>
    <col min="3079" max="3079" width="13.28515625" style="393" customWidth="1"/>
    <col min="3080" max="3080" width="12.140625" style="393" customWidth="1"/>
    <col min="3081" max="3328" width="9.140625" style="393"/>
    <col min="3329" max="3329" width="9.140625" style="393" customWidth="1"/>
    <col min="3330" max="3330" width="81.5703125" style="393" customWidth="1"/>
    <col min="3331" max="3331" width="22.85546875" style="393" customWidth="1"/>
    <col min="3332" max="3333" width="0" style="393" hidden="1" customWidth="1"/>
    <col min="3334" max="3334" width="34.28515625" style="393" customWidth="1"/>
    <col min="3335" max="3335" width="13.28515625" style="393" customWidth="1"/>
    <col min="3336" max="3336" width="12.140625" style="393" customWidth="1"/>
    <col min="3337" max="3584" width="9.140625" style="393"/>
    <col min="3585" max="3585" width="9.140625" style="393" customWidth="1"/>
    <col min="3586" max="3586" width="81.5703125" style="393" customWidth="1"/>
    <col min="3587" max="3587" width="22.85546875" style="393" customWidth="1"/>
    <col min="3588" max="3589" width="0" style="393" hidden="1" customWidth="1"/>
    <col min="3590" max="3590" width="34.28515625" style="393" customWidth="1"/>
    <col min="3591" max="3591" width="13.28515625" style="393" customWidth="1"/>
    <col min="3592" max="3592" width="12.140625" style="393" customWidth="1"/>
    <col min="3593" max="3840" width="9.140625" style="393"/>
    <col min="3841" max="3841" width="9.140625" style="393" customWidth="1"/>
    <col min="3842" max="3842" width="81.5703125" style="393" customWidth="1"/>
    <col min="3843" max="3843" width="22.85546875" style="393" customWidth="1"/>
    <col min="3844" max="3845" width="0" style="393" hidden="1" customWidth="1"/>
    <col min="3846" max="3846" width="34.28515625" style="393" customWidth="1"/>
    <col min="3847" max="3847" width="13.28515625" style="393" customWidth="1"/>
    <col min="3848" max="3848" width="12.140625" style="393" customWidth="1"/>
    <col min="3849" max="4096" width="9.140625" style="393"/>
    <col min="4097" max="4097" width="9.140625" style="393" customWidth="1"/>
    <col min="4098" max="4098" width="81.5703125" style="393" customWidth="1"/>
    <col min="4099" max="4099" width="22.85546875" style="393" customWidth="1"/>
    <col min="4100" max="4101" width="0" style="393" hidden="1" customWidth="1"/>
    <col min="4102" max="4102" width="34.28515625" style="393" customWidth="1"/>
    <col min="4103" max="4103" width="13.28515625" style="393" customWidth="1"/>
    <col min="4104" max="4104" width="12.140625" style="393" customWidth="1"/>
    <col min="4105" max="4352" width="9.140625" style="393"/>
    <col min="4353" max="4353" width="9.140625" style="393" customWidth="1"/>
    <col min="4354" max="4354" width="81.5703125" style="393" customWidth="1"/>
    <col min="4355" max="4355" width="22.85546875" style="393" customWidth="1"/>
    <col min="4356" max="4357" width="0" style="393" hidden="1" customWidth="1"/>
    <col min="4358" max="4358" width="34.28515625" style="393" customWidth="1"/>
    <col min="4359" max="4359" width="13.28515625" style="393" customWidth="1"/>
    <col min="4360" max="4360" width="12.140625" style="393" customWidth="1"/>
    <col min="4361" max="4608" width="9.140625" style="393"/>
    <col min="4609" max="4609" width="9.140625" style="393" customWidth="1"/>
    <col min="4610" max="4610" width="81.5703125" style="393" customWidth="1"/>
    <col min="4611" max="4611" width="22.85546875" style="393" customWidth="1"/>
    <col min="4612" max="4613" width="0" style="393" hidden="1" customWidth="1"/>
    <col min="4614" max="4614" width="34.28515625" style="393" customWidth="1"/>
    <col min="4615" max="4615" width="13.28515625" style="393" customWidth="1"/>
    <col min="4616" max="4616" width="12.140625" style="393" customWidth="1"/>
    <col min="4617" max="4864" width="9.140625" style="393"/>
    <col min="4865" max="4865" width="9.140625" style="393" customWidth="1"/>
    <col min="4866" max="4866" width="81.5703125" style="393" customWidth="1"/>
    <col min="4867" max="4867" width="22.85546875" style="393" customWidth="1"/>
    <col min="4868" max="4869" width="0" style="393" hidden="1" customWidth="1"/>
    <col min="4870" max="4870" width="34.28515625" style="393" customWidth="1"/>
    <col min="4871" max="4871" width="13.28515625" style="393" customWidth="1"/>
    <col min="4872" max="4872" width="12.140625" style="393" customWidth="1"/>
    <col min="4873" max="5120" width="9.140625" style="393"/>
    <col min="5121" max="5121" width="9.140625" style="393" customWidth="1"/>
    <col min="5122" max="5122" width="81.5703125" style="393" customWidth="1"/>
    <col min="5123" max="5123" width="22.85546875" style="393" customWidth="1"/>
    <col min="5124" max="5125" width="0" style="393" hidden="1" customWidth="1"/>
    <col min="5126" max="5126" width="34.28515625" style="393" customWidth="1"/>
    <col min="5127" max="5127" width="13.28515625" style="393" customWidth="1"/>
    <col min="5128" max="5128" width="12.140625" style="393" customWidth="1"/>
    <col min="5129" max="5376" width="9.140625" style="393"/>
    <col min="5377" max="5377" width="9.140625" style="393" customWidth="1"/>
    <col min="5378" max="5378" width="81.5703125" style="393" customWidth="1"/>
    <col min="5379" max="5379" width="22.85546875" style="393" customWidth="1"/>
    <col min="5380" max="5381" width="0" style="393" hidden="1" customWidth="1"/>
    <col min="5382" max="5382" width="34.28515625" style="393" customWidth="1"/>
    <col min="5383" max="5383" width="13.28515625" style="393" customWidth="1"/>
    <col min="5384" max="5384" width="12.140625" style="393" customWidth="1"/>
    <col min="5385" max="5632" width="9.140625" style="393"/>
    <col min="5633" max="5633" width="9.140625" style="393" customWidth="1"/>
    <col min="5634" max="5634" width="81.5703125" style="393" customWidth="1"/>
    <col min="5635" max="5635" width="22.85546875" style="393" customWidth="1"/>
    <col min="5636" max="5637" width="0" style="393" hidden="1" customWidth="1"/>
    <col min="5638" max="5638" width="34.28515625" style="393" customWidth="1"/>
    <col min="5639" max="5639" width="13.28515625" style="393" customWidth="1"/>
    <col min="5640" max="5640" width="12.140625" style="393" customWidth="1"/>
    <col min="5641" max="5888" width="9.140625" style="393"/>
    <col min="5889" max="5889" width="9.140625" style="393" customWidth="1"/>
    <col min="5890" max="5890" width="81.5703125" style="393" customWidth="1"/>
    <col min="5891" max="5891" width="22.85546875" style="393" customWidth="1"/>
    <col min="5892" max="5893" width="0" style="393" hidden="1" customWidth="1"/>
    <col min="5894" max="5894" width="34.28515625" style="393" customWidth="1"/>
    <col min="5895" max="5895" width="13.28515625" style="393" customWidth="1"/>
    <col min="5896" max="5896" width="12.140625" style="393" customWidth="1"/>
    <col min="5897" max="6144" width="9.140625" style="393"/>
    <col min="6145" max="6145" width="9.140625" style="393" customWidth="1"/>
    <col min="6146" max="6146" width="81.5703125" style="393" customWidth="1"/>
    <col min="6147" max="6147" width="22.85546875" style="393" customWidth="1"/>
    <col min="6148" max="6149" width="0" style="393" hidden="1" customWidth="1"/>
    <col min="6150" max="6150" width="34.28515625" style="393" customWidth="1"/>
    <col min="6151" max="6151" width="13.28515625" style="393" customWidth="1"/>
    <col min="6152" max="6152" width="12.140625" style="393" customWidth="1"/>
    <col min="6153" max="6400" width="9.140625" style="393"/>
    <col min="6401" max="6401" width="9.140625" style="393" customWidth="1"/>
    <col min="6402" max="6402" width="81.5703125" style="393" customWidth="1"/>
    <col min="6403" max="6403" width="22.85546875" style="393" customWidth="1"/>
    <col min="6404" max="6405" width="0" style="393" hidden="1" customWidth="1"/>
    <col min="6406" max="6406" width="34.28515625" style="393" customWidth="1"/>
    <col min="6407" max="6407" width="13.28515625" style="393" customWidth="1"/>
    <col min="6408" max="6408" width="12.140625" style="393" customWidth="1"/>
    <col min="6409" max="6656" width="9.140625" style="393"/>
    <col min="6657" max="6657" width="9.140625" style="393" customWidth="1"/>
    <col min="6658" max="6658" width="81.5703125" style="393" customWidth="1"/>
    <col min="6659" max="6659" width="22.85546875" style="393" customWidth="1"/>
    <col min="6660" max="6661" width="0" style="393" hidden="1" customWidth="1"/>
    <col min="6662" max="6662" width="34.28515625" style="393" customWidth="1"/>
    <col min="6663" max="6663" width="13.28515625" style="393" customWidth="1"/>
    <col min="6664" max="6664" width="12.140625" style="393" customWidth="1"/>
    <col min="6665" max="6912" width="9.140625" style="393"/>
    <col min="6913" max="6913" width="9.140625" style="393" customWidth="1"/>
    <col min="6914" max="6914" width="81.5703125" style="393" customWidth="1"/>
    <col min="6915" max="6915" width="22.85546875" style="393" customWidth="1"/>
    <col min="6916" max="6917" width="0" style="393" hidden="1" customWidth="1"/>
    <col min="6918" max="6918" width="34.28515625" style="393" customWidth="1"/>
    <col min="6919" max="6919" width="13.28515625" style="393" customWidth="1"/>
    <col min="6920" max="6920" width="12.140625" style="393" customWidth="1"/>
    <col min="6921" max="7168" width="9.140625" style="393"/>
    <col min="7169" max="7169" width="9.140625" style="393" customWidth="1"/>
    <col min="7170" max="7170" width="81.5703125" style="393" customWidth="1"/>
    <col min="7171" max="7171" width="22.85546875" style="393" customWidth="1"/>
    <col min="7172" max="7173" width="0" style="393" hidden="1" customWidth="1"/>
    <col min="7174" max="7174" width="34.28515625" style="393" customWidth="1"/>
    <col min="7175" max="7175" width="13.28515625" style="393" customWidth="1"/>
    <col min="7176" max="7176" width="12.140625" style="393" customWidth="1"/>
    <col min="7177" max="7424" width="9.140625" style="393"/>
    <col min="7425" max="7425" width="9.140625" style="393" customWidth="1"/>
    <col min="7426" max="7426" width="81.5703125" style="393" customWidth="1"/>
    <col min="7427" max="7427" width="22.85546875" style="393" customWidth="1"/>
    <col min="7428" max="7429" width="0" style="393" hidden="1" customWidth="1"/>
    <col min="7430" max="7430" width="34.28515625" style="393" customWidth="1"/>
    <col min="7431" max="7431" width="13.28515625" style="393" customWidth="1"/>
    <col min="7432" max="7432" width="12.140625" style="393" customWidth="1"/>
    <col min="7433" max="7680" width="9.140625" style="393"/>
    <col min="7681" max="7681" width="9.140625" style="393" customWidth="1"/>
    <col min="7682" max="7682" width="81.5703125" style="393" customWidth="1"/>
    <col min="7683" max="7683" width="22.85546875" style="393" customWidth="1"/>
    <col min="7684" max="7685" width="0" style="393" hidden="1" customWidth="1"/>
    <col min="7686" max="7686" width="34.28515625" style="393" customWidth="1"/>
    <col min="7687" max="7687" width="13.28515625" style="393" customWidth="1"/>
    <col min="7688" max="7688" width="12.140625" style="393" customWidth="1"/>
    <col min="7689" max="7936" width="9.140625" style="393"/>
    <col min="7937" max="7937" width="9.140625" style="393" customWidth="1"/>
    <col min="7938" max="7938" width="81.5703125" style="393" customWidth="1"/>
    <col min="7939" max="7939" width="22.85546875" style="393" customWidth="1"/>
    <col min="7940" max="7941" width="0" style="393" hidden="1" customWidth="1"/>
    <col min="7942" max="7942" width="34.28515625" style="393" customWidth="1"/>
    <col min="7943" max="7943" width="13.28515625" style="393" customWidth="1"/>
    <col min="7944" max="7944" width="12.140625" style="393" customWidth="1"/>
    <col min="7945" max="8192" width="9.140625" style="393"/>
    <col min="8193" max="8193" width="9.140625" style="393" customWidth="1"/>
    <col min="8194" max="8194" width="81.5703125" style="393" customWidth="1"/>
    <col min="8195" max="8195" width="22.85546875" style="393" customWidth="1"/>
    <col min="8196" max="8197" width="0" style="393" hidden="1" customWidth="1"/>
    <col min="8198" max="8198" width="34.28515625" style="393" customWidth="1"/>
    <col min="8199" max="8199" width="13.28515625" style="393" customWidth="1"/>
    <col min="8200" max="8200" width="12.140625" style="393" customWidth="1"/>
    <col min="8201" max="8448" width="9.140625" style="393"/>
    <col min="8449" max="8449" width="9.140625" style="393" customWidth="1"/>
    <col min="8450" max="8450" width="81.5703125" style="393" customWidth="1"/>
    <col min="8451" max="8451" width="22.85546875" style="393" customWidth="1"/>
    <col min="8452" max="8453" width="0" style="393" hidden="1" customWidth="1"/>
    <col min="8454" max="8454" width="34.28515625" style="393" customWidth="1"/>
    <col min="8455" max="8455" width="13.28515625" style="393" customWidth="1"/>
    <col min="8456" max="8456" width="12.140625" style="393" customWidth="1"/>
    <col min="8457" max="8704" width="9.140625" style="393"/>
    <col min="8705" max="8705" width="9.140625" style="393" customWidth="1"/>
    <col min="8706" max="8706" width="81.5703125" style="393" customWidth="1"/>
    <col min="8707" max="8707" width="22.85546875" style="393" customWidth="1"/>
    <col min="8708" max="8709" width="0" style="393" hidden="1" customWidth="1"/>
    <col min="8710" max="8710" width="34.28515625" style="393" customWidth="1"/>
    <col min="8711" max="8711" width="13.28515625" style="393" customWidth="1"/>
    <col min="8712" max="8712" width="12.140625" style="393" customWidth="1"/>
    <col min="8713" max="8960" width="9.140625" style="393"/>
    <col min="8961" max="8961" width="9.140625" style="393" customWidth="1"/>
    <col min="8962" max="8962" width="81.5703125" style="393" customWidth="1"/>
    <col min="8963" max="8963" width="22.85546875" style="393" customWidth="1"/>
    <col min="8964" max="8965" width="0" style="393" hidden="1" customWidth="1"/>
    <col min="8966" max="8966" width="34.28515625" style="393" customWidth="1"/>
    <col min="8967" max="8967" width="13.28515625" style="393" customWidth="1"/>
    <col min="8968" max="8968" width="12.140625" style="393" customWidth="1"/>
    <col min="8969" max="9216" width="9.140625" style="393"/>
    <col min="9217" max="9217" width="9.140625" style="393" customWidth="1"/>
    <col min="9218" max="9218" width="81.5703125" style="393" customWidth="1"/>
    <col min="9219" max="9219" width="22.85546875" style="393" customWidth="1"/>
    <col min="9220" max="9221" width="0" style="393" hidden="1" customWidth="1"/>
    <col min="9222" max="9222" width="34.28515625" style="393" customWidth="1"/>
    <col min="9223" max="9223" width="13.28515625" style="393" customWidth="1"/>
    <col min="9224" max="9224" width="12.140625" style="393" customWidth="1"/>
    <col min="9225" max="9472" width="9.140625" style="393"/>
    <col min="9473" max="9473" width="9.140625" style="393" customWidth="1"/>
    <col min="9474" max="9474" width="81.5703125" style="393" customWidth="1"/>
    <col min="9475" max="9475" width="22.85546875" style="393" customWidth="1"/>
    <col min="9476" max="9477" width="0" style="393" hidden="1" customWidth="1"/>
    <col min="9478" max="9478" width="34.28515625" style="393" customWidth="1"/>
    <col min="9479" max="9479" width="13.28515625" style="393" customWidth="1"/>
    <col min="9480" max="9480" width="12.140625" style="393" customWidth="1"/>
    <col min="9481" max="9728" width="9.140625" style="393"/>
    <col min="9729" max="9729" width="9.140625" style="393" customWidth="1"/>
    <col min="9730" max="9730" width="81.5703125" style="393" customWidth="1"/>
    <col min="9731" max="9731" width="22.85546875" style="393" customWidth="1"/>
    <col min="9732" max="9733" width="0" style="393" hidden="1" customWidth="1"/>
    <col min="9734" max="9734" width="34.28515625" style="393" customWidth="1"/>
    <col min="9735" max="9735" width="13.28515625" style="393" customWidth="1"/>
    <col min="9736" max="9736" width="12.140625" style="393" customWidth="1"/>
    <col min="9737" max="9984" width="9.140625" style="393"/>
    <col min="9985" max="9985" width="9.140625" style="393" customWidth="1"/>
    <col min="9986" max="9986" width="81.5703125" style="393" customWidth="1"/>
    <col min="9987" max="9987" width="22.85546875" style="393" customWidth="1"/>
    <col min="9988" max="9989" width="0" style="393" hidden="1" customWidth="1"/>
    <col min="9990" max="9990" width="34.28515625" style="393" customWidth="1"/>
    <col min="9991" max="9991" width="13.28515625" style="393" customWidth="1"/>
    <col min="9992" max="9992" width="12.140625" style="393" customWidth="1"/>
    <col min="9993" max="10240" width="9.140625" style="393"/>
    <col min="10241" max="10241" width="9.140625" style="393" customWidth="1"/>
    <col min="10242" max="10242" width="81.5703125" style="393" customWidth="1"/>
    <col min="10243" max="10243" width="22.85546875" style="393" customWidth="1"/>
    <col min="10244" max="10245" width="0" style="393" hidden="1" customWidth="1"/>
    <col min="10246" max="10246" width="34.28515625" style="393" customWidth="1"/>
    <col min="10247" max="10247" width="13.28515625" style="393" customWidth="1"/>
    <col min="10248" max="10248" width="12.140625" style="393" customWidth="1"/>
    <col min="10249" max="10496" width="9.140625" style="393"/>
    <col min="10497" max="10497" width="9.140625" style="393" customWidth="1"/>
    <col min="10498" max="10498" width="81.5703125" style="393" customWidth="1"/>
    <col min="10499" max="10499" width="22.85546875" style="393" customWidth="1"/>
    <col min="10500" max="10501" width="0" style="393" hidden="1" customWidth="1"/>
    <col min="10502" max="10502" width="34.28515625" style="393" customWidth="1"/>
    <col min="10503" max="10503" width="13.28515625" style="393" customWidth="1"/>
    <col min="10504" max="10504" width="12.140625" style="393" customWidth="1"/>
    <col min="10505" max="10752" width="9.140625" style="393"/>
    <col min="10753" max="10753" width="9.140625" style="393" customWidth="1"/>
    <col min="10754" max="10754" width="81.5703125" style="393" customWidth="1"/>
    <col min="10755" max="10755" width="22.85546875" style="393" customWidth="1"/>
    <col min="10756" max="10757" width="0" style="393" hidden="1" customWidth="1"/>
    <col min="10758" max="10758" width="34.28515625" style="393" customWidth="1"/>
    <col min="10759" max="10759" width="13.28515625" style="393" customWidth="1"/>
    <col min="10760" max="10760" width="12.140625" style="393" customWidth="1"/>
    <col min="10761" max="11008" width="9.140625" style="393"/>
    <col min="11009" max="11009" width="9.140625" style="393" customWidth="1"/>
    <col min="11010" max="11010" width="81.5703125" style="393" customWidth="1"/>
    <col min="11011" max="11011" width="22.85546875" style="393" customWidth="1"/>
    <col min="11012" max="11013" width="0" style="393" hidden="1" customWidth="1"/>
    <col min="11014" max="11014" width="34.28515625" style="393" customWidth="1"/>
    <col min="11015" max="11015" width="13.28515625" style="393" customWidth="1"/>
    <col min="11016" max="11016" width="12.140625" style="393" customWidth="1"/>
    <col min="11017" max="11264" width="9.140625" style="393"/>
    <col min="11265" max="11265" width="9.140625" style="393" customWidth="1"/>
    <col min="11266" max="11266" width="81.5703125" style="393" customWidth="1"/>
    <col min="11267" max="11267" width="22.85546875" style="393" customWidth="1"/>
    <col min="11268" max="11269" width="0" style="393" hidden="1" customWidth="1"/>
    <col min="11270" max="11270" width="34.28515625" style="393" customWidth="1"/>
    <col min="11271" max="11271" width="13.28515625" style="393" customWidth="1"/>
    <col min="11272" max="11272" width="12.140625" style="393" customWidth="1"/>
    <col min="11273" max="11520" width="9.140625" style="393"/>
    <col min="11521" max="11521" width="9.140625" style="393" customWidth="1"/>
    <col min="11522" max="11522" width="81.5703125" style="393" customWidth="1"/>
    <col min="11523" max="11523" width="22.85546875" style="393" customWidth="1"/>
    <col min="11524" max="11525" width="0" style="393" hidden="1" customWidth="1"/>
    <col min="11526" max="11526" width="34.28515625" style="393" customWidth="1"/>
    <col min="11527" max="11527" width="13.28515625" style="393" customWidth="1"/>
    <col min="11528" max="11528" width="12.140625" style="393" customWidth="1"/>
    <col min="11529" max="11776" width="9.140625" style="393"/>
    <col min="11777" max="11777" width="9.140625" style="393" customWidth="1"/>
    <col min="11778" max="11778" width="81.5703125" style="393" customWidth="1"/>
    <col min="11779" max="11779" width="22.85546875" style="393" customWidth="1"/>
    <col min="11780" max="11781" width="0" style="393" hidden="1" customWidth="1"/>
    <col min="11782" max="11782" width="34.28515625" style="393" customWidth="1"/>
    <col min="11783" max="11783" width="13.28515625" style="393" customWidth="1"/>
    <col min="11784" max="11784" width="12.140625" style="393" customWidth="1"/>
    <col min="11785" max="12032" width="9.140625" style="393"/>
    <col min="12033" max="12033" width="9.140625" style="393" customWidth="1"/>
    <col min="12034" max="12034" width="81.5703125" style="393" customWidth="1"/>
    <col min="12035" max="12035" width="22.85546875" style="393" customWidth="1"/>
    <col min="12036" max="12037" width="0" style="393" hidden="1" customWidth="1"/>
    <col min="12038" max="12038" width="34.28515625" style="393" customWidth="1"/>
    <col min="12039" max="12039" width="13.28515625" style="393" customWidth="1"/>
    <col min="12040" max="12040" width="12.140625" style="393" customWidth="1"/>
    <col min="12041" max="12288" width="9.140625" style="393"/>
    <col min="12289" max="12289" width="9.140625" style="393" customWidth="1"/>
    <col min="12290" max="12290" width="81.5703125" style="393" customWidth="1"/>
    <col min="12291" max="12291" width="22.85546875" style="393" customWidth="1"/>
    <col min="12292" max="12293" width="0" style="393" hidden="1" customWidth="1"/>
    <col min="12294" max="12294" width="34.28515625" style="393" customWidth="1"/>
    <col min="12295" max="12295" width="13.28515625" style="393" customWidth="1"/>
    <col min="12296" max="12296" width="12.140625" style="393" customWidth="1"/>
    <col min="12297" max="12544" width="9.140625" style="393"/>
    <col min="12545" max="12545" width="9.140625" style="393" customWidth="1"/>
    <col min="12546" max="12546" width="81.5703125" style="393" customWidth="1"/>
    <col min="12547" max="12547" width="22.85546875" style="393" customWidth="1"/>
    <col min="12548" max="12549" width="0" style="393" hidden="1" customWidth="1"/>
    <col min="12550" max="12550" width="34.28515625" style="393" customWidth="1"/>
    <col min="12551" max="12551" width="13.28515625" style="393" customWidth="1"/>
    <col min="12552" max="12552" width="12.140625" style="393" customWidth="1"/>
    <col min="12553" max="12800" width="9.140625" style="393"/>
    <col min="12801" max="12801" width="9.140625" style="393" customWidth="1"/>
    <col min="12802" max="12802" width="81.5703125" style="393" customWidth="1"/>
    <col min="12803" max="12803" width="22.85546875" style="393" customWidth="1"/>
    <col min="12804" max="12805" width="0" style="393" hidden="1" customWidth="1"/>
    <col min="12806" max="12806" width="34.28515625" style="393" customWidth="1"/>
    <col min="12807" max="12807" width="13.28515625" style="393" customWidth="1"/>
    <col min="12808" max="12808" width="12.140625" style="393" customWidth="1"/>
    <col min="12809" max="13056" width="9.140625" style="393"/>
    <col min="13057" max="13057" width="9.140625" style="393" customWidth="1"/>
    <col min="13058" max="13058" width="81.5703125" style="393" customWidth="1"/>
    <col min="13059" max="13059" width="22.85546875" style="393" customWidth="1"/>
    <col min="13060" max="13061" width="0" style="393" hidden="1" customWidth="1"/>
    <col min="13062" max="13062" width="34.28515625" style="393" customWidth="1"/>
    <col min="13063" max="13063" width="13.28515625" style="393" customWidth="1"/>
    <col min="13064" max="13064" width="12.140625" style="393" customWidth="1"/>
    <col min="13065" max="13312" width="9.140625" style="393"/>
    <col min="13313" max="13313" width="9.140625" style="393" customWidth="1"/>
    <col min="13314" max="13314" width="81.5703125" style="393" customWidth="1"/>
    <col min="13315" max="13315" width="22.85546875" style="393" customWidth="1"/>
    <col min="13316" max="13317" width="0" style="393" hidden="1" customWidth="1"/>
    <col min="13318" max="13318" width="34.28515625" style="393" customWidth="1"/>
    <col min="13319" max="13319" width="13.28515625" style="393" customWidth="1"/>
    <col min="13320" max="13320" width="12.140625" style="393" customWidth="1"/>
    <col min="13321" max="13568" width="9.140625" style="393"/>
    <col min="13569" max="13569" width="9.140625" style="393" customWidth="1"/>
    <col min="13570" max="13570" width="81.5703125" style="393" customWidth="1"/>
    <col min="13571" max="13571" width="22.85546875" style="393" customWidth="1"/>
    <col min="13572" max="13573" width="0" style="393" hidden="1" customWidth="1"/>
    <col min="13574" max="13574" width="34.28515625" style="393" customWidth="1"/>
    <col min="13575" max="13575" width="13.28515625" style="393" customWidth="1"/>
    <col min="13576" max="13576" width="12.140625" style="393" customWidth="1"/>
    <col min="13577" max="13824" width="9.140625" style="393"/>
    <col min="13825" max="13825" width="9.140625" style="393" customWidth="1"/>
    <col min="13826" max="13826" width="81.5703125" style="393" customWidth="1"/>
    <col min="13827" max="13827" width="22.85546875" style="393" customWidth="1"/>
    <col min="13828" max="13829" width="0" style="393" hidden="1" customWidth="1"/>
    <col min="13830" max="13830" width="34.28515625" style="393" customWidth="1"/>
    <col min="13831" max="13831" width="13.28515625" style="393" customWidth="1"/>
    <col min="13832" max="13832" width="12.140625" style="393" customWidth="1"/>
    <col min="13833" max="14080" width="9.140625" style="393"/>
    <col min="14081" max="14081" width="9.140625" style="393" customWidth="1"/>
    <col min="14082" max="14082" width="81.5703125" style="393" customWidth="1"/>
    <col min="14083" max="14083" width="22.85546875" style="393" customWidth="1"/>
    <col min="14084" max="14085" width="0" style="393" hidden="1" customWidth="1"/>
    <col min="14086" max="14086" width="34.28515625" style="393" customWidth="1"/>
    <col min="14087" max="14087" width="13.28515625" style="393" customWidth="1"/>
    <col min="14088" max="14088" width="12.140625" style="393" customWidth="1"/>
    <col min="14089" max="14336" width="9.140625" style="393"/>
    <col min="14337" max="14337" width="9.140625" style="393" customWidth="1"/>
    <col min="14338" max="14338" width="81.5703125" style="393" customWidth="1"/>
    <col min="14339" max="14339" width="22.85546875" style="393" customWidth="1"/>
    <col min="14340" max="14341" width="0" style="393" hidden="1" customWidth="1"/>
    <col min="14342" max="14342" width="34.28515625" style="393" customWidth="1"/>
    <col min="14343" max="14343" width="13.28515625" style="393" customWidth="1"/>
    <col min="14344" max="14344" width="12.140625" style="393" customWidth="1"/>
    <col min="14345" max="14592" width="9.140625" style="393"/>
    <col min="14593" max="14593" width="9.140625" style="393" customWidth="1"/>
    <col min="14594" max="14594" width="81.5703125" style="393" customWidth="1"/>
    <col min="14595" max="14595" width="22.85546875" style="393" customWidth="1"/>
    <col min="14596" max="14597" width="0" style="393" hidden="1" customWidth="1"/>
    <col min="14598" max="14598" width="34.28515625" style="393" customWidth="1"/>
    <col min="14599" max="14599" width="13.28515625" style="393" customWidth="1"/>
    <col min="14600" max="14600" width="12.140625" style="393" customWidth="1"/>
    <col min="14601" max="14848" width="9.140625" style="393"/>
    <col min="14849" max="14849" width="9.140625" style="393" customWidth="1"/>
    <col min="14850" max="14850" width="81.5703125" style="393" customWidth="1"/>
    <col min="14851" max="14851" width="22.85546875" style="393" customWidth="1"/>
    <col min="14852" max="14853" width="0" style="393" hidden="1" customWidth="1"/>
    <col min="14854" max="14854" width="34.28515625" style="393" customWidth="1"/>
    <col min="14855" max="14855" width="13.28515625" style="393" customWidth="1"/>
    <col min="14856" max="14856" width="12.140625" style="393" customWidth="1"/>
    <col min="14857" max="15104" width="9.140625" style="393"/>
    <col min="15105" max="15105" width="9.140625" style="393" customWidth="1"/>
    <col min="15106" max="15106" width="81.5703125" style="393" customWidth="1"/>
    <col min="15107" max="15107" width="22.85546875" style="393" customWidth="1"/>
    <col min="15108" max="15109" width="0" style="393" hidden="1" customWidth="1"/>
    <col min="15110" max="15110" width="34.28515625" style="393" customWidth="1"/>
    <col min="15111" max="15111" width="13.28515625" style="393" customWidth="1"/>
    <col min="15112" max="15112" width="12.140625" style="393" customWidth="1"/>
    <col min="15113" max="15360" width="9.140625" style="393"/>
    <col min="15361" max="15361" width="9.140625" style="393" customWidth="1"/>
    <col min="15362" max="15362" width="81.5703125" style="393" customWidth="1"/>
    <col min="15363" max="15363" width="22.85546875" style="393" customWidth="1"/>
    <col min="15364" max="15365" width="0" style="393" hidden="1" customWidth="1"/>
    <col min="15366" max="15366" width="34.28515625" style="393" customWidth="1"/>
    <col min="15367" max="15367" width="13.28515625" style="393" customWidth="1"/>
    <col min="15368" max="15368" width="12.140625" style="393" customWidth="1"/>
    <col min="15369" max="15616" width="9.140625" style="393"/>
    <col min="15617" max="15617" width="9.140625" style="393" customWidth="1"/>
    <col min="15618" max="15618" width="81.5703125" style="393" customWidth="1"/>
    <col min="15619" max="15619" width="22.85546875" style="393" customWidth="1"/>
    <col min="15620" max="15621" width="0" style="393" hidden="1" customWidth="1"/>
    <col min="15622" max="15622" width="34.28515625" style="393" customWidth="1"/>
    <col min="15623" max="15623" width="13.28515625" style="393" customWidth="1"/>
    <col min="15624" max="15624" width="12.140625" style="393" customWidth="1"/>
    <col min="15625" max="15872" width="9.140625" style="393"/>
    <col min="15873" max="15873" width="9.140625" style="393" customWidth="1"/>
    <col min="15874" max="15874" width="81.5703125" style="393" customWidth="1"/>
    <col min="15875" max="15875" width="22.85546875" style="393" customWidth="1"/>
    <col min="15876" max="15877" width="0" style="393" hidden="1" customWidth="1"/>
    <col min="15878" max="15878" width="34.28515625" style="393" customWidth="1"/>
    <col min="15879" max="15879" width="13.28515625" style="393" customWidth="1"/>
    <col min="15880" max="15880" width="12.140625" style="393" customWidth="1"/>
    <col min="15881" max="16128" width="9.140625" style="393"/>
    <col min="16129" max="16129" width="9.140625" style="393" customWidth="1"/>
    <col min="16130" max="16130" width="81.5703125" style="393" customWidth="1"/>
    <col min="16131" max="16131" width="22.85546875" style="393" customWidth="1"/>
    <col min="16132" max="16133" width="0" style="393" hidden="1" customWidth="1"/>
    <col min="16134" max="16134" width="34.28515625" style="393" customWidth="1"/>
    <col min="16135" max="16135" width="13.28515625" style="393" customWidth="1"/>
    <col min="16136" max="16136" width="12.140625" style="393" customWidth="1"/>
    <col min="16137" max="16384" width="9.140625" style="393"/>
  </cols>
  <sheetData>
    <row r="1" spans="1:9" ht="18" customHeight="1">
      <c r="F1" s="837" t="s">
        <v>2047</v>
      </c>
    </row>
    <row r="2" spans="1:9" s="802" customFormat="1" ht="25.5" customHeight="1">
      <c r="A2" s="1728" t="s">
        <v>1687</v>
      </c>
      <c r="B2" s="1728"/>
      <c r="C2" s="1728"/>
      <c r="D2" s="1728"/>
      <c r="E2" s="1728"/>
      <c r="F2" s="1728"/>
    </row>
    <row r="3" spans="1:9" s="802" customFormat="1" ht="19.5" customHeight="1">
      <c r="A3" s="1855" t="e">
        <f>#REF!</f>
        <v>#REF!</v>
      </c>
      <c r="B3" s="1855"/>
      <c r="C3" s="1855"/>
      <c r="D3" s="1855"/>
      <c r="E3" s="1855"/>
      <c r="F3" s="1855"/>
    </row>
    <row r="4" spans="1:9" ht="15.75" customHeight="1">
      <c r="A4" s="1856" t="s">
        <v>1677</v>
      </c>
      <c r="B4" s="1856"/>
      <c r="C4" s="1856"/>
      <c r="D4" s="1856"/>
      <c r="E4" s="1856"/>
      <c r="F4" s="1856"/>
    </row>
    <row r="5" spans="1:9" s="836" customFormat="1" ht="37.5" customHeight="1">
      <c r="A5" s="360" t="s">
        <v>0</v>
      </c>
      <c r="B5" s="360" t="s">
        <v>1</v>
      </c>
      <c r="C5" s="361" t="s">
        <v>1678</v>
      </c>
      <c r="F5" s="360" t="s">
        <v>1710</v>
      </c>
    </row>
    <row r="6" spans="1:9" s="836" customFormat="1" ht="22.5" customHeight="1">
      <c r="A6" s="362"/>
      <c r="B6" s="363" t="s">
        <v>1679</v>
      </c>
      <c r="C6" s="364">
        <f>C7+C20</f>
        <v>73516.000449999992</v>
      </c>
      <c r="D6" s="836">
        <f>D7-D8</f>
        <v>-21968.556999999997</v>
      </c>
      <c r="E6" s="365">
        <f>D6*50%</f>
        <v>-10984.278499999999</v>
      </c>
      <c r="F6" s="366"/>
    </row>
    <row r="7" spans="1:9" s="370" customFormat="1" ht="20.25" customHeight="1">
      <c r="A7" s="367" t="s">
        <v>11</v>
      </c>
      <c r="B7" s="368" t="s">
        <v>1420</v>
      </c>
      <c r="C7" s="369">
        <f>C8+C9</f>
        <v>19664.602480000001</v>
      </c>
      <c r="D7" s="370">
        <v>9884</v>
      </c>
      <c r="F7" s="367"/>
      <c r="G7" s="370">
        <f>C9+C21</f>
        <v>49425.50548</v>
      </c>
      <c r="H7" s="370">
        <f>C12+G15+C17+C30+C32+C35</f>
        <v>10419.841</v>
      </c>
      <c r="I7" s="370">
        <f>G7-H7</f>
        <v>39005.664479999999</v>
      </c>
    </row>
    <row r="8" spans="1:9" s="374" customFormat="1" ht="21" customHeight="1">
      <c r="A8" s="371">
        <v>1</v>
      </c>
      <c r="B8" s="372" t="s">
        <v>1680</v>
      </c>
      <c r="C8" s="373">
        <v>7.6589999999999998</v>
      </c>
      <c r="D8" s="374">
        <f>C8+C10+C21</f>
        <v>31852.556999999997</v>
      </c>
      <c r="E8" s="374">
        <v>3073</v>
      </c>
      <c r="F8" s="375"/>
      <c r="G8" s="370">
        <f>C8+C50</f>
        <v>24090.49497</v>
      </c>
    </row>
    <row r="9" spans="1:9" s="374" customFormat="1" ht="21" customHeight="1">
      <c r="A9" s="371">
        <v>2</v>
      </c>
      <c r="B9" s="372" t="s">
        <v>1711</v>
      </c>
      <c r="C9" s="373">
        <f>C10+C11+C12+C13+C16+C17+C18+C19</f>
        <v>19656.943480000002</v>
      </c>
      <c r="F9" s="375"/>
      <c r="G9" s="370">
        <v>4818</v>
      </c>
    </row>
    <row r="10" spans="1:9" s="374" customFormat="1" ht="22.5" customHeight="1">
      <c r="A10" s="375" t="s">
        <v>287</v>
      </c>
      <c r="B10" s="376" t="s">
        <v>1688</v>
      </c>
      <c r="C10" s="377">
        <v>2076.3359999999998</v>
      </c>
      <c r="E10" s="374">
        <f>D8+E8</f>
        <v>34925.557000000001</v>
      </c>
      <c r="F10" s="375" t="s">
        <v>2034</v>
      </c>
      <c r="G10" s="370">
        <f>G8-G9</f>
        <v>19272.49497</v>
      </c>
      <c r="H10" s="370">
        <f>G10*50%</f>
        <v>9636.2474849999999</v>
      </c>
    </row>
    <row r="11" spans="1:9" s="374" customFormat="1" ht="22.5" customHeight="1">
      <c r="A11" s="375" t="s">
        <v>287</v>
      </c>
      <c r="B11" s="376" t="s">
        <v>1712</v>
      </c>
      <c r="C11" s="377">
        <v>2671.7904800000001</v>
      </c>
      <c r="F11" s="375" t="s">
        <v>2034</v>
      </c>
      <c r="G11" s="370">
        <f>H10+G9</f>
        <v>14454.247485</v>
      </c>
      <c r="H11" s="370">
        <f>G7+G11</f>
        <v>63879.752965</v>
      </c>
    </row>
    <row r="12" spans="1:9" s="374" customFormat="1" ht="22.5" customHeight="1">
      <c r="A12" s="375" t="s">
        <v>4</v>
      </c>
      <c r="B12" s="376" t="s">
        <v>1689</v>
      </c>
      <c r="C12" s="377">
        <v>359.05500000000001</v>
      </c>
      <c r="F12" s="375" t="s">
        <v>1713</v>
      </c>
    </row>
    <row r="13" spans="1:9" s="374" customFormat="1" ht="22.5" customHeight="1">
      <c r="A13" s="375" t="s">
        <v>287</v>
      </c>
      <c r="B13" s="376" t="s">
        <v>1690</v>
      </c>
      <c r="C13" s="377">
        <f>C14+C15</f>
        <v>7215.4040000000005</v>
      </c>
      <c r="F13" s="375"/>
    </row>
    <row r="14" spans="1:9" s="374" customFormat="1" ht="24.75" customHeight="1">
      <c r="A14" s="378" t="s">
        <v>1681</v>
      </c>
      <c r="B14" s="379" t="s">
        <v>1691</v>
      </c>
      <c r="C14" s="380">
        <v>715.96100000000001</v>
      </c>
      <c r="F14" s="375" t="str">
        <f>F11</f>
        <v>Nguồn vốn đã hết thời hạn thanh toán</v>
      </c>
      <c r="G14" s="803">
        <v>5169.4660000000003</v>
      </c>
    </row>
    <row r="15" spans="1:9" s="374" customFormat="1" ht="24" customHeight="1">
      <c r="A15" s="378" t="s">
        <v>1681</v>
      </c>
      <c r="B15" s="379" t="s">
        <v>1692</v>
      </c>
      <c r="C15" s="380">
        <v>6499.4430000000002</v>
      </c>
      <c r="F15" s="381" t="s">
        <v>1972</v>
      </c>
      <c r="G15" s="382">
        <f>G14-C12-C17</f>
        <v>4028.3919999999998</v>
      </c>
    </row>
    <row r="16" spans="1:9" s="374" customFormat="1" ht="34.5" customHeight="1">
      <c r="A16" s="375" t="s">
        <v>287</v>
      </c>
      <c r="B16" s="383" t="s">
        <v>1693</v>
      </c>
      <c r="C16" s="377">
        <v>793.48199999999997</v>
      </c>
      <c r="F16" s="375" t="s">
        <v>2035</v>
      </c>
    </row>
    <row r="17" spans="1:7" s="374" customFormat="1" ht="22.5" customHeight="1">
      <c r="A17" s="375" t="s">
        <v>287</v>
      </c>
      <c r="B17" s="384" t="s">
        <v>1714</v>
      </c>
      <c r="C17" s="377">
        <v>782.01900000000001</v>
      </c>
      <c r="F17" s="375" t="s">
        <v>1713</v>
      </c>
    </row>
    <row r="18" spans="1:7" s="374" customFormat="1" ht="24" customHeight="1">
      <c r="A18" s="375" t="s">
        <v>287</v>
      </c>
      <c r="B18" s="384" t="s">
        <v>1715</v>
      </c>
      <c r="C18" s="377">
        <v>211.8</v>
      </c>
      <c r="F18" s="375" t="str">
        <f>F16</f>
        <v>Nguồn vốn hết nhiệm vụ chi</v>
      </c>
    </row>
    <row r="19" spans="1:7" s="374" customFormat="1" ht="24" customHeight="1">
      <c r="A19" s="375" t="s">
        <v>287</v>
      </c>
      <c r="B19" s="383" t="s">
        <v>1716</v>
      </c>
      <c r="C19" s="377">
        <v>5547.0569999999998</v>
      </c>
      <c r="F19" s="375" t="str">
        <f>F14</f>
        <v>Nguồn vốn đã hết thời hạn thanh toán</v>
      </c>
    </row>
    <row r="20" spans="1:7" s="370" customFormat="1" ht="24.75" customHeight="1">
      <c r="A20" s="367" t="s">
        <v>7</v>
      </c>
      <c r="B20" s="368" t="s">
        <v>1682</v>
      </c>
      <c r="C20" s="369">
        <f>C21+C50</f>
        <v>53851.397969999998</v>
      </c>
      <c r="F20" s="367"/>
    </row>
    <row r="21" spans="1:7" s="374" customFormat="1" ht="24.75" customHeight="1">
      <c r="A21" s="371">
        <v>1</v>
      </c>
      <c r="B21" s="385" t="s">
        <v>1683</v>
      </c>
      <c r="C21" s="386">
        <f>C22+SUM(C29:C49)</f>
        <v>29768.561999999998</v>
      </c>
      <c r="F21" s="375"/>
    </row>
    <row r="22" spans="1:7" s="374" customFormat="1" ht="21.75" customHeight="1">
      <c r="A22" s="375" t="s">
        <v>308</v>
      </c>
      <c r="B22" s="387" t="s">
        <v>1717</v>
      </c>
      <c r="C22" s="377">
        <f>SUM(C23:C28)</f>
        <v>9410.273000000001</v>
      </c>
      <c r="F22" s="375"/>
    </row>
    <row r="23" spans="1:7" s="370" customFormat="1" ht="24.75" customHeight="1">
      <c r="A23" s="378" t="s">
        <v>4</v>
      </c>
      <c r="B23" s="379" t="s">
        <v>1718</v>
      </c>
      <c r="C23" s="380">
        <f>1692.828+724+94</f>
        <v>2510.828</v>
      </c>
      <c r="F23" s="375" t="s">
        <v>2036</v>
      </c>
    </row>
    <row r="24" spans="1:7" s="370" customFormat="1" ht="24.75" customHeight="1">
      <c r="A24" s="378" t="s">
        <v>287</v>
      </c>
      <c r="B24" s="379" t="s">
        <v>1719</v>
      </c>
      <c r="C24" s="380">
        <f>268.177+42+36+153+1633</f>
        <v>2132.1770000000001</v>
      </c>
      <c r="F24" s="375" t="s">
        <v>2036</v>
      </c>
    </row>
    <row r="25" spans="1:7" s="370" customFormat="1" ht="24.75" customHeight="1">
      <c r="A25" s="378" t="s">
        <v>287</v>
      </c>
      <c r="B25" s="379" t="s">
        <v>1720</v>
      </c>
      <c r="C25" s="380">
        <v>1704.9480000000001</v>
      </c>
      <c r="F25" s="375" t="s">
        <v>2036</v>
      </c>
    </row>
    <row r="26" spans="1:7" s="370" customFormat="1" ht="36.75" customHeight="1">
      <c r="A26" s="378" t="s">
        <v>287</v>
      </c>
      <c r="B26" s="379" t="s">
        <v>1721</v>
      </c>
      <c r="C26" s="380">
        <v>3026.32</v>
      </c>
      <c r="F26" s="381" t="s">
        <v>2037</v>
      </c>
    </row>
    <row r="27" spans="1:7" s="370" customFormat="1" ht="33.75" customHeight="1">
      <c r="A27" s="378" t="s">
        <v>287</v>
      </c>
      <c r="B27" s="388" t="s">
        <v>1722</v>
      </c>
      <c r="C27" s="380">
        <v>31</v>
      </c>
      <c r="F27" s="381" t="str">
        <f>F26</f>
        <v>Kinh phí đã hết nhiệm vụ chi và hết thời hạn thanh toán</v>
      </c>
    </row>
    <row r="28" spans="1:7" s="370" customFormat="1" ht="32.25" customHeight="1">
      <c r="A28" s="378" t="s">
        <v>287</v>
      </c>
      <c r="B28" s="389" t="s">
        <v>1723</v>
      </c>
      <c r="C28" s="380">
        <v>5</v>
      </c>
      <c r="F28" s="375" t="s">
        <v>2036</v>
      </c>
    </row>
    <row r="29" spans="1:7" s="370" customFormat="1" ht="35.25" customHeight="1">
      <c r="A29" s="375" t="s">
        <v>305</v>
      </c>
      <c r="B29" s="383" t="s">
        <v>1724</v>
      </c>
      <c r="C29" s="377">
        <v>33.68</v>
      </c>
      <c r="F29" s="381" t="s">
        <v>2038</v>
      </c>
    </row>
    <row r="30" spans="1:7" s="370" customFormat="1" ht="22.5" customHeight="1">
      <c r="A30" s="375" t="s">
        <v>300</v>
      </c>
      <c r="B30" s="387" t="s">
        <v>1725</v>
      </c>
      <c r="C30" s="377">
        <f>1278.577+1427-73</f>
        <v>2632.5770000000002</v>
      </c>
      <c r="F30" s="375" t="s">
        <v>1713</v>
      </c>
      <c r="G30" s="374"/>
    </row>
    <row r="31" spans="1:7" s="370" customFormat="1" ht="33" customHeight="1">
      <c r="A31" s="375" t="s">
        <v>1432</v>
      </c>
      <c r="B31" s="387" t="s">
        <v>1726</v>
      </c>
      <c r="C31" s="377">
        <v>23.46</v>
      </c>
      <c r="F31" s="381" t="str">
        <f>F29</f>
        <v>Kinh phí còn dư sau khi quyết toán chính thức</v>
      </c>
    </row>
    <row r="32" spans="1:7" s="370" customFormat="1" ht="22.5" customHeight="1">
      <c r="A32" s="375" t="s">
        <v>1433</v>
      </c>
      <c r="B32" s="387" t="s">
        <v>1727</v>
      </c>
      <c r="C32" s="377">
        <v>2209.7979999999998</v>
      </c>
      <c r="F32" s="375" t="s">
        <v>1713</v>
      </c>
      <c r="G32" s="374"/>
    </row>
    <row r="33" spans="1:7" s="370" customFormat="1" ht="22.5" customHeight="1">
      <c r="A33" s="375" t="s">
        <v>1434</v>
      </c>
      <c r="B33" s="387" t="s">
        <v>1728</v>
      </c>
      <c r="C33" s="377">
        <v>193</v>
      </c>
      <c r="F33" s="381" t="str">
        <f>F23</f>
        <v>Kinh phí đã hết thời hạn thanh toán</v>
      </c>
    </row>
    <row r="34" spans="1:7" s="370" customFormat="1" ht="33" customHeight="1">
      <c r="A34" s="375" t="s">
        <v>1436</v>
      </c>
      <c r="B34" s="387" t="s">
        <v>1729</v>
      </c>
      <c r="C34" s="377">
        <v>4800</v>
      </c>
      <c r="F34" s="381" t="s">
        <v>2037</v>
      </c>
    </row>
    <row r="35" spans="1:7" s="370" customFormat="1" ht="22.5" customHeight="1">
      <c r="A35" s="375" t="s">
        <v>1479</v>
      </c>
      <c r="B35" s="387" t="s">
        <v>1500</v>
      </c>
      <c r="C35" s="377">
        <v>408</v>
      </c>
      <c r="F35" s="375" t="s">
        <v>1713</v>
      </c>
      <c r="G35" s="374"/>
    </row>
    <row r="36" spans="1:7" s="370" customFormat="1" ht="33.75" customHeight="1">
      <c r="A36" s="375" t="s">
        <v>1481</v>
      </c>
      <c r="B36" s="387" t="s">
        <v>1730</v>
      </c>
      <c r="C36" s="377">
        <v>195.339</v>
      </c>
      <c r="F36" s="381" t="s">
        <v>2038</v>
      </c>
    </row>
    <row r="37" spans="1:7" s="370" customFormat="1" ht="32.25" customHeight="1">
      <c r="A37" s="375" t="s">
        <v>1483</v>
      </c>
      <c r="B37" s="387" t="s">
        <v>1731</v>
      </c>
      <c r="C37" s="377">
        <v>7</v>
      </c>
      <c r="F37" s="381" t="str">
        <f>F36</f>
        <v>Kinh phí còn dư sau khi quyết toán chính thức</v>
      </c>
    </row>
    <row r="38" spans="1:7" s="370" customFormat="1" ht="22.5" customHeight="1">
      <c r="A38" s="375" t="s">
        <v>1526</v>
      </c>
      <c r="B38" s="387" t="s">
        <v>1732</v>
      </c>
      <c r="C38" s="377">
        <v>80.239999999999995</v>
      </c>
      <c r="F38" s="375" t="s">
        <v>2039</v>
      </c>
    </row>
    <row r="39" spans="1:7" s="370" customFormat="1" ht="33" customHeight="1">
      <c r="A39" s="375" t="s">
        <v>1527</v>
      </c>
      <c r="B39" s="387" t="s">
        <v>1733</v>
      </c>
      <c r="C39" s="377">
        <v>20.423000000000002</v>
      </c>
      <c r="F39" s="381" t="str">
        <f>F36</f>
        <v>Kinh phí còn dư sau khi quyết toán chính thức</v>
      </c>
    </row>
    <row r="40" spans="1:7" s="370" customFormat="1" ht="47.25" customHeight="1">
      <c r="A40" s="375" t="s">
        <v>1528</v>
      </c>
      <c r="B40" s="383" t="s">
        <v>1734</v>
      </c>
      <c r="C40" s="377">
        <v>3601.2379999999998</v>
      </c>
      <c r="F40" s="375" t="s">
        <v>2039</v>
      </c>
    </row>
    <row r="41" spans="1:7" s="370" customFormat="1" ht="36" customHeight="1">
      <c r="A41" s="375" t="s">
        <v>1529</v>
      </c>
      <c r="B41" s="384" t="s">
        <v>1735</v>
      </c>
      <c r="C41" s="377">
        <v>193.53400000000002</v>
      </c>
      <c r="F41" s="381" t="str">
        <f>F37</f>
        <v>Kinh phí còn dư sau khi quyết toán chính thức</v>
      </c>
    </row>
    <row r="42" spans="1:7" s="370" customFormat="1" ht="31.5" customHeight="1">
      <c r="A42" s="375" t="s">
        <v>1530</v>
      </c>
      <c r="B42" s="390" t="s">
        <v>1736</v>
      </c>
      <c r="C42" s="377">
        <v>150</v>
      </c>
      <c r="F42" s="381" t="s">
        <v>2040</v>
      </c>
    </row>
    <row r="43" spans="1:7" s="370" customFormat="1" ht="31.5" customHeight="1">
      <c r="A43" s="375" t="s">
        <v>1531</v>
      </c>
      <c r="B43" s="391" t="s">
        <v>1737</v>
      </c>
      <c r="C43" s="377">
        <v>86</v>
      </c>
      <c r="F43" s="381" t="str">
        <f>F39</f>
        <v>Kinh phí còn dư sau khi quyết toán chính thức</v>
      </c>
    </row>
    <row r="44" spans="1:7" s="370" customFormat="1" ht="31.5" customHeight="1">
      <c r="A44" s="375" t="s">
        <v>1532</v>
      </c>
      <c r="B44" s="391" t="s">
        <v>1738</v>
      </c>
      <c r="C44" s="377">
        <v>37</v>
      </c>
      <c r="F44" s="375" t="s">
        <v>2039</v>
      </c>
    </row>
    <row r="45" spans="1:7" s="370" customFormat="1" ht="39.75" customHeight="1">
      <c r="A45" s="375" t="s">
        <v>1533</v>
      </c>
      <c r="B45" s="392" t="s">
        <v>1739</v>
      </c>
      <c r="C45" s="377">
        <v>1455</v>
      </c>
      <c r="F45" s="381" t="str">
        <f>F42</f>
        <v>Kinh phí còn dư do không kịp triển khai nhiệm vụ trong năm</v>
      </c>
    </row>
    <row r="46" spans="1:7" s="370" customFormat="1" ht="49.5" customHeight="1">
      <c r="A46" s="375" t="s">
        <v>1534</v>
      </c>
      <c r="B46" s="391" t="s">
        <v>1740</v>
      </c>
      <c r="C46" s="377">
        <v>2846</v>
      </c>
      <c r="F46" s="381" t="s">
        <v>2041</v>
      </c>
    </row>
    <row r="47" spans="1:7" s="370" customFormat="1" ht="32.25" customHeight="1">
      <c r="A47" s="375" t="s">
        <v>1535</v>
      </c>
      <c r="B47" s="392" t="s">
        <v>1741</v>
      </c>
      <c r="C47" s="377">
        <v>806</v>
      </c>
      <c r="F47" s="381" t="str">
        <f>F42</f>
        <v>Kinh phí còn dư do không kịp triển khai nhiệm vụ trong năm</v>
      </c>
    </row>
    <row r="48" spans="1:7" s="370" customFormat="1" ht="33" customHeight="1">
      <c r="A48" s="375" t="s">
        <v>1536</v>
      </c>
      <c r="B48" s="392" t="s">
        <v>1742</v>
      </c>
      <c r="C48" s="377">
        <v>266</v>
      </c>
      <c r="F48" s="381" t="str">
        <f>F34</f>
        <v>Kinh phí đã hết nhiệm vụ chi và hết thời hạn thanh toán</v>
      </c>
    </row>
    <row r="49" spans="1:6" s="370" customFormat="1" ht="35.25" customHeight="1">
      <c r="A49" s="375" t="s">
        <v>1537</v>
      </c>
      <c r="B49" s="383" t="s">
        <v>1716</v>
      </c>
      <c r="C49" s="377">
        <v>314</v>
      </c>
      <c r="F49" s="381" t="str">
        <f>F34</f>
        <v>Kinh phí đã hết nhiệm vụ chi và hết thời hạn thanh toán</v>
      </c>
    </row>
    <row r="50" spans="1:6" s="374" customFormat="1" ht="24.75" customHeight="1">
      <c r="A50" s="371">
        <v>2</v>
      </c>
      <c r="B50" s="372" t="s">
        <v>1684</v>
      </c>
      <c r="C50" s="386">
        <f>C51+C57</f>
        <v>24082.83597</v>
      </c>
      <c r="F50" s="375"/>
    </row>
    <row r="51" spans="1:6" s="374" customFormat="1" ht="47.25">
      <c r="A51" s="375" t="s">
        <v>294</v>
      </c>
      <c r="B51" s="376" t="s">
        <v>1743</v>
      </c>
      <c r="C51" s="377">
        <f>SUM(C52:C56)</f>
        <v>4818.0945250000004</v>
      </c>
      <c r="F51" s="381" t="s">
        <v>2042</v>
      </c>
    </row>
    <row r="52" spans="1:6" s="374" customFormat="1" ht="18.75" customHeight="1">
      <c r="A52" s="375" t="s">
        <v>287</v>
      </c>
      <c r="B52" s="387" t="s">
        <v>1744</v>
      </c>
      <c r="C52" s="377">
        <v>45</v>
      </c>
      <c r="F52" s="375"/>
    </row>
    <row r="53" spans="1:6" s="374" customFormat="1" ht="22.5" customHeight="1">
      <c r="A53" s="375" t="s">
        <v>287</v>
      </c>
      <c r="B53" s="376" t="s">
        <v>1745</v>
      </c>
      <c r="C53" s="377">
        <f>200+501+794.219025+400</f>
        <v>1895.2190249999999</v>
      </c>
      <c r="F53" s="375"/>
    </row>
    <row r="54" spans="1:6" s="374" customFormat="1" ht="24.75" customHeight="1">
      <c r="A54" s="375" t="s">
        <v>287</v>
      </c>
      <c r="B54" s="376" t="s">
        <v>1746</v>
      </c>
      <c r="C54" s="377">
        <v>386</v>
      </c>
      <c r="F54" s="375"/>
    </row>
    <row r="55" spans="1:6" s="374" customFormat="1" ht="24.75" customHeight="1">
      <c r="A55" s="375" t="s">
        <v>287</v>
      </c>
      <c r="B55" s="376" t="s">
        <v>1747</v>
      </c>
      <c r="C55" s="377">
        <v>991.87549999999999</v>
      </c>
      <c r="F55" s="375"/>
    </row>
    <row r="56" spans="1:6" s="374" customFormat="1" ht="32.25" customHeight="1">
      <c r="A56" s="375" t="s">
        <v>4</v>
      </c>
      <c r="B56" s="376" t="s">
        <v>1748</v>
      </c>
      <c r="C56" s="377">
        <v>1500</v>
      </c>
      <c r="F56" s="375"/>
    </row>
    <row r="57" spans="1:6" ht="21.75" customHeight="1">
      <c r="A57" s="375" t="s">
        <v>1439</v>
      </c>
      <c r="B57" s="387" t="s">
        <v>1749</v>
      </c>
      <c r="C57" s="377">
        <f>SUM(C58:C76)</f>
        <v>19264.741445</v>
      </c>
      <c r="F57" s="375"/>
    </row>
    <row r="58" spans="1:6" ht="54.75" customHeight="1">
      <c r="A58" s="367" t="s">
        <v>287</v>
      </c>
      <c r="B58" s="376" t="s">
        <v>1745</v>
      </c>
      <c r="C58" s="377">
        <v>1514.454166</v>
      </c>
      <c r="F58" s="381" t="str">
        <f>F51</f>
        <v>Các đơn vị đã có khối lượng thực hiện, tuy nhiên trong năm 2017 chưa kịp thanh quyết toán với Kho bạc Nhà nước</v>
      </c>
    </row>
    <row r="59" spans="1:6" ht="41.25" customHeight="1">
      <c r="A59" s="367" t="s">
        <v>287</v>
      </c>
      <c r="B59" s="387" t="s">
        <v>1750</v>
      </c>
      <c r="C59" s="377">
        <v>88.596197000000004</v>
      </c>
      <c r="F59" s="381" t="str">
        <f>F45</f>
        <v>Kinh phí còn dư do không kịp triển khai nhiệm vụ trong năm</v>
      </c>
    </row>
    <row r="60" spans="1:6" ht="35.25" customHeight="1">
      <c r="A60" s="367" t="s">
        <v>287</v>
      </c>
      <c r="B60" s="394" t="s">
        <v>1751</v>
      </c>
      <c r="C60" s="377">
        <v>503.404</v>
      </c>
      <c r="F60" s="375" t="s">
        <v>2039</v>
      </c>
    </row>
    <row r="61" spans="1:6" ht="21.75" customHeight="1">
      <c r="A61" s="367" t="s">
        <v>287</v>
      </c>
      <c r="B61" s="387" t="s">
        <v>1752</v>
      </c>
      <c r="C61" s="377">
        <f>153+83</f>
        <v>236</v>
      </c>
      <c r="F61" s="375" t="s">
        <v>2039</v>
      </c>
    </row>
    <row r="62" spans="1:6" ht="55.5" customHeight="1">
      <c r="A62" s="367" t="s">
        <v>287</v>
      </c>
      <c r="B62" s="394" t="s">
        <v>1753</v>
      </c>
      <c r="C62" s="377">
        <v>44.38</v>
      </c>
      <c r="F62" s="381" t="s">
        <v>2043</v>
      </c>
    </row>
    <row r="63" spans="1:6" ht="21.75" customHeight="1">
      <c r="A63" s="367" t="s">
        <v>287</v>
      </c>
      <c r="B63" s="387" t="s">
        <v>1754</v>
      </c>
      <c r="C63" s="377">
        <v>417</v>
      </c>
      <c r="F63" s="375" t="s">
        <v>2039</v>
      </c>
    </row>
    <row r="64" spans="1:6" ht="21.75" customHeight="1">
      <c r="A64" s="367" t="s">
        <v>287</v>
      </c>
      <c r="B64" s="387" t="s">
        <v>1755</v>
      </c>
      <c r="C64" s="377">
        <v>413.14800000000002</v>
      </c>
      <c r="F64" s="375" t="s">
        <v>2039</v>
      </c>
    </row>
    <row r="65" spans="1:10" ht="36.75" customHeight="1">
      <c r="A65" s="367" t="s">
        <v>287</v>
      </c>
      <c r="B65" s="376" t="s">
        <v>1685</v>
      </c>
      <c r="C65" s="377">
        <f>19.466+2349.468636</f>
        <v>2368.934636</v>
      </c>
      <c r="F65" s="381" t="s">
        <v>2044</v>
      </c>
    </row>
    <row r="66" spans="1:10" ht="36.75" customHeight="1">
      <c r="A66" s="367" t="s">
        <v>287</v>
      </c>
      <c r="B66" s="394" t="s">
        <v>1756</v>
      </c>
      <c r="C66" s="377">
        <v>123.27523100000001</v>
      </c>
      <c r="F66" s="375" t="s">
        <v>2039</v>
      </c>
    </row>
    <row r="67" spans="1:10" ht="19.5" customHeight="1">
      <c r="A67" s="367" t="s">
        <v>287</v>
      </c>
      <c r="B67" s="387" t="s">
        <v>1757</v>
      </c>
      <c r="C67" s="377">
        <f>1129+704.575</f>
        <v>1833.575</v>
      </c>
      <c r="F67" s="375" t="s">
        <v>2039</v>
      </c>
    </row>
    <row r="68" spans="1:10" ht="32.25" customHeight="1">
      <c r="A68" s="367" t="s">
        <v>287</v>
      </c>
      <c r="B68" s="387" t="s">
        <v>1758</v>
      </c>
      <c r="C68" s="377">
        <v>1730</v>
      </c>
      <c r="F68" s="381" t="s">
        <v>2044</v>
      </c>
    </row>
    <row r="69" spans="1:10" ht="32.25" customHeight="1">
      <c r="A69" s="367" t="s">
        <v>287</v>
      </c>
      <c r="B69" s="394" t="s">
        <v>1759</v>
      </c>
      <c r="C69" s="377">
        <v>130</v>
      </c>
      <c r="F69" s="375" t="s">
        <v>2039</v>
      </c>
    </row>
    <row r="70" spans="1:10" ht="21.75" customHeight="1">
      <c r="A70" s="367" t="s">
        <v>287</v>
      </c>
      <c r="B70" s="387" t="s">
        <v>1760</v>
      </c>
      <c r="C70" s="377">
        <v>31</v>
      </c>
      <c r="F70" s="375" t="s">
        <v>2039</v>
      </c>
    </row>
    <row r="71" spans="1:10" ht="21.75" customHeight="1">
      <c r="A71" s="367" t="s">
        <v>287</v>
      </c>
      <c r="B71" s="387" t="s">
        <v>1761</v>
      </c>
      <c r="C71" s="377">
        <v>107</v>
      </c>
      <c r="F71" s="375" t="s">
        <v>2039</v>
      </c>
    </row>
    <row r="72" spans="1:10" ht="21.75" customHeight="1">
      <c r="A72" s="367" t="s">
        <v>287</v>
      </c>
      <c r="B72" s="387" t="s">
        <v>1762</v>
      </c>
      <c r="C72" s="377">
        <v>327.60121500000002</v>
      </c>
      <c r="F72" s="375" t="s">
        <v>2039</v>
      </c>
    </row>
    <row r="73" spans="1:10" ht="21.75" customHeight="1">
      <c r="A73" s="367" t="s">
        <v>287</v>
      </c>
      <c r="B73" s="387" t="s">
        <v>1763</v>
      </c>
      <c r="C73" s="377">
        <v>177</v>
      </c>
      <c r="F73" s="375" t="s">
        <v>2039</v>
      </c>
    </row>
    <row r="74" spans="1:10" ht="63">
      <c r="A74" s="367" t="s">
        <v>287</v>
      </c>
      <c r="B74" s="376" t="s">
        <v>1748</v>
      </c>
      <c r="C74" s="377">
        <v>2832</v>
      </c>
      <c r="F74" s="381" t="s">
        <v>2045</v>
      </c>
    </row>
    <row r="75" spans="1:10" ht="47.25">
      <c r="A75" s="795" t="s">
        <v>287</v>
      </c>
      <c r="B75" s="796" t="s">
        <v>1764</v>
      </c>
      <c r="C75" s="797">
        <v>3579.837</v>
      </c>
      <c r="F75" s="381" t="s">
        <v>2046</v>
      </c>
    </row>
    <row r="76" spans="1:10" ht="26.25" customHeight="1">
      <c r="A76" s="395" t="s">
        <v>287</v>
      </c>
      <c r="B76" s="396" t="s">
        <v>1686</v>
      </c>
      <c r="C76" s="397">
        <v>2807.5360000000001</v>
      </c>
      <c r="F76" s="398" t="s">
        <v>2039</v>
      </c>
    </row>
    <row r="77" spans="1:10" ht="18" customHeight="1">
      <c r="A77" s="1857"/>
      <c r="B77" s="1857"/>
      <c r="C77" s="1857"/>
      <c r="D77" s="1857"/>
      <c r="E77" s="1857"/>
      <c r="F77" s="1857"/>
      <c r="G77" s="804"/>
      <c r="H77" s="804"/>
      <c r="I77" s="804"/>
      <c r="J77" s="804"/>
    </row>
    <row r="78" spans="1:10" ht="17.25" customHeight="1">
      <c r="A78" s="1728"/>
      <c r="B78" s="1728"/>
      <c r="C78" s="1728"/>
      <c r="D78" s="1728"/>
      <c r="E78" s="1728"/>
      <c r="F78" s="1728"/>
      <c r="G78" s="805"/>
      <c r="H78" s="805"/>
      <c r="I78" s="805"/>
      <c r="J78" s="805"/>
    </row>
    <row r="79" spans="1:10" ht="18.75" customHeight="1">
      <c r="B79" s="807"/>
      <c r="C79" s="808"/>
    </row>
    <row r="80" spans="1:10" ht="18" customHeight="1">
      <c r="B80" s="807"/>
      <c r="C80" s="808"/>
    </row>
    <row r="81" spans="2:3" ht="18" customHeight="1">
      <c r="B81" s="809"/>
      <c r="C81" s="810"/>
    </row>
    <row r="82" spans="2:3" ht="18" customHeight="1">
      <c r="B82" s="809"/>
      <c r="C82" s="810"/>
    </row>
    <row r="83" spans="2:3" ht="18" customHeight="1">
      <c r="B83" s="811"/>
      <c r="C83" s="812"/>
    </row>
    <row r="84" spans="2:3" ht="18" customHeight="1">
      <c r="B84" s="807"/>
      <c r="C84" s="808"/>
    </row>
    <row r="85" spans="2:3" ht="31.5" customHeight="1"/>
  </sheetData>
  <autoFilter ref="B2:B84"/>
  <mergeCells count="5">
    <mergeCell ref="A2:F2"/>
    <mergeCell ref="A3:F3"/>
    <mergeCell ref="A4:F4"/>
    <mergeCell ref="A77:F77"/>
    <mergeCell ref="A78:F78"/>
  </mergeCells>
  <pageMargins left="0.43" right="0.35433070866141703" top="0.48" bottom="0.51" header="0.35433070866141703" footer="0.27559055118110198"/>
  <pageSetup paperSize="9" scale="92" firstPageNumber="59" fitToHeight="0" orientation="landscape" useFirstPageNumber="1" r:id="rId1"/>
  <headerFooter>
    <oddFooter>&amp;C&amp;P</oddFooter>
  </headerFooter>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9"/>
  <sheetViews>
    <sheetView zoomScaleNormal="100" workbookViewId="0">
      <selection activeCell="L9" sqref="L9"/>
    </sheetView>
  </sheetViews>
  <sheetFormatPr defaultRowHeight="15"/>
  <cols>
    <col min="1" max="1" width="4.42578125" style="818" customWidth="1"/>
    <col min="2" max="2" width="66.42578125" style="818" customWidth="1"/>
    <col min="3" max="3" width="10.42578125" style="818" customWidth="1"/>
    <col min="4" max="4" width="9.5703125" style="818" bestFit="1" customWidth="1"/>
    <col min="5" max="5" width="13" style="818" hidden="1" customWidth="1"/>
    <col min="6" max="6" width="12" style="818" hidden="1" customWidth="1"/>
    <col min="7" max="7" width="9.85546875" style="818" customWidth="1"/>
    <col min="8" max="8" width="10" style="818" customWidth="1"/>
    <col min="9" max="9" width="28.5703125" style="818" customWidth="1"/>
    <col min="10" max="16384" width="9.140625" style="818"/>
  </cols>
  <sheetData>
    <row r="1" spans="1:9" s="817" customFormat="1" ht="21.75" customHeight="1">
      <c r="A1" s="816" t="s">
        <v>221</v>
      </c>
      <c r="I1" s="835" t="s">
        <v>1982</v>
      </c>
    </row>
    <row r="2" spans="1:9" ht="20.25" customHeight="1">
      <c r="A2" s="1859" t="s">
        <v>1975</v>
      </c>
      <c r="B2" s="1859"/>
      <c r="C2" s="1859"/>
      <c r="D2" s="1859"/>
      <c r="E2" s="1859"/>
      <c r="F2" s="1859"/>
      <c r="G2" s="1859"/>
      <c r="H2" s="1859"/>
      <c r="I2" s="1859"/>
    </row>
    <row r="3" spans="1:9" ht="15.75">
      <c r="A3" s="1860" t="e">
        <f>'TM KDNS Tinh'!A3:F3</f>
        <v>#REF!</v>
      </c>
      <c r="B3" s="1670"/>
      <c r="C3" s="1670"/>
      <c r="D3" s="1670"/>
      <c r="E3" s="1670"/>
      <c r="F3" s="1670"/>
      <c r="G3" s="1670"/>
      <c r="H3" s="1670"/>
      <c r="I3" s="1670"/>
    </row>
    <row r="4" spans="1:9" ht="15.75">
      <c r="I4" s="819" t="s">
        <v>1677</v>
      </c>
    </row>
    <row r="5" spans="1:9" ht="33.75" customHeight="1">
      <c r="A5" s="1861" t="s">
        <v>316</v>
      </c>
      <c r="B5" s="1861" t="s">
        <v>1</v>
      </c>
      <c r="C5" s="1862" t="s">
        <v>1976</v>
      </c>
      <c r="D5" s="1863" t="s">
        <v>1917</v>
      </c>
      <c r="E5" s="1864"/>
      <c r="F5" s="1865"/>
      <c r="G5" s="1862" t="s">
        <v>1977</v>
      </c>
      <c r="H5" s="1862"/>
      <c r="I5" s="1861" t="s">
        <v>1978</v>
      </c>
    </row>
    <row r="6" spans="1:9" ht="30.75" customHeight="1">
      <c r="A6" s="1861"/>
      <c r="B6" s="1861"/>
      <c r="C6" s="1862"/>
      <c r="D6" s="1866"/>
      <c r="E6" s="1867"/>
      <c r="F6" s="1868"/>
      <c r="G6" s="820" t="s">
        <v>1979</v>
      </c>
      <c r="H6" s="820" t="s">
        <v>1980</v>
      </c>
      <c r="I6" s="1861"/>
    </row>
    <row r="7" spans="1:9" ht="18.75" customHeight="1">
      <c r="A7" s="821" t="s">
        <v>2</v>
      </c>
      <c r="B7" s="821" t="s">
        <v>3</v>
      </c>
      <c r="C7" s="822">
        <v>1</v>
      </c>
      <c r="D7" s="822">
        <v>2</v>
      </c>
      <c r="E7" s="822"/>
      <c r="F7" s="822"/>
      <c r="G7" s="823" t="s">
        <v>68</v>
      </c>
      <c r="H7" s="823" t="s">
        <v>1981</v>
      </c>
      <c r="I7" s="821">
        <v>5</v>
      </c>
    </row>
    <row r="8" spans="1:9" ht="20.25" customHeight="1">
      <c r="A8" s="824"/>
      <c r="B8" s="824" t="s">
        <v>25</v>
      </c>
      <c r="C8" s="820">
        <v>487568</v>
      </c>
      <c r="D8" s="820">
        <f>E8+F8</f>
        <v>703165</v>
      </c>
      <c r="E8" s="820">
        <f>SUM(E9:E15)</f>
        <v>532731</v>
      </c>
      <c r="F8" s="825">
        <f>SUM(F9:F15)</f>
        <v>170434</v>
      </c>
      <c r="G8" s="820">
        <f>D8-C8</f>
        <v>215597</v>
      </c>
      <c r="H8" s="826">
        <f>G8/C8%</f>
        <v>44.218857677288085</v>
      </c>
      <c r="I8" s="824"/>
    </row>
    <row r="9" spans="1:9" ht="60.75" customHeight="1">
      <c r="A9" s="827">
        <v>1</v>
      </c>
      <c r="B9" s="828" t="s">
        <v>1778</v>
      </c>
      <c r="C9" s="829"/>
      <c r="D9" s="820">
        <f t="shared" ref="D9:D15" si="0">E9+F9</f>
        <v>500963</v>
      </c>
      <c r="E9" s="829">
        <v>387453</v>
      </c>
      <c r="F9" s="829">
        <v>113510</v>
      </c>
      <c r="G9" s="829"/>
      <c r="H9" s="829"/>
      <c r="I9" s="827"/>
    </row>
    <row r="10" spans="1:9" ht="33.75" customHeight="1">
      <c r="A10" s="827">
        <v>2</v>
      </c>
      <c r="B10" s="828" t="s">
        <v>1929</v>
      </c>
      <c r="C10" s="829"/>
      <c r="D10" s="820">
        <f t="shared" si="0"/>
        <v>68</v>
      </c>
      <c r="E10" s="829">
        <v>0</v>
      </c>
      <c r="F10" s="829">
        <v>68</v>
      </c>
      <c r="G10" s="829"/>
      <c r="H10" s="829"/>
      <c r="I10" s="827"/>
    </row>
    <row r="11" spans="1:9" ht="33.75" customHeight="1">
      <c r="A11" s="827">
        <v>3</v>
      </c>
      <c r="B11" s="828" t="s">
        <v>1769</v>
      </c>
      <c r="C11" s="829"/>
      <c r="D11" s="820">
        <f t="shared" si="0"/>
        <v>13705</v>
      </c>
      <c r="E11" s="829">
        <v>1037</v>
      </c>
      <c r="F11" s="830">
        <v>12668</v>
      </c>
      <c r="G11" s="829"/>
      <c r="H11" s="829"/>
      <c r="I11" s="827"/>
    </row>
    <row r="12" spans="1:9" ht="36" customHeight="1">
      <c r="A12" s="827">
        <v>4</v>
      </c>
      <c r="B12" s="828" t="s">
        <v>1840</v>
      </c>
      <c r="C12" s="829"/>
      <c r="D12" s="820">
        <f t="shared" si="0"/>
        <v>15120</v>
      </c>
      <c r="E12" s="829">
        <v>3466</v>
      </c>
      <c r="F12" s="829">
        <v>11654</v>
      </c>
      <c r="G12" s="829"/>
      <c r="H12" s="829"/>
      <c r="I12" s="827"/>
    </row>
    <row r="13" spans="1:9" ht="48.75" customHeight="1">
      <c r="A13" s="827">
        <v>5</v>
      </c>
      <c r="B13" s="828" t="s">
        <v>1770</v>
      </c>
      <c r="C13" s="829"/>
      <c r="D13" s="820">
        <f t="shared" si="0"/>
        <v>111421</v>
      </c>
      <c r="E13" s="829">
        <f>55348+32411</f>
        <v>87759</v>
      </c>
      <c r="F13" s="831">
        <v>23662</v>
      </c>
      <c r="G13" s="829"/>
      <c r="H13" s="829"/>
      <c r="I13" s="827"/>
    </row>
    <row r="14" spans="1:9" ht="36" customHeight="1">
      <c r="A14" s="827">
        <v>6</v>
      </c>
      <c r="B14" s="828" t="s">
        <v>1886</v>
      </c>
      <c r="C14" s="829"/>
      <c r="D14" s="820">
        <f t="shared" si="0"/>
        <v>7560</v>
      </c>
      <c r="E14" s="829">
        <v>7536</v>
      </c>
      <c r="F14" s="830">
        <v>24</v>
      </c>
      <c r="G14" s="829"/>
      <c r="H14" s="829"/>
      <c r="I14" s="827"/>
    </row>
    <row r="15" spans="1:9" ht="49.5" customHeight="1">
      <c r="A15" s="827">
        <v>7</v>
      </c>
      <c r="B15" s="828" t="s">
        <v>1949</v>
      </c>
      <c r="C15" s="829"/>
      <c r="D15" s="820">
        <f t="shared" si="0"/>
        <v>54328</v>
      </c>
      <c r="E15" s="829">
        <v>45480</v>
      </c>
      <c r="F15" s="829">
        <v>8848</v>
      </c>
      <c r="G15" s="829"/>
      <c r="H15" s="829"/>
      <c r="I15" s="827"/>
    </row>
    <row r="16" spans="1:9" ht="15.75">
      <c r="A16" s="832"/>
    </row>
    <row r="17" spans="1:10" ht="18.75" customHeight="1">
      <c r="A17" s="1858"/>
      <c r="G17" s="1663"/>
      <c r="H17" s="1663"/>
      <c r="I17" s="1663"/>
      <c r="J17" s="833"/>
    </row>
    <row r="18" spans="1:10" ht="21" customHeight="1">
      <c r="A18" s="1858"/>
      <c r="G18" s="1666"/>
      <c r="H18" s="1666"/>
      <c r="I18" s="1666"/>
      <c r="J18" s="834"/>
    </row>
    <row r="19" spans="1:10" ht="19.5" customHeight="1">
      <c r="A19" s="1858"/>
      <c r="G19" s="1663"/>
      <c r="H19" s="1663"/>
      <c r="I19" s="1663"/>
      <c r="J19" s="833"/>
    </row>
  </sheetData>
  <mergeCells count="12">
    <mergeCell ref="A17:A19"/>
    <mergeCell ref="G17:I17"/>
    <mergeCell ref="G18:I18"/>
    <mergeCell ref="G19:I19"/>
    <mergeCell ref="A2:I2"/>
    <mergeCell ref="A3:I3"/>
    <mergeCell ref="A5:A6"/>
    <mergeCell ref="B5:B6"/>
    <mergeCell ref="C5:C6"/>
    <mergeCell ref="D5:F6"/>
    <mergeCell ref="G5:H5"/>
    <mergeCell ref="I5:I6"/>
  </mergeCells>
  <pageMargins left="0.4" right="0.35" top="0.3" bottom="0.51" header="0.21" footer="0.3"/>
  <pageSetup paperSize="9" firstPageNumber="64" orientation="landscape" useFirstPageNumber="1" r:id="rId1"/>
  <headerFooter>
    <oddFooter>&amp;C&amp;P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G202"/>
  <sheetViews>
    <sheetView zoomScaleNormal="100" workbookViewId="0">
      <pane ySplit="6" topLeftCell="A151" activePane="bottomLeft" state="frozen"/>
      <selection pane="bottomLeft" activeCell="C153" sqref="C153"/>
    </sheetView>
  </sheetViews>
  <sheetFormatPr defaultRowHeight="16.5"/>
  <cols>
    <col min="1" max="1" width="9.28515625" style="467" customWidth="1"/>
    <col min="2" max="2" width="68.28515625" style="468" customWidth="1"/>
    <col min="3" max="3" width="21.42578125" style="472" customWidth="1"/>
    <col min="4" max="4" width="18.140625" style="473" customWidth="1"/>
    <col min="5" max="5" width="18.5703125" style="469" customWidth="1"/>
    <col min="6" max="6" width="18.7109375" style="399" bestFit="1" customWidth="1"/>
    <col min="7" max="256" width="9.140625" style="399"/>
    <col min="257" max="257" width="4.28515625" style="399" customWidth="1"/>
    <col min="258" max="258" width="45.5703125" style="399" customWidth="1"/>
    <col min="259" max="260" width="15.5703125" style="399" customWidth="1"/>
    <col min="261" max="261" width="15.7109375" style="399" customWidth="1"/>
    <col min="262" max="262" width="18.7109375" style="399" bestFit="1" customWidth="1"/>
    <col min="263" max="512" width="9.140625" style="399"/>
    <col min="513" max="513" width="4.28515625" style="399" customWidth="1"/>
    <col min="514" max="514" width="45.5703125" style="399" customWidth="1"/>
    <col min="515" max="516" width="15.5703125" style="399" customWidth="1"/>
    <col min="517" max="517" width="15.7109375" style="399" customWidth="1"/>
    <col min="518" max="518" width="18.7109375" style="399" bestFit="1" customWidth="1"/>
    <col min="519" max="768" width="9.140625" style="399"/>
    <col min="769" max="769" width="4.28515625" style="399" customWidth="1"/>
    <col min="770" max="770" width="45.5703125" style="399" customWidth="1"/>
    <col min="771" max="772" width="15.5703125" style="399" customWidth="1"/>
    <col min="773" max="773" width="15.7109375" style="399" customWidth="1"/>
    <col min="774" max="774" width="18.7109375" style="399" bestFit="1" customWidth="1"/>
    <col min="775" max="1024" width="9.140625" style="399"/>
    <col min="1025" max="1025" width="4.28515625" style="399" customWidth="1"/>
    <col min="1026" max="1026" width="45.5703125" style="399" customWidth="1"/>
    <col min="1027" max="1028" width="15.5703125" style="399" customWidth="1"/>
    <col min="1029" max="1029" width="15.7109375" style="399" customWidth="1"/>
    <col min="1030" max="1030" width="18.7109375" style="399" bestFit="1" customWidth="1"/>
    <col min="1031" max="1280" width="9.140625" style="399"/>
    <col min="1281" max="1281" width="4.28515625" style="399" customWidth="1"/>
    <col min="1282" max="1282" width="45.5703125" style="399" customWidth="1"/>
    <col min="1283" max="1284" width="15.5703125" style="399" customWidth="1"/>
    <col min="1285" max="1285" width="15.7109375" style="399" customWidth="1"/>
    <col min="1286" max="1286" width="18.7109375" style="399" bestFit="1" customWidth="1"/>
    <col min="1287" max="1536" width="9.140625" style="399"/>
    <col min="1537" max="1537" width="4.28515625" style="399" customWidth="1"/>
    <col min="1538" max="1538" width="45.5703125" style="399" customWidth="1"/>
    <col min="1539" max="1540" width="15.5703125" style="399" customWidth="1"/>
    <col min="1541" max="1541" width="15.7109375" style="399" customWidth="1"/>
    <col min="1542" max="1542" width="18.7109375" style="399" bestFit="1" customWidth="1"/>
    <col min="1543" max="1792" width="9.140625" style="399"/>
    <col min="1793" max="1793" width="4.28515625" style="399" customWidth="1"/>
    <col min="1794" max="1794" width="45.5703125" style="399" customWidth="1"/>
    <col min="1795" max="1796" width="15.5703125" style="399" customWidth="1"/>
    <col min="1797" max="1797" width="15.7109375" style="399" customWidth="1"/>
    <col min="1798" max="1798" width="18.7109375" style="399" bestFit="1" customWidth="1"/>
    <col min="1799" max="2048" width="9.140625" style="399"/>
    <col min="2049" max="2049" width="4.28515625" style="399" customWidth="1"/>
    <col min="2050" max="2050" width="45.5703125" style="399" customWidth="1"/>
    <col min="2051" max="2052" width="15.5703125" style="399" customWidth="1"/>
    <col min="2053" max="2053" width="15.7109375" style="399" customWidth="1"/>
    <col min="2054" max="2054" width="18.7109375" style="399" bestFit="1" customWidth="1"/>
    <col min="2055" max="2304" width="9.140625" style="399"/>
    <col min="2305" max="2305" width="4.28515625" style="399" customWidth="1"/>
    <col min="2306" max="2306" width="45.5703125" style="399" customWidth="1"/>
    <col min="2307" max="2308" width="15.5703125" style="399" customWidth="1"/>
    <col min="2309" max="2309" width="15.7109375" style="399" customWidth="1"/>
    <col min="2310" max="2310" width="18.7109375" style="399" bestFit="1" customWidth="1"/>
    <col min="2311" max="2560" width="9.140625" style="399"/>
    <col min="2561" max="2561" width="4.28515625" style="399" customWidth="1"/>
    <col min="2562" max="2562" width="45.5703125" style="399" customWidth="1"/>
    <col min="2563" max="2564" width="15.5703125" style="399" customWidth="1"/>
    <col min="2565" max="2565" width="15.7109375" style="399" customWidth="1"/>
    <col min="2566" max="2566" width="18.7109375" style="399" bestFit="1" customWidth="1"/>
    <col min="2567" max="2816" width="9.140625" style="399"/>
    <col min="2817" max="2817" width="4.28515625" style="399" customWidth="1"/>
    <col min="2818" max="2818" width="45.5703125" style="399" customWidth="1"/>
    <col min="2819" max="2820" width="15.5703125" style="399" customWidth="1"/>
    <col min="2821" max="2821" width="15.7109375" style="399" customWidth="1"/>
    <col min="2822" max="2822" width="18.7109375" style="399" bestFit="1" customWidth="1"/>
    <col min="2823" max="3072" width="9.140625" style="399"/>
    <col min="3073" max="3073" width="4.28515625" style="399" customWidth="1"/>
    <col min="3074" max="3074" width="45.5703125" style="399" customWidth="1"/>
    <col min="3075" max="3076" width="15.5703125" style="399" customWidth="1"/>
    <col min="3077" max="3077" width="15.7109375" style="399" customWidth="1"/>
    <col min="3078" max="3078" width="18.7109375" style="399" bestFit="1" customWidth="1"/>
    <col min="3079" max="3328" width="9.140625" style="399"/>
    <col min="3329" max="3329" width="4.28515625" style="399" customWidth="1"/>
    <col min="3330" max="3330" width="45.5703125" style="399" customWidth="1"/>
    <col min="3331" max="3332" width="15.5703125" style="399" customWidth="1"/>
    <col min="3333" max="3333" width="15.7109375" style="399" customWidth="1"/>
    <col min="3334" max="3334" width="18.7109375" style="399" bestFit="1" customWidth="1"/>
    <col min="3335" max="3584" width="9.140625" style="399"/>
    <col min="3585" max="3585" width="4.28515625" style="399" customWidth="1"/>
    <col min="3586" max="3586" width="45.5703125" style="399" customWidth="1"/>
    <col min="3587" max="3588" width="15.5703125" style="399" customWidth="1"/>
    <col min="3589" max="3589" width="15.7109375" style="399" customWidth="1"/>
    <col min="3590" max="3590" width="18.7109375" style="399" bestFit="1" customWidth="1"/>
    <col min="3591" max="3840" width="9.140625" style="399"/>
    <col min="3841" max="3841" width="4.28515625" style="399" customWidth="1"/>
    <col min="3842" max="3842" width="45.5703125" style="399" customWidth="1"/>
    <col min="3843" max="3844" width="15.5703125" style="399" customWidth="1"/>
    <col min="3845" max="3845" width="15.7109375" style="399" customWidth="1"/>
    <col min="3846" max="3846" width="18.7109375" style="399" bestFit="1" customWidth="1"/>
    <col min="3847" max="4096" width="9.140625" style="399"/>
    <col min="4097" max="4097" width="4.28515625" style="399" customWidth="1"/>
    <col min="4098" max="4098" width="45.5703125" style="399" customWidth="1"/>
    <col min="4099" max="4100" width="15.5703125" style="399" customWidth="1"/>
    <col min="4101" max="4101" width="15.7109375" style="399" customWidth="1"/>
    <col min="4102" max="4102" width="18.7109375" style="399" bestFit="1" customWidth="1"/>
    <col min="4103" max="4352" width="9.140625" style="399"/>
    <col min="4353" max="4353" width="4.28515625" style="399" customWidth="1"/>
    <col min="4354" max="4354" width="45.5703125" style="399" customWidth="1"/>
    <col min="4355" max="4356" width="15.5703125" style="399" customWidth="1"/>
    <col min="4357" max="4357" width="15.7109375" style="399" customWidth="1"/>
    <col min="4358" max="4358" width="18.7109375" style="399" bestFit="1" customWidth="1"/>
    <col min="4359" max="4608" width="9.140625" style="399"/>
    <col min="4609" max="4609" width="4.28515625" style="399" customWidth="1"/>
    <col min="4610" max="4610" width="45.5703125" style="399" customWidth="1"/>
    <col min="4611" max="4612" width="15.5703125" style="399" customWidth="1"/>
    <col min="4613" max="4613" width="15.7109375" style="399" customWidth="1"/>
    <col min="4614" max="4614" width="18.7109375" style="399" bestFit="1" customWidth="1"/>
    <col min="4615" max="4864" width="9.140625" style="399"/>
    <col min="4865" max="4865" width="4.28515625" style="399" customWidth="1"/>
    <col min="4866" max="4866" width="45.5703125" style="399" customWidth="1"/>
    <col min="4867" max="4868" width="15.5703125" style="399" customWidth="1"/>
    <col min="4869" max="4869" width="15.7109375" style="399" customWidth="1"/>
    <col min="4870" max="4870" width="18.7109375" style="399" bestFit="1" customWidth="1"/>
    <col min="4871" max="5120" width="9.140625" style="399"/>
    <col min="5121" max="5121" width="4.28515625" style="399" customWidth="1"/>
    <col min="5122" max="5122" width="45.5703125" style="399" customWidth="1"/>
    <col min="5123" max="5124" width="15.5703125" style="399" customWidth="1"/>
    <col min="5125" max="5125" width="15.7109375" style="399" customWidth="1"/>
    <col min="5126" max="5126" width="18.7109375" style="399" bestFit="1" customWidth="1"/>
    <col min="5127" max="5376" width="9.140625" style="399"/>
    <col min="5377" max="5377" width="4.28515625" style="399" customWidth="1"/>
    <col min="5378" max="5378" width="45.5703125" style="399" customWidth="1"/>
    <col min="5379" max="5380" width="15.5703125" style="399" customWidth="1"/>
    <col min="5381" max="5381" width="15.7109375" style="399" customWidth="1"/>
    <col min="5382" max="5382" width="18.7109375" style="399" bestFit="1" customWidth="1"/>
    <col min="5383" max="5632" width="9.140625" style="399"/>
    <col min="5633" max="5633" width="4.28515625" style="399" customWidth="1"/>
    <col min="5634" max="5634" width="45.5703125" style="399" customWidth="1"/>
    <col min="5635" max="5636" width="15.5703125" style="399" customWidth="1"/>
    <col min="5637" max="5637" width="15.7109375" style="399" customWidth="1"/>
    <col min="5638" max="5638" width="18.7109375" style="399" bestFit="1" customWidth="1"/>
    <col min="5639" max="5888" width="9.140625" style="399"/>
    <col min="5889" max="5889" width="4.28515625" style="399" customWidth="1"/>
    <col min="5890" max="5890" width="45.5703125" style="399" customWidth="1"/>
    <col min="5891" max="5892" width="15.5703125" style="399" customWidth="1"/>
    <col min="5893" max="5893" width="15.7109375" style="399" customWidth="1"/>
    <col min="5894" max="5894" width="18.7109375" style="399" bestFit="1" customWidth="1"/>
    <col min="5895" max="6144" width="9.140625" style="399"/>
    <col min="6145" max="6145" width="4.28515625" style="399" customWidth="1"/>
    <col min="6146" max="6146" width="45.5703125" style="399" customWidth="1"/>
    <col min="6147" max="6148" width="15.5703125" style="399" customWidth="1"/>
    <col min="6149" max="6149" width="15.7109375" style="399" customWidth="1"/>
    <col min="6150" max="6150" width="18.7109375" style="399" bestFit="1" customWidth="1"/>
    <col min="6151" max="6400" width="9.140625" style="399"/>
    <col min="6401" max="6401" width="4.28515625" style="399" customWidth="1"/>
    <col min="6402" max="6402" width="45.5703125" style="399" customWidth="1"/>
    <col min="6403" max="6404" width="15.5703125" style="399" customWidth="1"/>
    <col min="6405" max="6405" width="15.7109375" style="399" customWidth="1"/>
    <col min="6406" max="6406" width="18.7109375" style="399" bestFit="1" customWidth="1"/>
    <col min="6407" max="6656" width="9.140625" style="399"/>
    <col min="6657" max="6657" width="4.28515625" style="399" customWidth="1"/>
    <col min="6658" max="6658" width="45.5703125" style="399" customWidth="1"/>
    <col min="6659" max="6660" width="15.5703125" style="399" customWidth="1"/>
    <col min="6661" max="6661" width="15.7109375" style="399" customWidth="1"/>
    <col min="6662" max="6662" width="18.7109375" style="399" bestFit="1" customWidth="1"/>
    <col min="6663" max="6912" width="9.140625" style="399"/>
    <col min="6913" max="6913" width="4.28515625" style="399" customWidth="1"/>
    <col min="6914" max="6914" width="45.5703125" style="399" customWidth="1"/>
    <col min="6915" max="6916" width="15.5703125" style="399" customWidth="1"/>
    <col min="6917" max="6917" width="15.7109375" style="399" customWidth="1"/>
    <col min="6918" max="6918" width="18.7109375" style="399" bestFit="1" customWidth="1"/>
    <col min="6919" max="7168" width="9.140625" style="399"/>
    <col min="7169" max="7169" width="4.28515625" style="399" customWidth="1"/>
    <col min="7170" max="7170" width="45.5703125" style="399" customWidth="1"/>
    <col min="7171" max="7172" width="15.5703125" style="399" customWidth="1"/>
    <col min="7173" max="7173" width="15.7109375" style="399" customWidth="1"/>
    <col min="7174" max="7174" width="18.7109375" style="399" bestFit="1" customWidth="1"/>
    <col min="7175" max="7424" width="9.140625" style="399"/>
    <col min="7425" max="7425" width="4.28515625" style="399" customWidth="1"/>
    <col min="7426" max="7426" width="45.5703125" style="399" customWidth="1"/>
    <col min="7427" max="7428" width="15.5703125" style="399" customWidth="1"/>
    <col min="7429" max="7429" width="15.7109375" style="399" customWidth="1"/>
    <col min="7430" max="7430" width="18.7109375" style="399" bestFit="1" customWidth="1"/>
    <col min="7431" max="7680" width="9.140625" style="399"/>
    <col min="7681" max="7681" width="4.28515625" style="399" customWidth="1"/>
    <col min="7682" max="7682" width="45.5703125" style="399" customWidth="1"/>
    <col min="7683" max="7684" width="15.5703125" style="399" customWidth="1"/>
    <col min="7685" max="7685" width="15.7109375" style="399" customWidth="1"/>
    <col min="7686" max="7686" width="18.7109375" style="399" bestFit="1" customWidth="1"/>
    <col min="7687" max="7936" width="9.140625" style="399"/>
    <col min="7937" max="7937" width="4.28515625" style="399" customWidth="1"/>
    <col min="7938" max="7938" width="45.5703125" style="399" customWidth="1"/>
    <col min="7939" max="7940" width="15.5703125" style="399" customWidth="1"/>
    <col min="7941" max="7941" width="15.7109375" style="399" customWidth="1"/>
    <col min="7942" max="7942" width="18.7109375" style="399" bestFit="1" customWidth="1"/>
    <col min="7943" max="8192" width="9.140625" style="399"/>
    <col min="8193" max="8193" width="4.28515625" style="399" customWidth="1"/>
    <col min="8194" max="8194" width="45.5703125" style="399" customWidth="1"/>
    <col min="8195" max="8196" width="15.5703125" style="399" customWidth="1"/>
    <col min="8197" max="8197" width="15.7109375" style="399" customWidth="1"/>
    <col min="8198" max="8198" width="18.7109375" style="399" bestFit="1" customWidth="1"/>
    <col min="8199" max="8448" width="9.140625" style="399"/>
    <col min="8449" max="8449" width="4.28515625" style="399" customWidth="1"/>
    <col min="8450" max="8450" width="45.5703125" style="399" customWidth="1"/>
    <col min="8451" max="8452" width="15.5703125" style="399" customWidth="1"/>
    <col min="8453" max="8453" width="15.7109375" style="399" customWidth="1"/>
    <col min="8454" max="8454" width="18.7109375" style="399" bestFit="1" customWidth="1"/>
    <col min="8455" max="8704" width="9.140625" style="399"/>
    <col min="8705" max="8705" width="4.28515625" style="399" customWidth="1"/>
    <col min="8706" max="8706" width="45.5703125" style="399" customWidth="1"/>
    <col min="8707" max="8708" width="15.5703125" style="399" customWidth="1"/>
    <col min="8709" max="8709" width="15.7109375" style="399" customWidth="1"/>
    <col min="8710" max="8710" width="18.7109375" style="399" bestFit="1" customWidth="1"/>
    <col min="8711" max="8960" width="9.140625" style="399"/>
    <col min="8961" max="8961" width="4.28515625" style="399" customWidth="1"/>
    <col min="8962" max="8962" width="45.5703125" style="399" customWidth="1"/>
    <col min="8963" max="8964" width="15.5703125" style="399" customWidth="1"/>
    <col min="8965" max="8965" width="15.7109375" style="399" customWidth="1"/>
    <col min="8966" max="8966" width="18.7109375" style="399" bestFit="1" customWidth="1"/>
    <col min="8967" max="9216" width="9.140625" style="399"/>
    <col min="9217" max="9217" width="4.28515625" style="399" customWidth="1"/>
    <col min="9218" max="9218" width="45.5703125" style="399" customWidth="1"/>
    <col min="9219" max="9220" width="15.5703125" style="399" customWidth="1"/>
    <col min="9221" max="9221" width="15.7109375" style="399" customWidth="1"/>
    <col min="9222" max="9222" width="18.7109375" style="399" bestFit="1" customWidth="1"/>
    <col min="9223" max="9472" width="9.140625" style="399"/>
    <col min="9473" max="9473" width="4.28515625" style="399" customWidth="1"/>
    <col min="9474" max="9474" width="45.5703125" style="399" customWidth="1"/>
    <col min="9475" max="9476" width="15.5703125" style="399" customWidth="1"/>
    <col min="9477" max="9477" width="15.7109375" style="399" customWidth="1"/>
    <col min="9478" max="9478" width="18.7109375" style="399" bestFit="1" customWidth="1"/>
    <col min="9479" max="9728" width="9.140625" style="399"/>
    <col min="9729" max="9729" width="4.28515625" style="399" customWidth="1"/>
    <col min="9730" max="9730" width="45.5703125" style="399" customWidth="1"/>
    <col min="9731" max="9732" width="15.5703125" style="399" customWidth="1"/>
    <col min="9733" max="9733" width="15.7109375" style="399" customWidth="1"/>
    <col min="9734" max="9734" width="18.7109375" style="399" bestFit="1" customWidth="1"/>
    <col min="9735" max="9984" width="9.140625" style="399"/>
    <col min="9985" max="9985" width="4.28515625" style="399" customWidth="1"/>
    <col min="9986" max="9986" width="45.5703125" style="399" customWidth="1"/>
    <col min="9987" max="9988" width="15.5703125" style="399" customWidth="1"/>
    <col min="9989" max="9989" width="15.7109375" style="399" customWidth="1"/>
    <col min="9990" max="9990" width="18.7109375" style="399" bestFit="1" customWidth="1"/>
    <col min="9991" max="10240" width="9.140625" style="399"/>
    <col min="10241" max="10241" width="4.28515625" style="399" customWidth="1"/>
    <col min="10242" max="10242" width="45.5703125" style="399" customWidth="1"/>
    <col min="10243" max="10244" width="15.5703125" style="399" customWidth="1"/>
    <col min="10245" max="10245" width="15.7109375" style="399" customWidth="1"/>
    <col min="10246" max="10246" width="18.7109375" style="399" bestFit="1" customWidth="1"/>
    <col min="10247" max="10496" width="9.140625" style="399"/>
    <col min="10497" max="10497" width="4.28515625" style="399" customWidth="1"/>
    <col min="10498" max="10498" width="45.5703125" style="399" customWidth="1"/>
    <col min="10499" max="10500" width="15.5703125" style="399" customWidth="1"/>
    <col min="10501" max="10501" width="15.7109375" style="399" customWidth="1"/>
    <col min="10502" max="10502" width="18.7109375" style="399" bestFit="1" customWidth="1"/>
    <col min="10503" max="10752" width="9.140625" style="399"/>
    <col min="10753" max="10753" width="4.28515625" style="399" customWidth="1"/>
    <col min="10754" max="10754" width="45.5703125" style="399" customWidth="1"/>
    <col min="10755" max="10756" width="15.5703125" style="399" customWidth="1"/>
    <col min="10757" max="10757" width="15.7109375" style="399" customWidth="1"/>
    <col min="10758" max="10758" width="18.7109375" style="399" bestFit="1" customWidth="1"/>
    <col min="10759" max="11008" width="9.140625" style="399"/>
    <col min="11009" max="11009" width="4.28515625" style="399" customWidth="1"/>
    <col min="11010" max="11010" width="45.5703125" style="399" customWidth="1"/>
    <col min="11011" max="11012" width="15.5703125" style="399" customWidth="1"/>
    <col min="11013" max="11013" width="15.7109375" style="399" customWidth="1"/>
    <col min="11014" max="11014" width="18.7109375" style="399" bestFit="1" customWidth="1"/>
    <col min="11015" max="11264" width="9.140625" style="399"/>
    <col min="11265" max="11265" width="4.28515625" style="399" customWidth="1"/>
    <col min="11266" max="11266" width="45.5703125" style="399" customWidth="1"/>
    <col min="11267" max="11268" width="15.5703125" style="399" customWidth="1"/>
    <col min="11269" max="11269" width="15.7109375" style="399" customWidth="1"/>
    <col min="11270" max="11270" width="18.7109375" style="399" bestFit="1" customWidth="1"/>
    <col min="11271" max="11520" width="9.140625" style="399"/>
    <col min="11521" max="11521" width="4.28515625" style="399" customWidth="1"/>
    <col min="11522" max="11522" width="45.5703125" style="399" customWidth="1"/>
    <col min="11523" max="11524" width="15.5703125" style="399" customWidth="1"/>
    <col min="11525" max="11525" width="15.7109375" style="399" customWidth="1"/>
    <col min="11526" max="11526" width="18.7109375" style="399" bestFit="1" customWidth="1"/>
    <col min="11527" max="11776" width="9.140625" style="399"/>
    <col min="11777" max="11777" width="4.28515625" style="399" customWidth="1"/>
    <col min="11778" max="11778" width="45.5703125" style="399" customWidth="1"/>
    <col min="11779" max="11780" width="15.5703125" style="399" customWidth="1"/>
    <col min="11781" max="11781" width="15.7109375" style="399" customWidth="1"/>
    <col min="11782" max="11782" width="18.7109375" style="399" bestFit="1" customWidth="1"/>
    <col min="11783" max="12032" width="9.140625" style="399"/>
    <col min="12033" max="12033" width="4.28515625" style="399" customWidth="1"/>
    <col min="12034" max="12034" width="45.5703125" style="399" customWidth="1"/>
    <col min="12035" max="12036" width="15.5703125" style="399" customWidth="1"/>
    <col min="12037" max="12037" width="15.7109375" style="399" customWidth="1"/>
    <col min="12038" max="12038" width="18.7109375" style="399" bestFit="1" customWidth="1"/>
    <col min="12039" max="12288" width="9.140625" style="399"/>
    <col min="12289" max="12289" width="4.28515625" style="399" customWidth="1"/>
    <col min="12290" max="12290" width="45.5703125" style="399" customWidth="1"/>
    <col min="12291" max="12292" width="15.5703125" style="399" customWidth="1"/>
    <col min="12293" max="12293" width="15.7109375" style="399" customWidth="1"/>
    <col min="12294" max="12294" width="18.7109375" style="399" bestFit="1" customWidth="1"/>
    <col min="12295" max="12544" width="9.140625" style="399"/>
    <col min="12545" max="12545" width="4.28515625" style="399" customWidth="1"/>
    <col min="12546" max="12546" width="45.5703125" style="399" customWidth="1"/>
    <col min="12547" max="12548" width="15.5703125" style="399" customWidth="1"/>
    <col min="12549" max="12549" width="15.7109375" style="399" customWidth="1"/>
    <col min="12550" max="12550" width="18.7109375" style="399" bestFit="1" customWidth="1"/>
    <col min="12551" max="12800" width="9.140625" style="399"/>
    <col min="12801" max="12801" width="4.28515625" style="399" customWidth="1"/>
    <col min="12802" max="12802" width="45.5703125" style="399" customWidth="1"/>
    <col min="12803" max="12804" width="15.5703125" style="399" customWidth="1"/>
    <col min="12805" max="12805" width="15.7109375" style="399" customWidth="1"/>
    <col min="12806" max="12806" width="18.7109375" style="399" bestFit="1" customWidth="1"/>
    <col min="12807" max="13056" width="9.140625" style="399"/>
    <col min="13057" max="13057" width="4.28515625" style="399" customWidth="1"/>
    <col min="13058" max="13058" width="45.5703125" style="399" customWidth="1"/>
    <col min="13059" max="13060" width="15.5703125" style="399" customWidth="1"/>
    <col min="13061" max="13061" width="15.7109375" style="399" customWidth="1"/>
    <col min="13062" max="13062" width="18.7109375" style="399" bestFit="1" customWidth="1"/>
    <col min="13063" max="13312" width="9.140625" style="399"/>
    <col min="13313" max="13313" width="4.28515625" style="399" customWidth="1"/>
    <col min="13314" max="13314" width="45.5703125" style="399" customWidth="1"/>
    <col min="13315" max="13316" width="15.5703125" style="399" customWidth="1"/>
    <col min="13317" max="13317" width="15.7109375" style="399" customWidth="1"/>
    <col min="13318" max="13318" width="18.7109375" style="399" bestFit="1" customWidth="1"/>
    <col min="13319" max="13568" width="9.140625" style="399"/>
    <col min="13569" max="13569" width="4.28515625" style="399" customWidth="1"/>
    <col min="13570" max="13570" width="45.5703125" style="399" customWidth="1"/>
    <col min="13571" max="13572" width="15.5703125" style="399" customWidth="1"/>
    <col min="13573" max="13573" width="15.7109375" style="399" customWidth="1"/>
    <col min="13574" max="13574" width="18.7109375" style="399" bestFit="1" customWidth="1"/>
    <col min="13575" max="13824" width="9.140625" style="399"/>
    <col min="13825" max="13825" width="4.28515625" style="399" customWidth="1"/>
    <col min="13826" max="13826" width="45.5703125" style="399" customWidth="1"/>
    <col min="13827" max="13828" width="15.5703125" style="399" customWidth="1"/>
    <col min="13829" max="13829" width="15.7109375" style="399" customWidth="1"/>
    <col min="13830" max="13830" width="18.7109375" style="399" bestFit="1" customWidth="1"/>
    <col min="13831" max="14080" width="9.140625" style="399"/>
    <col min="14081" max="14081" width="4.28515625" style="399" customWidth="1"/>
    <col min="14082" max="14082" width="45.5703125" style="399" customWidth="1"/>
    <col min="14083" max="14084" width="15.5703125" style="399" customWidth="1"/>
    <col min="14085" max="14085" width="15.7109375" style="399" customWidth="1"/>
    <col min="14086" max="14086" width="18.7109375" style="399" bestFit="1" customWidth="1"/>
    <col min="14087" max="14336" width="9.140625" style="399"/>
    <col min="14337" max="14337" width="4.28515625" style="399" customWidth="1"/>
    <col min="14338" max="14338" width="45.5703125" style="399" customWidth="1"/>
    <col min="14339" max="14340" width="15.5703125" style="399" customWidth="1"/>
    <col min="14341" max="14341" width="15.7109375" style="399" customWidth="1"/>
    <col min="14342" max="14342" width="18.7109375" style="399" bestFit="1" customWidth="1"/>
    <col min="14343" max="14592" width="9.140625" style="399"/>
    <col min="14593" max="14593" width="4.28515625" style="399" customWidth="1"/>
    <col min="14594" max="14594" width="45.5703125" style="399" customWidth="1"/>
    <col min="14595" max="14596" width="15.5703125" style="399" customWidth="1"/>
    <col min="14597" max="14597" width="15.7109375" style="399" customWidth="1"/>
    <col min="14598" max="14598" width="18.7109375" style="399" bestFit="1" customWidth="1"/>
    <col min="14599" max="14848" width="9.140625" style="399"/>
    <col min="14849" max="14849" width="4.28515625" style="399" customWidth="1"/>
    <col min="14850" max="14850" width="45.5703125" style="399" customWidth="1"/>
    <col min="14851" max="14852" width="15.5703125" style="399" customWidth="1"/>
    <col min="14853" max="14853" width="15.7109375" style="399" customWidth="1"/>
    <col min="14854" max="14854" width="18.7109375" style="399" bestFit="1" customWidth="1"/>
    <col min="14855" max="15104" width="9.140625" style="399"/>
    <col min="15105" max="15105" width="4.28515625" style="399" customWidth="1"/>
    <col min="15106" max="15106" width="45.5703125" style="399" customWidth="1"/>
    <col min="15107" max="15108" width="15.5703125" style="399" customWidth="1"/>
    <col min="15109" max="15109" width="15.7109375" style="399" customWidth="1"/>
    <col min="15110" max="15110" width="18.7109375" style="399" bestFit="1" customWidth="1"/>
    <col min="15111" max="15360" width="9.140625" style="399"/>
    <col min="15361" max="15361" width="4.28515625" style="399" customWidth="1"/>
    <col min="15362" max="15362" width="45.5703125" style="399" customWidth="1"/>
    <col min="15363" max="15364" width="15.5703125" style="399" customWidth="1"/>
    <col min="15365" max="15365" width="15.7109375" style="399" customWidth="1"/>
    <col min="15366" max="15366" width="18.7109375" style="399" bestFit="1" customWidth="1"/>
    <col min="15367" max="15616" width="9.140625" style="399"/>
    <col min="15617" max="15617" width="4.28515625" style="399" customWidth="1"/>
    <col min="15618" max="15618" width="45.5703125" style="399" customWidth="1"/>
    <col min="15619" max="15620" width="15.5703125" style="399" customWidth="1"/>
    <col min="15621" max="15621" width="15.7109375" style="399" customWidth="1"/>
    <col min="15622" max="15622" width="18.7109375" style="399" bestFit="1" customWidth="1"/>
    <col min="15623" max="15872" width="9.140625" style="399"/>
    <col min="15873" max="15873" width="4.28515625" style="399" customWidth="1"/>
    <col min="15874" max="15874" width="45.5703125" style="399" customWidth="1"/>
    <col min="15875" max="15876" width="15.5703125" style="399" customWidth="1"/>
    <col min="15877" max="15877" width="15.7109375" style="399" customWidth="1"/>
    <col min="15878" max="15878" width="18.7109375" style="399" bestFit="1" customWidth="1"/>
    <col min="15879" max="16128" width="9.140625" style="399"/>
    <col min="16129" max="16129" width="4.28515625" style="399" customWidth="1"/>
    <col min="16130" max="16130" width="45.5703125" style="399" customWidth="1"/>
    <col min="16131" max="16132" width="15.5703125" style="399" customWidth="1"/>
    <col min="16133" max="16133" width="15.7109375" style="399" customWidth="1"/>
    <col min="16134" max="16134" width="18.7109375" style="399" bestFit="1" customWidth="1"/>
    <col min="16135" max="16384" width="9.140625" style="399"/>
  </cols>
  <sheetData>
    <row r="1" spans="1:6">
      <c r="D1" s="1869" t="s">
        <v>1973</v>
      </c>
      <c r="E1" s="1869"/>
    </row>
    <row r="2" spans="1:6" ht="25.5" customHeight="1">
      <c r="A2" s="1870" t="s">
        <v>1765</v>
      </c>
      <c r="B2" s="1870"/>
      <c r="C2" s="1870"/>
      <c r="D2" s="1870"/>
      <c r="E2" s="1870"/>
    </row>
    <row r="3" spans="1:6" ht="20.25" customHeight="1">
      <c r="A3" s="1871" t="e">
        <f>'Tổng hợp CN 2017-2018'!A3:I3</f>
        <v>#REF!</v>
      </c>
      <c r="B3" s="1872"/>
      <c r="C3" s="1872"/>
      <c r="D3" s="1872"/>
      <c r="E3" s="1872"/>
    </row>
    <row r="4" spans="1:6" ht="18.75" customHeight="1">
      <c r="A4" s="400"/>
      <c r="B4" s="401" t="s">
        <v>1766</v>
      </c>
      <c r="C4" s="402"/>
      <c r="D4" s="1873" t="s">
        <v>2054</v>
      </c>
      <c r="E4" s="1873"/>
    </row>
    <row r="5" spans="1:6" s="403" customFormat="1" ht="19.5" customHeight="1">
      <c r="A5" s="1874" t="s">
        <v>0</v>
      </c>
      <c r="B5" s="1875" t="s">
        <v>1</v>
      </c>
      <c r="C5" s="1876" t="s">
        <v>25</v>
      </c>
      <c r="D5" s="1877" t="s">
        <v>33</v>
      </c>
      <c r="E5" s="1877"/>
    </row>
    <row r="6" spans="1:6" s="405" customFormat="1" ht="27" customHeight="1">
      <c r="A6" s="1874"/>
      <c r="B6" s="1875"/>
      <c r="C6" s="1876"/>
      <c r="D6" s="404" t="s">
        <v>1743</v>
      </c>
      <c r="E6" s="404" t="s">
        <v>1749</v>
      </c>
    </row>
    <row r="7" spans="1:6" s="403" customFormat="1" ht="18.75" customHeight="1">
      <c r="A7" s="406"/>
      <c r="B7" s="407"/>
      <c r="C7" s="408"/>
      <c r="D7" s="408"/>
      <c r="E7" s="408"/>
    </row>
    <row r="8" spans="1:6" s="403" customFormat="1" ht="18.75" customHeight="1">
      <c r="A8" s="409" t="s">
        <v>1767</v>
      </c>
      <c r="B8" s="1001" t="s">
        <v>2053</v>
      </c>
      <c r="C8" s="410">
        <f>D8+E8</f>
        <v>532731225397</v>
      </c>
      <c r="D8" s="410">
        <f>D9+D19+D172</f>
        <v>105039955780</v>
      </c>
      <c r="E8" s="410">
        <f>E9+E19+E172</f>
        <v>427691269617</v>
      </c>
      <c r="F8" s="411">
        <f>C9+C19+C172</f>
        <v>532731225397</v>
      </c>
    </row>
    <row r="9" spans="1:6" s="403" customFormat="1" ht="28.5" customHeight="1">
      <c r="A9" s="409" t="s">
        <v>2</v>
      </c>
      <c r="B9" s="1149" t="s">
        <v>1768</v>
      </c>
      <c r="C9" s="410">
        <f>D9+E9</f>
        <v>48909560000</v>
      </c>
      <c r="D9" s="410"/>
      <c r="E9" s="410">
        <f>E10+E11</f>
        <v>48909560000</v>
      </c>
      <c r="F9" s="411"/>
    </row>
    <row r="10" spans="1:6" s="415" customFormat="1" ht="31.5" customHeight="1">
      <c r="A10" s="412" t="s">
        <v>11</v>
      </c>
      <c r="B10" s="1150" t="s">
        <v>1769</v>
      </c>
      <c r="C10" s="408">
        <f>D10+E10</f>
        <v>411980000</v>
      </c>
      <c r="D10" s="413"/>
      <c r="E10" s="413">
        <f>(361.63+50.35)*1000000</f>
        <v>411980000</v>
      </c>
      <c r="F10" s="414"/>
    </row>
    <row r="11" spans="1:6" s="415" customFormat="1" ht="45.75" customHeight="1">
      <c r="A11" s="416" t="s">
        <v>7</v>
      </c>
      <c r="B11" s="1150" t="s">
        <v>1770</v>
      </c>
      <c r="C11" s="408">
        <f>D11+E11</f>
        <v>48497580000</v>
      </c>
      <c r="D11" s="413"/>
      <c r="E11" s="413">
        <f>SUM(E12:E18)</f>
        <v>48497580000</v>
      </c>
    </row>
    <row r="12" spans="1:6" s="415" customFormat="1" ht="22.5" customHeight="1">
      <c r="A12" s="417">
        <v>1</v>
      </c>
      <c r="B12" s="1151" t="s">
        <v>1771</v>
      </c>
      <c r="C12" s="418">
        <f t="shared" ref="C12:C18" si="0">E12</f>
        <v>2226580000</v>
      </c>
      <c r="D12" s="418"/>
      <c r="E12" s="418">
        <v>2226580000</v>
      </c>
    </row>
    <row r="13" spans="1:6" s="415" customFormat="1" ht="36" customHeight="1">
      <c r="A13" s="417">
        <v>2</v>
      </c>
      <c r="B13" s="1151" t="s">
        <v>1772</v>
      </c>
      <c r="C13" s="418">
        <f t="shared" si="0"/>
        <v>8000000</v>
      </c>
      <c r="D13" s="418"/>
      <c r="E13" s="418">
        <v>8000000</v>
      </c>
    </row>
    <row r="14" spans="1:6" s="415" customFormat="1" ht="30" customHeight="1">
      <c r="A14" s="417">
        <v>3</v>
      </c>
      <c r="B14" s="1151" t="s">
        <v>1773</v>
      </c>
      <c r="C14" s="418">
        <f t="shared" si="0"/>
        <v>3300000000</v>
      </c>
      <c r="D14" s="418"/>
      <c r="E14" s="418">
        <v>3300000000</v>
      </c>
    </row>
    <row r="15" spans="1:6" s="415" customFormat="1" ht="23.25" customHeight="1">
      <c r="A15" s="417">
        <v>4</v>
      </c>
      <c r="B15" s="1151" t="s">
        <v>1774</v>
      </c>
      <c r="C15" s="418">
        <f t="shared" si="0"/>
        <v>3372000000</v>
      </c>
      <c r="D15" s="418"/>
      <c r="E15" s="418">
        <v>3372000000</v>
      </c>
    </row>
    <row r="16" spans="1:6" s="415" customFormat="1" ht="21" customHeight="1">
      <c r="A16" s="417">
        <v>5</v>
      </c>
      <c r="B16" s="1151" t="s">
        <v>1775</v>
      </c>
      <c r="C16" s="418">
        <f t="shared" si="0"/>
        <v>2500000000</v>
      </c>
      <c r="D16" s="418"/>
      <c r="E16" s="418">
        <v>2500000000</v>
      </c>
    </row>
    <row r="17" spans="1:5" s="415" customFormat="1" ht="30" customHeight="1">
      <c r="A17" s="417">
        <v>6</v>
      </c>
      <c r="B17" s="1151" t="s">
        <v>1776</v>
      </c>
      <c r="C17" s="418">
        <f t="shared" si="0"/>
        <v>4680000000</v>
      </c>
      <c r="D17" s="418"/>
      <c r="E17" s="418">
        <v>4680000000</v>
      </c>
    </row>
    <row r="18" spans="1:5" s="415" customFormat="1" ht="23.25" customHeight="1">
      <c r="A18" s="417">
        <v>7</v>
      </c>
      <c r="B18" s="1151" t="s">
        <v>2089</v>
      </c>
      <c r="C18" s="418">
        <f t="shared" si="0"/>
        <v>32411000000</v>
      </c>
      <c r="D18" s="418"/>
      <c r="E18" s="1078">
        <v>32411000000</v>
      </c>
    </row>
    <row r="19" spans="1:5" s="415" customFormat="1" ht="20.25" customHeight="1">
      <c r="A19" s="409" t="s">
        <v>3</v>
      </c>
      <c r="B19" s="1152" t="s">
        <v>1777</v>
      </c>
      <c r="C19" s="419">
        <f>D19+E19</f>
        <v>438341196397</v>
      </c>
      <c r="D19" s="410">
        <f>D20+D107+D113+D126+D170</f>
        <v>102939955780</v>
      </c>
      <c r="E19" s="410">
        <f>E20+E107+E113+E126+E170</f>
        <v>335401240617</v>
      </c>
    </row>
    <row r="20" spans="1:5" s="415" customFormat="1" ht="60.75" customHeight="1">
      <c r="A20" s="420" t="s">
        <v>11</v>
      </c>
      <c r="B20" s="1153" t="s">
        <v>1778</v>
      </c>
      <c r="C20" s="421">
        <f>D20+E20</f>
        <v>387452593137</v>
      </c>
      <c r="D20" s="422">
        <f>D21+D38+D44+D46+D48+D101+D102+D105+D106</f>
        <v>97269482662</v>
      </c>
      <c r="E20" s="421">
        <f>E21+E38+E44+E46+E48+E101+E102+E105</f>
        <v>290183110475</v>
      </c>
    </row>
    <row r="21" spans="1:5" s="415" customFormat="1" ht="18.75" customHeight="1">
      <c r="A21" s="423">
        <v>1</v>
      </c>
      <c r="B21" s="1154" t="s">
        <v>1779</v>
      </c>
      <c r="C21" s="424">
        <f>D21+E21</f>
        <v>278299279296</v>
      </c>
      <c r="D21" s="425">
        <f>SUM(D22:D37)</f>
        <v>41107279296</v>
      </c>
      <c r="E21" s="425">
        <v>237192000000</v>
      </c>
    </row>
    <row r="22" spans="1:5" s="415" customFormat="1" ht="17.25" customHeight="1">
      <c r="A22" s="426" t="s">
        <v>287</v>
      </c>
      <c r="B22" s="1155" t="s">
        <v>964</v>
      </c>
      <c r="C22" s="427">
        <f>D22+E22</f>
        <v>237192000000</v>
      </c>
      <c r="D22" s="427"/>
      <c r="E22" s="427">
        <v>237192000000</v>
      </c>
    </row>
    <row r="23" spans="1:5" s="415" customFormat="1" ht="17.25" customHeight="1">
      <c r="A23" s="428" t="s">
        <v>287</v>
      </c>
      <c r="B23" s="1156" t="s">
        <v>1780</v>
      </c>
      <c r="C23" s="429"/>
      <c r="D23" s="430">
        <v>807306</v>
      </c>
      <c r="E23" s="429"/>
    </row>
    <row r="24" spans="1:5" s="415" customFormat="1" ht="22.5" customHeight="1">
      <c r="A24" s="428" t="s">
        <v>287</v>
      </c>
      <c r="B24" s="1156" t="s">
        <v>1781</v>
      </c>
      <c r="C24" s="429"/>
      <c r="D24" s="430">
        <v>100324104</v>
      </c>
      <c r="E24" s="429"/>
    </row>
    <row r="25" spans="1:5" s="415" customFormat="1" ht="21.75" customHeight="1">
      <c r="A25" s="428" t="s">
        <v>287</v>
      </c>
      <c r="B25" s="1156" t="s">
        <v>1781</v>
      </c>
      <c r="C25" s="429"/>
      <c r="D25" s="430">
        <v>1663100</v>
      </c>
      <c r="E25" s="429"/>
    </row>
    <row r="26" spans="1:5" s="415" customFormat="1" ht="31.5" customHeight="1">
      <c r="A26" s="428" t="s">
        <v>287</v>
      </c>
      <c r="B26" s="1156" t="s">
        <v>1782</v>
      </c>
      <c r="C26" s="429"/>
      <c r="D26" s="430">
        <v>250000000</v>
      </c>
      <c r="E26" s="429"/>
    </row>
    <row r="27" spans="1:5" s="415" customFormat="1" ht="30" customHeight="1">
      <c r="A27" s="428" t="s">
        <v>287</v>
      </c>
      <c r="B27" s="1156" t="s">
        <v>1782</v>
      </c>
      <c r="C27" s="429"/>
      <c r="D27" s="430">
        <v>60000000</v>
      </c>
      <c r="E27" s="429"/>
    </row>
    <row r="28" spans="1:5" s="415" customFormat="1" ht="18.75" customHeight="1">
      <c r="A28" s="428" t="s">
        <v>287</v>
      </c>
      <c r="B28" s="1156" t="s">
        <v>1783</v>
      </c>
      <c r="C28" s="429"/>
      <c r="D28" s="430">
        <v>34353295470</v>
      </c>
      <c r="E28" s="429"/>
    </row>
    <row r="29" spans="1:5" s="415" customFormat="1" ht="17.25" customHeight="1">
      <c r="A29" s="428" t="s">
        <v>287</v>
      </c>
      <c r="B29" s="1156" t="s">
        <v>1784</v>
      </c>
      <c r="C29" s="429"/>
      <c r="D29" s="430">
        <v>18338816</v>
      </c>
      <c r="E29" s="429"/>
    </row>
    <row r="30" spans="1:5" s="415" customFormat="1" ht="18.75" customHeight="1">
      <c r="A30" s="428" t="s">
        <v>287</v>
      </c>
      <c r="B30" s="1156" t="s">
        <v>964</v>
      </c>
      <c r="C30" s="429"/>
      <c r="D30" s="430">
        <v>1740671000</v>
      </c>
      <c r="E30" s="429"/>
    </row>
    <row r="31" spans="1:5" s="415" customFormat="1" ht="17.25" customHeight="1">
      <c r="A31" s="428" t="s">
        <v>287</v>
      </c>
      <c r="B31" s="1156" t="s">
        <v>964</v>
      </c>
      <c r="C31" s="429"/>
      <c r="D31" s="430">
        <v>4306253500</v>
      </c>
      <c r="E31" s="429"/>
    </row>
    <row r="32" spans="1:5" s="415" customFormat="1" ht="15.75">
      <c r="A32" s="428" t="s">
        <v>287</v>
      </c>
      <c r="B32" s="1156" t="s">
        <v>1785</v>
      </c>
      <c r="C32" s="429"/>
      <c r="D32" s="430">
        <v>27396000</v>
      </c>
      <c r="E32" s="429"/>
    </row>
    <row r="33" spans="1:5" s="415" customFormat="1" ht="15.75">
      <c r="A33" s="428" t="s">
        <v>287</v>
      </c>
      <c r="B33" s="1156" t="s">
        <v>1786</v>
      </c>
      <c r="C33" s="429"/>
      <c r="D33" s="430">
        <v>56318000</v>
      </c>
      <c r="E33" s="429"/>
    </row>
    <row r="34" spans="1:5" s="415" customFormat="1" ht="15.75">
      <c r="A34" s="428" t="s">
        <v>287</v>
      </c>
      <c r="B34" s="1156" t="s">
        <v>1787</v>
      </c>
      <c r="C34" s="429"/>
      <c r="D34" s="430">
        <v>54365000</v>
      </c>
      <c r="E34" s="429"/>
    </row>
    <row r="35" spans="1:5" s="415" customFormat="1" ht="15.75">
      <c r="A35" s="428" t="s">
        <v>287</v>
      </c>
      <c r="B35" s="1156" t="s">
        <v>1788</v>
      </c>
      <c r="C35" s="429"/>
      <c r="D35" s="430">
        <v>62468000</v>
      </c>
      <c r="E35" s="429"/>
    </row>
    <row r="36" spans="1:5" s="415" customFormat="1" ht="15.75">
      <c r="A36" s="428" t="s">
        <v>287</v>
      </c>
      <c r="B36" s="1156" t="s">
        <v>1789</v>
      </c>
      <c r="C36" s="429"/>
      <c r="D36" s="430">
        <v>20386000</v>
      </c>
      <c r="E36" s="429"/>
    </row>
    <row r="37" spans="1:5" s="415" customFormat="1" ht="15.75">
      <c r="A37" s="431" t="s">
        <v>287</v>
      </c>
      <c r="B37" s="1157" t="s">
        <v>1790</v>
      </c>
      <c r="C37" s="432"/>
      <c r="D37" s="433">
        <v>54993000</v>
      </c>
      <c r="E37" s="432"/>
    </row>
    <row r="38" spans="1:5" s="415" customFormat="1" ht="16.5" customHeight="1">
      <c r="A38" s="423">
        <v>2</v>
      </c>
      <c r="B38" s="1154" t="s">
        <v>1791</v>
      </c>
      <c r="C38" s="424">
        <f t="shared" ref="C38:C52" si="1">D38+E38</f>
        <v>28564726410</v>
      </c>
      <c r="D38" s="424">
        <f>27096527935+D43</f>
        <v>27246527935</v>
      </c>
      <c r="E38" s="424">
        <f>SUM(E39:E42)</f>
        <v>1318198475</v>
      </c>
    </row>
    <row r="39" spans="1:5" s="415" customFormat="1" ht="19.5" customHeight="1">
      <c r="A39" s="426" t="s">
        <v>287</v>
      </c>
      <c r="B39" s="1155" t="s">
        <v>995</v>
      </c>
      <c r="C39" s="434">
        <f t="shared" si="1"/>
        <v>950000000</v>
      </c>
      <c r="D39" s="434"/>
      <c r="E39" s="434">
        <v>950000000</v>
      </c>
    </row>
    <row r="40" spans="1:5" s="415" customFormat="1" ht="17.25" customHeight="1">
      <c r="A40" s="428" t="s">
        <v>287</v>
      </c>
      <c r="B40" s="1158" t="s">
        <v>1792</v>
      </c>
      <c r="C40" s="435">
        <f t="shared" si="1"/>
        <v>162526295</v>
      </c>
      <c r="D40" s="435"/>
      <c r="E40" s="435">
        <v>162526295</v>
      </c>
    </row>
    <row r="41" spans="1:5" s="415" customFormat="1" ht="18.75" customHeight="1">
      <c r="A41" s="428" t="s">
        <v>287</v>
      </c>
      <c r="B41" s="1158" t="s">
        <v>1793</v>
      </c>
      <c r="C41" s="435">
        <f t="shared" si="1"/>
        <v>105672180</v>
      </c>
      <c r="D41" s="435"/>
      <c r="E41" s="435">
        <v>105672180</v>
      </c>
    </row>
    <row r="42" spans="1:5" s="415" customFormat="1" ht="15.75">
      <c r="A42" s="428" t="s">
        <v>287</v>
      </c>
      <c r="B42" s="1158" t="s">
        <v>1794</v>
      </c>
      <c r="C42" s="435">
        <f t="shared" si="1"/>
        <v>100000000</v>
      </c>
      <c r="D42" s="435"/>
      <c r="E42" s="435">
        <v>100000000</v>
      </c>
    </row>
    <row r="43" spans="1:5" s="415" customFormat="1" ht="15.75">
      <c r="A43" s="428" t="s">
        <v>287</v>
      </c>
      <c r="B43" s="1159" t="s">
        <v>780</v>
      </c>
      <c r="C43" s="436">
        <f t="shared" si="1"/>
        <v>150000000</v>
      </c>
      <c r="D43" s="436">
        <v>150000000</v>
      </c>
      <c r="E43" s="436"/>
    </row>
    <row r="44" spans="1:5" s="415" customFormat="1" ht="17.25" customHeight="1">
      <c r="A44" s="423">
        <v>3</v>
      </c>
      <c r="B44" s="1154" t="s">
        <v>1795</v>
      </c>
      <c r="C44" s="424">
        <f t="shared" si="1"/>
        <v>3257585900</v>
      </c>
      <c r="D44" s="424">
        <v>2733482900</v>
      </c>
      <c r="E44" s="424">
        <f>E45</f>
        <v>524103000</v>
      </c>
    </row>
    <row r="45" spans="1:5" s="415" customFormat="1" ht="28.5" hidden="1" customHeight="1">
      <c r="A45" s="428" t="s">
        <v>287</v>
      </c>
      <c r="B45" s="1158" t="s">
        <v>1796</v>
      </c>
      <c r="C45" s="435">
        <f t="shared" si="1"/>
        <v>524103000</v>
      </c>
      <c r="D45" s="435"/>
      <c r="E45" s="435">
        <v>524103000</v>
      </c>
    </row>
    <row r="46" spans="1:5" s="415" customFormat="1" ht="16.5" customHeight="1">
      <c r="A46" s="423">
        <v>4</v>
      </c>
      <c r="B46" s="1154" t="s">
        <v>1797</v>
      </c>
      <c r="C46" s="424">
        <f t="shared" si="1"/>
        <v>9558809000</v>
      </c>
      <c r="D46" s="424"/>
      <c r="E46" s="424">
        <f>E47</f>
        <v>9558809000</v>
      </c>
    </row>
    <row r="47" spans="1:5" s="415" customFormat="1" ht="15.75">
      <c r="A47" s="428" t="s">
        <v>287</v>
      </c>
      <c r="B47" s="1158" t="s">
        <v>1798</v>
      </c>
      <c r="C47" s="429">
        <f t="shared" si="1"/>
        <v>9558809000</v>
      </c>
      <c r="D47" s="429"/>
      <c r="E47" s="429">
        <v>9558809000</v>
      </c>
    </row>
    <row r="48" spans="1:5" s="415" customFormat="1" ht="20.25" customHeight="1">
      <c r="A48" s="423">
        <v>5</v>
      </c>
      <c r="B48" s="1154" t="s">
        <v>1799</v>
      </c>
      <c r="C48" s="424">
        <f t="shared" si="1"/>
        <v>23722760092</v>
      </c>
      <c r="D48" s="425">
        <f>SUM(D49:D100)</f>
        <v>23509760092</v>
      </c>
      <c r="E48" s="425">
        <f>SUM(E49:E52)</f>
        <v>213000000</v>
      </c>
    </row>
    <row r="49" spans="1:5" s="415" customFormat="1" ht="19.5" customHeight="1">
      <c r="A49" s="428" t="s">
        <v>287</v>
      </c>
      <c r="B49" s="1160" t="s">
        <v>1426</v>
      </c>
      <c r="C49" s="437">
        <f t="shared" si="1"/>
        <v>4000000</v>
      </c>
      <c r="D49" s="438"/>
      <c r="E49" s="437">
        <v>4000000</v>
      </c>
    </row>
    <row r="50" spans="1:5" s="415" customFormat="1" ht="19.5" customHeight="1">
      <c r="A50" s="428" t="s">
        <v>287</v>
      </c>
      <c r="B50" s="1160" t="s">
        <v>1800</v>
      </c>
      <c r="C50" s="437">
        <f t="shared" si="1"/>
        <v>169000000</v>
      </c>
      <c r="D50" s="438"/>
      <c r="E50" s="437">
        <v>169000000</v>
      </c>
    </row>
    <row r="51" spans="1:5" s="415" customFormat="1" ht="20.25" customHeight="1">
      <c r="A51" s="428" t="s">
        <v>287</v>
      </c>
      <c r="B51" s="1160" t="s">
        <v>1801</v>
      </c>
      <c r="C51" s="437">
        <f t="shared" si="1"/>
        <v>2000000</v>
      </c>
      <c r="D51" s="438"/>
      <c r="E51" s="437">
        <v>2000000</v>
      </c>
    </row>
    <row r="52" spans="1:5" s="415" customFormat="1" ht="18.75" customHeight="1">
      <c r="A52" s="428" t="s">
        <v>287</v>
      </c>
      <c r="B52" s="1160" t="s">
        <v>1802</v>
      </c>
      <c r="C52" s="437">
        <f t="shared" si="1"/>
        <v>38000000</v>
      </c>
      <c r="D52" s="438"/>
      <c r="E52" s="437">
        <v>38000000</v>
      </c>
    </row>
    <row r="53" spans="1:5" s="415" customFormat="1" ht="18.75" customHeight="1">
      <c r="A53" s="428" t="s">
        <v>287</v>
      </c>
      <c r="B53" s="1156" t="s">
        <v>1803</v>
      </c>
      <c r="C53" s="437"/>
      <c r="D53" s="430">
        <v>10676601</v>
      </c>
      <c r="E53" s="437"/>
    </row>
    <row r="54" spans="1:5" s="415" customFormat="1" ht="18.75" customHeight="1">
      <c r="A54" s="428" t="s">
        <v>287</v>
      </c>
      <c r="B54" s="1156" t="s">
        <v>1804</v>
      </c>
      <c r="C54" s="437"/>
      <c r="D54" s="430">
        <v>117257344</v>
      </c>
      <c r="E54" s="437"/>
    </row>
    <row r="55" spans="1:5" s="415" customFormat="1" ht="15.75">
      <c r="A55" s="428" t="s">
        <v>287</v>
      </c>
      <c r="B55" s="1156" t="s">
        <v>1805</v>
      </c>
      <c r="C55" s="437"/>
      <c r="D55" s="430">
        <v>136366000</v>
      </c>
      <c r="E55" s="437"/>
    </row>
    <row r="56" spans="1:5" s="415" customFormat="1" ht="25.5">
      <c r="A56" s="428" t="s">
        <v>287</v>
      </c>
      <c r="B56" s="1156" t="s">
        <v>1806</v>
      </c>
      <c r="C56" s="437"/>
      <c r="D56" s="430">
        <v>211403973</v>
      </c>
      <c r="E56" s="437"/>
    </row>
    <row r="57" spans="1:5" s="415" customFormat="1" ht="15.75">
      <c r="A57" s="428" t="s">
        <v>287</v>
      </c>
      <c r="B57" s="1156" t="s">
        <v>1807</v>
      </c>
      <c r="C57" s="437"/>
      <c r="D57" s="430">
        <v>116000000</v>
      </c>
      <c r="E57" s="437"/>
    </row>
    <row r="58" spans="1:5" s="415" customFormat="1" ht="15.75">
      <c r="A58" s="428" t="s">
        <v>287</v>
      </c>
      <c r="B58" s="1156" t="s">
        <v>1808</v>
      </c>
      <c r="C58" s="437"/>
      <c r="D58" s="430">
        <v>946267000</v>
      </c>
      <c r="E58" s="437"/>
    </row>
    <row r="59" spans="1:5" s="415" customFormat="1" ht="15.75">
      <c r="A59" s="428" t="s">
        <v>287</v>
      </c>
      <c r="B59" s="1156" t="s">
        <v>1808</v>
      </c>
      <c r="C59" s="437"/>
      <c r="D59" s="430">
        <v>500000000</v>
      </c>
      <c r="E59" s="437"/>
    </row>
    <row r="60" spans="1:5" s="415" customFormat="1" ht="15.75">
      <c r="A60" s="428" t="s">
        <v>287</v>
      </c>
      <c r="B60" s="1156" t="s">
        <v>1808</v>
      </c>
      <c r="C60" s="437"/>
      <c r="D60" s="430">
        <v>680758800</v>
      </c>
      <c r="E60" s="437"/>
    </row>
    <row r="61" spans="1:5" s="415" customFormat="1" ht="15.75">
      <c r="A61" s="428" t="s">
        <v>287</v>
      </c>
      <c r="B61" s="1156" t="s">
        <v>1808</v>
      </c>
      <c r="C61" s="437"/>
      <c r="D61" s="430">
        <v>348570000</v>
      </c>
      <c r="E61" s="437"/>
    </row>
    <row r="62" spans="1:5" s="415" customFormat="1" ht="15.75">
      <c r="A62" s="428" t="s">
        <v>287</v>
      </c>
      <c r="B62" s="1156" t="s">
        <v>1808</v>
      </c>
      <c r="C62" s="437"/>
      <c r="D62" s="430">
        <v>12873000</v>
      </c>
      <c r="E62" s="437"/>
    </row>
    <row r="63" spans="1:5" s="415" customFormat="1" ht="15.75">
      <c r="A63" s="428" t="s">
        <v>287</v>
      </c>
      <c r="B63" s="1156" t="s">
        <v>1808</v>
      </c>
      <c r="C63" s="437"/>
      <c r="D63" s="430">
        <v>2019000</v>
      </c>
      <c r="E63" s="437"/>
    </row>
    <row r="64" spans="1:5" s="415" customFormat="1" ht="18.75" customHeight="1">
      <c r="A64" s="428" t="s">
        <v>287</v>
      </c>
      <c r="B64" s="1156" t="s">
        <v>1809</v>
      </c>
      <c r="C64" s="437"/>
      <c r="D64" s="430">
        <v>40000</v>
      </c>
      <c r="E64" s="437"/>
    </row>
    <row r="65" spans="1:5" s="415" customFormat="1" ht="16.5" customHeight="1">
      <c r="A65" s="428" t="s">
        <v>287</v>
      </c>
      <c r="B65" s="1156" t="s">
        <v>1809</v>
      </c>
      <c r="C65" s="437"/>
      <c r="D65" s="430">
        <v>12212350</v>
      </c>
      <c r="E65" s="437"/>
    </row>
    <row r="66" spans="1:5" s="415" customFormat="1" ht="20.25" customHeight="1">
      <c r="A66" s="428" t="s">
        <v>287</v>
      </c>
      <c r="B66" s="1156" t="s">
        <v>1810</v>
      </c>
      <c r="C66" s="437"/>
      <c r="D66" s="430">
        <v>12662000</v>
      </c>
      <c r="E66" s="437"/>
    </row>
    <row r="67" spans="1:5" s="415" customFormat="1" ht="18.75" customHeight="1">
      <c r="A67" s="428" t="s">
        <v>287</v>
      </c>
      <c r="B67" s="1156" t="s">
        <v>1811</v>
      </c>
      <c r="C67" s="437"/>
      <c r="D67" s="430">
        <v>712172000</v>
      </c>
      <c r="E67" s="437"/>
    </row>
    <row r="68" spans="1:5" s="415" customFormat="1" ht="18.75" customHeight="1">
      <c r="A68" s="428" t="s">
        <v>287</v>
      </c>
      <c r="B68" s="1156" t="s">
        <v>1811</v>
      </c>
      <c r="C68" s="437"/>
      <c r="D68" s="430">
        <v>294034000</v>
      </c>
      <c r="E68" s="437"/>
    </row>
    <row r="69" spans="1:5" s="415" customFormat="1" ht="26.25" customHeight="1">
      <c r="A69" s="428" t="s">
        <v>287</v>
      </c>
      <c r="B69" s="1156" t="s">
        <v>1812</v>
      </c>
      <c r="C69" s="437"/>
      <c r="D69" s="430">
        <v>1607762446</v>
      </c>
      <c r="E69" s="437"/>
    </row>
    <row r="70" spans="1:5" s="415" customFormat="1" ht="30.75" customHeight="1">
      <c r="A70" s="428" t="s">
        <v>287</v>
      </c>
      <c r="B70" s="1156" t="s">
        <v>1812</v>
      </c>
      <c r="C70" s="437"/>
      <c r="D70" s="430">
        <v>100000000</v>
      </c>
      <c r="E70" s="437"/>
    </row>
    <row r="71" spans="1:5" s="415" customFormat="1" ht="26.25" customHeight="1">
      <c r="A71" s="428" t="s">
        <v>287</v>
      </c>
      <c r="B71" s="1156" t="s">
        <v>1813</v>
      </c>
      <c r="C71" s="437"/>
      <c r="D71" s="430">
        <v>173870876</v>
      </c>
      <c r="E71" s="437"/>
    </row>
    <row r="72" spans="1:5" s="415" customFormat="1" ht="15.75">
      <c r="A72" s="428" t="s">
        <v>287</v>
      </c>
      <c r="B72" s="1156" t="s">
        <v>1518</v>
      </c>
      <c r="C72" s="437"/>
      <c r="D72" s="430">
        <v>20106000</v>
      </c>
      <c r="E72" s="437"/>
    </row>
    <row r="73" spans="1:5" s="415" customFormat="1" ht="25.5">
      <c r="A73" s="428" t="s">
        <v>287</v>
      </c>
      <c r="B73" s="1156" t="s">
        <v>1814</v>
      </c>
      <c r="C73" s="437"/>
      <c r="D73" s="430">
        <v>41000</v>
      </c>
      <c r="E73" s="437"/>
    </row>
    <row r="74" spans="1:5" s="415" customFormat="1" ht="25.5">
      <c r="A74" s="428" t="s">
        <v>287</v>
      </c>
      <c r="B74" s="1156" t="s">
        <v>1815</v>
      </c>
      <c r="C74" s="437"/>
      <c r="D74" s="430">
        <v>8086000</v>
      </c>
      <c r="E74" s="437"/>
    </row>
    <row r="75" spans="1:5" s="415" customFormat="1" ht="15.75">
      <c r="A75" s="428" t="s">
        <v>287</v>
      </c>
      <c r="B75" s="1156" t="s">
        <v>1816</v>
      </c>
      <c r="C75" s="437"/>
      <c r="D75" s="430">
        <v>35541000</v>
      </c>
      <c r="E75" s="437"/>
    </row>
    <row r="76" spans="1:5" s="415" customFormat="1" ht="18.75" customHeight="1">
      <c r="A76" s="428" t="s">
        <v>287</v>
      </c>
      <c r="B76" s="1156" t="s">
        <v>1817</v>
      </c>
      <c r="C76" s="437"/>
      <c r="D76" s="430">
        <v>5066600</v>
      </c>
      <c r="E76" s="437"/>
    </row>
    <row r="77" spans="1:5" s="415" customFormat="1" ht="15.75">
      <c r="A77" s="428" t="s">
        <v>287</v>
      </c>
      <c r="B77" s="1156" t="s">
        <v>1818</v>
      </c>
      <c r="C77" s="437"/>
      <c r="D77" s="430">
        <v>227000000</v>
      </c>
      <c r="E77" s="437"/>
    </row>
    <row r="78" spans="1:5" s="415" customFormat="1" ht="18.75" customHeight="1">
      <c r="A78" s="428" t="s">
        <v>287</v>
      </c>
      <c r="B78" s="1156" t="s">
        <v>1819</v>
      </c>
      <c r="C78" s="437"/>
      <c r="D78" s="430">
        <v>39000000</v>
      </c>
      <c r="E78" s="437"/>
    </row>
    <row r="79" spans="1:5" s="415" customFormat="1" ht="18.75" customHeight="1">
      <c r="A79" s="428" t="s">
        <v>287</v>
      </c>
      <c r="B79" s="1156" t="s">
        <v>1819</v>
      </c>
      <c r="C79" s="437"/>
      <c r="D79" s="430">
        <v>108127344</v>
      </c>
      <c r="E79" s="437"/>
    </row>
    <row r="80" spans="1:5" s="415" customFormat="1" ht="18.75" customHeight="1">
      <c r="A80" s="428" t="s">
        <v>287</v>
      </c>
      <c r="B80" s="1156" t="s">
        <v>1819</v>
      </c>
      <c r="C80" s="437"/>
      <c r="D80" s="430">
        <v>900000000</v>
      </c>
      <c r="E80" s="437"/>
    </row>
    <row r="81" spans="1:5" s="415" customFormat="1" ht="18.75" customHeight="1">
      <c r="A81" s="428" t="s">
        <v>287</v>
      </c>
      <c r="B81" s="1156" t="s">
        <v>1820</v>
      </c>
      <c r="C81" s="437"/>
      <c r="D81" s="430">
        <v>131519693</v>
      </c>
      <c r="E81" s="437"/>
    </row>
    <row r="82" spans="1:5" s="415" customFormat="1" ht="17.25" customHeight="1">
      <c r="A82" s="428" t="s">
        <v>287</v>
      </c>
      <c r="B82" s="1156" t="s">
        <v>1821</v>
      </c>
      <c r="C82" s="437"/>
      <c r="D82" s="430">
        <v>100000000</v>
      </c>
      <c r="E82" s="437"/>
    </row>
    <row r="83" spans="1:5" s="415" customFormat="1" ht="28.5" customHeight="1">
      <c r="A83" s="428" t="s">
        <v>287</v>
      </c>
      <c r="B83" s="1156" t="s">
        <v>1822</v>
      </c>
      <c r="C83" s="437"/>
      <c r="D83" s="430">
        <v>142562000</v>
      </c>
      <c r="E83" s="437"/>
    </row>
    <row r="84" spans="1:5" s="415" customFormat="1" ht="18.75" customHeight="1">
      <c r="A84" s="428" t="s">
        <v>287</v>
      </c>
      <c r="B84" s="1156" t="s">
        <v>1823</v>
      </c>
      <c r="C84" s="437"/>
      <c r="D84" s="430">
        <v>591586000</v>
      </c>
      <c r="E84" s="437"/>
    </row>
    <row r="85" spans="1:5" s="415" customFormat="1" ht="18.75" customHeight="1">
      <c r="A85" s="428" t="s">
        <v>287</v>
      </c>
      <c r="B85" s="1156" t="s">
        <v>1824</v>
      </c>
      <c r="C85" s="437"/>
      <c r="D85" s="430">
        <v>500000000</v>
      </c>
      <c r="E85" s="437"/>
    </row>
    <row r="86" spans="1:5" s="415" customFormat="1" ht="15.75">
      <c r="A86" s="428" t="s">
        <v>287</v>
      </c>
      <c r="B86" s="1156" t="s">
        <v>1825</v>
      </c>
      <c r="C86" s="437"/>
      <c r="D86" s="430">
        <v>118633100</v>
      </c>
      <c r="E86" s="437"/>
    </row>
    <row r="87" spans="1:5" s="415" customFormat="1" ht="25.5">
      <c r="A87" s="428" t="s">
        <v>287</v>
      </c>
      <c r="B87" s="1156" t="s">
        <v>1826</v>
      </c>
      <c r="C87" s="437"/>
      <c r="D87" s="430">
        <v>5000000</v>
      </c>
      <c r="E87" s="437"/>
    </row>
    <row r="88" spans="1:5" s="415" customFormat="1" ht="25.5">
      <c r="A88" s="428" t="s">
        <v>287</v>
      </c>
      <c r="B88" s="1156" t="s">
        <v>1826</v>
      </c>
      <c r="C88" s="437"/>
      <c r="D88" s="430">
        <v>7765923</v>
      </c>
      <c r="E88" s="437"/>
    </row>
    <row r="89" spans="1:5" s="415" customFormat="1" ht="25.5">
      <c r="A89" s="428" t="s">
        <v>287</v>
      </c>
      <c r="B89" s="1156" t="s">
        <v>1826</v>
      </c>
      <c r="C89" s="437"/>
      <c r="D89" s="430">
        <v>532310000</v>
      </c>
      <c r="E89" s="437"/>
    </row>
    <row r="90" spans="1:5" s="415" customFormat="1" ht="25.5">
      <c r="A90" s="428" t="s">
        <v>287</v>
      </c>
      <c r="B90" s="1156" t="s">
        <v>1826</v>
      </c>
      <c r="C90" s="437"/>
      <c r="D90" s="430">
        <v>100000000</v>
      </c>
      <c r="E90" s="437"/>
    </row>
    <row r="91" spans="1:5" s="415" customFormat="1" ht="25.5">
      <c r="A91" s="428" t="s">
        <v>287</v>
      </c>
      <c r="B91" s="1156" t="s">
        <v>1826</v>
      </c>
      <c r="C91" s="437"/>
      <c r="D91" s="430">
        <v>200000000</v>
      </c>
      <c r="E91" s="437"/>
    </row>
    <row r="92" spans="1:5" s="415" customFormat="1" ht="25.5">
      <c r="A92" s="428" t="s">
        <v>287</v>
      </c>
      <c r="B92" s="1156" t="s">
        <v>1826</v>
      </c>
      <c r="C92" s="437"/>
      <c r="D92" s="430">
        <v>200000000</v>
      </c>
      <c r="E92" s="437"/>
    </row>
    <row r="93" spans="1:5" s="415" customFormat="1" ht="27" customHeight="1">
      <c r="A93" s="428" t="s">
        <v>287</v>
      </c>
      <c r="B93" s="1156" t="s">
        <v>1827</v>
      </c>
      <c r="C93" s="437"/>
      <c r="D93" s="430">
        <v>30000000</v>
      </c>
      <c r="E93" s="437"/>
    </row>
    <row r="94" spans="1:5" s="415" customFormat="1" ht="20.25" customHeight="1">
      <c r="A94" s="428" t="s">
        <v>287</v>
      </c>
      <c r="B94" s="1156" t="s">
        <v>1828</v>
      </c>
      <c r="C94" s="437"/>
      <c r="D94" s="430">
        <v>378071000</v>
      </c>
      <c r="E94" s="437"/>
    </row>
    <row r="95" spans="1:5" s="415" customFormat="1" ht="20.25" customHeight="1">
      <c r="A95" s="428" t="s">
        <v>287</v>
      </c>
      <c r="B95" s="1156" t="s">
        <v>1828</v>
      </c>
      <c r="C95" s="437"/>
      <c r="D95" s="430">
        <v>12035298000</v>
      </c>
      <c r="E95" s="437"/>
    </row>
    <row r="96" spans="1:5" s="415" customFormat="1" ht="22.5" customHeight="1">
      <c r="A96" s="428" t="s">
        <v>287</v>
      </c>
      <c r="B96" s="1156" t="s">
        <v>1828</v>
      </c>
      <c r="C96" s="437"/>
      <c r="D96" s="430">
        <v>231329164</v>
      </c>
      <c r="E96" s="437"/>
    </row>
    <row r="97" spans="1:5" s="415" customFormat="1" ht="26.25" customHeight="1">
      <c r="A97" s="428" t="s">
        <v>287</v>
      </c>
      <c r="B97" s="1156" t="s">
        <v>1829</v>
      </c>
      <c r="C97" s="437"/>
      <c r="D97" s="430">
        <v>100000000</v>
      </c>
      <c r="E97" s="437"/>
    </row>
    <row r="98" spans="1:5" s="415" customFormat="1" ht="31.5" customHeight="1">
      <c r="A98" s="428" t="s">
        <v>287</v>
      </c>
      <c r="B98" s="1156" t="s">
        <v>1830</v>
      </c>
      <c r="C98" s="437"/>
      <c r="D98" s="430">
        <v>80000000</v>
      </c>
      <c r="E98" s="437"/>
    </row>
    <row r="99" spans="1:5" s="415" customFormat="1" ht="30.75" customHeight="1">
      <c r="A99" s="428" t="s">
        <v>287</v>
      </c>
      <c r="B99" s="1156" t="s">
        <v>1831</v>
      </c>
      <c r="C99" s="437"/>
      <c r="D99" s="430">
        <v>545091702</v>
      </c>
      <c r="E99" s="437"/>
    </row>
    <row r="100" spans="1:5" s="415" customFormat="1" ht="30.75" customHeight="1">
      <c r="A100" s="428" t="s">
        <v>287</v>
      </c>
      <c r="B100" s="1156" t="s">
        <v>1831</v>
      </c>
      <c r="C100" s="437"/>
      <c r="D100" s="430">
        <v>142680176</v>
      </c>
      <c r="E100" s="437"/>
    </row>
    <row r="101" spans="1:5" s="415" customFormat="1" ht="20.25" customHeight="1">
      <c r="A101" s="423">
        <v>6</v>
      </c>
      <c r="B101" s="1161" t="s">
        <v>1480</v>
      </c>
      <c r="C101" s="424">
        <f>D101+E101</f>
        <v>428942527</v>
      </c>
      <c r="D101" s="424">
        <v>428942527</v>
      </c>
      <c r="E101" s="424"/>
    </row>
    <row r="102" spans="1:5" s="415" customFormat="1" ht="20.25" customHeight="1">
      <c r="A102" s="423">
        <v>7</v>
      </c>
      <c r="B102" s="1162" t="s">
        <v>1832</v>
      </c>
      <c r="C102" s="439">
        <f>C103+C104</f>
        <v>41377000000</v>
      </c>
      <c r="D102" s="439"/>
      <c r="E102" s="439">
        <f>E103+E104</f>
        <v>41377000000</v>
      </c>
    </row>
    <row r="103" spans="1:5" s="415" customFormat="1" ht="27.75" customHeight="1">
      <c r="A103" s="423" t="s">
        <v>287</v>
      </c>
      <c r="B103" s="1159" t="s">
        <v>1833</v>
      </c>
      <c r="C103" s="436">
        <f>D103+E103</f>
        <v>19583000000</v>
      </c>
      <c r="D103" s="436"/>
      <c r="E103" s="436">
        <v>19583000000</v>
      </c>
    </row>
    <row r="104" spans="1:5" s="415" customFormat="1" ht="20.25" customHeight="1">
      <c r="A104" s="423" t="s">
        <v>287</v>
      </c>
      <c r="B104" s="1159" t="s">
        <v>1834</v>
      </c>
      <c r="C104" s="436">
        <f>D104+E104</f>
        <v>21794000000</v>
      </c>
      <c r="D104" s="436"/>
      <c r="E104" s="436">
        <v>21794000000</v>
      </c>
    </row>
    <row r="105" spans="1:5" s="415" customFormat="1" ht="20.25" customHeight="1">
      <c r="A105" s="440">
        <v>8</v>
      </c>
      <c r="B105" s="1163" t="s">
        <v>1835</v>
      </c>
      <c r="C105" s="441">
        <f>D105+E105</f>
        <v>1988000000</v>
      </c>
      <c r="D105" s="441">
        <v>1988000000</v>
      </c>
      <c r="E105" s="442">
        <v>0</v>
      </c>
    </row>
    <row r="106" spans="1:5" s="415" customFormat="1" ht="20.25" customHeight="1">
      <c r="A106" s="440">
        <v>9</v>
      </c>
      <c r="B106" s="1163" t="s">
        <v>1836</v>
      </c>
      <c r="C106" s="441">
        <f>D106+E106</f>
        <v>255489912</v>
      </c>
      <c r="D106" s="441">
        <v>255489912</v>
      </c>
      <c r="E106" s="442">
        <v>0</v>
      </c>
    </row>
    <row r="107" spans="1:5" s="415" customFormat="1" ht="30.75" customHeight="1">
      <c r="A107" s="412" t="s">
        <v>7</v>
      </c>
      <c r="B107" s="1164" t="s">
        <v>1769</v>
      </c>
      <c r="C107" s="443">
        <f>D107+E107</f>
        <v>625150018</v>
      </c>
      <c r="D107" s="408"/>
      <c r="E107" s="408">
        <f>SUM(E108:E112)</f>
        <v>625150018</v>
      </c>
    </row>
    <row r="108" spans="1:5" s="415" customFormat="1" ht="22.5" customHeight="1">
      <c r="A108" s="428">
        <v>1</v>
      </c>
      <c r="B108" s="1165" t="s">
        <v>1837</v>
      </c>
      <c r="C108" s="435">
        <f>E108</f>
        <v>13610000</v>
      </c>
      <c r="D108" s="435"/>
      <c r="E108" s="435">
        <v>13610000</v>
      </c>
    </row>
    <row r="109" spans="1:5" s="415" customFormat="1" ht="22.5" customHeight="1">
      <c r="A109" s="428">
        <v>2</v>
      </c>
      <c r="B109" s="1165" t="s">
        <v>244</v>
      </c>
      <c r="C109" s="435">
        <f>E109</f>
        <v>44623269</v>
      </c>
      <c r="D109" s="435"/>
      <c r="E109" s="435">
        <v>44623269</v>
      </c>
    </row>
    <row r="110" spans="1:5" s="415" customFormat="1" ht="21" customHeight="1">
      <c r="A110" s="428">
        <v>3</v>
      </c>
      <c r="B110" s="1165" t="s">
        <v>1838</v>
      </c>
      <c r="C110" s="435">
        <f>E110</f>
        <v>74950000</v>
      </c>
      <c r="D110" s="435"/>
      <c r="E110" s="435">
        <v>74950000</v>
      </c>
    </row>
    <row r="111" spans="1:5" s="415" customFormat="1" ht="21" customHeight="1">
      <c r="A111" s="428">
        <v>4</v>
      </c>
      <c r="B111" s="1165" t="s">
        <v>1295</v>
      </c>
      <c r="C111" s="435">
        <f>E111</f>
        <v>487948859</v>
      </c>
      <c r="D111" s="435"/>
      <c r="E111" s="435">
        <v>487948859</v>
      </c>
    </row>
    <row r="112" spans="1:5" s="415" customFormat="1" ht="22.5" customHeight="1">
      <c r="A112" s="428">
        <v>5</v>
      </c>
      <c r="B112" s="1165" t="s">
        <v>1839</v>
      </c>
      <c r="C112" s="435">
        <f>E112</f>
        <v>4017890.0000000005</v>
      </c>
      <c r="D112" s="435"/>
      <c r="E112" s="435">
        <v>4017890.0000000005</v>
      </c>
    </row>
    <row r="113" spans="1:7" s="415" customFormat="1" ht="33" customHeight="1">
      <c r="A113" s="444" t="s">
        <v>8</v>
      </c>
      <c r="B113" s="1164" t="s">
        <v>1840</v>
      </c>
      <c r="C113" s="443">
        <f>C114+C125</f>
        <v>3465799458</v>
      </c>
      <c r="D113" s="443">
        <f>D114+D125</f>
        <v>0</v>
      </c>
      <c r="E113" s="443">
        <f>E114+E125</f>
        <v>3465799458</v>
      </c>
    </row>
    <row r="114" spans="1:7" s="415" customFormat="1" ht="21.75" customHeight="1">
      <c r="A114" s="444">
        <v>1</v>
      </c>
      <c r="B114" s="1164" t="s">
        <v>1841</v>
      </c>
      <c r="C114" s="443">
        <f>SUM(C115:C124)</f>
        <v>3237799458</v>
      </c>
      <c r="D114" s="443">
        <f>SUM(D115:D124)</f>
        <v>0</v>
      </c>
      <c r="E114" s="443">
        <f>SUM(E115:E124)</f>
        <v>3237799458</v>
      </c>
      <c r="G114" s="415" t="s">
        <v>1766</v>
      </c>
    </row>
    <row r="115" spans="1:7" s="415" customFormat="1" ht="22.5" customHeight="1">
      <c r="A115" s="445" t="s">
        <v>308</v>
      </c>
      <c r="B115" s="1165" t="s">
        <v>1842</v>
      </c>
      <c r="C115" s="435">
        <f t="shared" ref="C115:C125" si="2">D115+E115</f>
        <v>746006325</v>
      </c>
      <c r="D115" s="435"/>
      <c r="E115" s="435">
        <f>((85578173+655158152+5270000)/1000000)*1000000</f>
        <v>746006325</v>
      </c>
    </row>
    <row r="116" spans="1:7" s="415" customFormat="1" ht="23.25" customHeight="1">
      <c r="A116" s="445" t="s">
        <v>305</v>
      </c>
      <c r="B116" s="1165" t="s">
        <v>1843</v>
      </c>
      <c r="C116" s="435">
        <f t="shared" si="2"/>
        <v>543592000</v>
      </c>
      <c r="D116" s="435"/>
      <c r="E116" s="435">
        <v>543592000</v>
      </c>
    </row>
    <row r="117" spans="1:7" s="415" customFormat="1" ht="22.5" customHeight="1">
      <c r="A117" s="445" t="s">
        <v>300</v>
      </c>
      <c r="B117" s="1165" t="s">
        <v>1341</v>
      </c>
      <c r="C117" s="435">
        <f t="shared" si="2"/>
        <v>96435595</v>
      </c>
      <c r="D117" s="435"/>
      <c r="E117" s="435">
        <v>96435595</v>
      </c>
    </row>
    <row r="118" spans="1:7" s="415" customFormat="1" ht="15.75">
      <c r="A118" s="445" t="s">
        <v>1432</v>
      </c>
      <c r="B118" s="1165" t="s">
        <v>244</v>
      </c>
      <c r="C118" s="435">
        <f t="shared" si="2"/>
        <v>909327669</v>
      </c>
      <c r="D118" s="435"/>
      <c r="E118" s="435">
        <f>((909327669)/1000000)*1000000</f>
        <v>909327669</v>
      </c>
    </row>
    <row r="119" spans="1:7" s="415" customFormat="1" ht="23.25" customHeight="1">
      <c r="A119" s="445" t="s">
        <v>1433</v>
      </c>
      <c r="B119" s="1165" t="s">
        <v>1844</v>
      </c>
      <c r="C119" s="435">
        <f t="shared" si="2"/>
        <v>355000000</v>
      </c>
      <c r="D119" s="435"/>
      <c r="E119" s="435">
        <v>355000000</v>
      </c>
    </row>
    <row r="120" spans="1:7" s="415" customFormat="1" ht="24" customHeight="1">
      <c r="A120" s="445" t="s">
        <v>1434</v>
      </c>
      <c r="B120" s="1166" t="s">
        <v>1845</v>
      </c>
      <c r="C120" s="435">
        <f t="shared" si="2"/>
        <v>151569890</v>
      </c>
      <c r="D120" s="435"/>
      <c r="E120" s="435">
        <v>151569890</v>
      </c>
    </row>
    <row r="121" spans="1:7" s="415" customFormat="1" ht="21" customHeight="1">
      <c r="A121" s="445" t="s">
        <v>1436</v>
      </c>
      <c r="B121" s="1166" t="s">
        <v>1039</v>
      </c>
      <c r="C121" s="435">
        <f t="shared" si="2"/>
        <v>38717905</v>
      </c>
      <c r="D121" s="435"/>
      <c r="E121" s="435">
        <v>38717905</v>
      </c>
    </row>
    <row r="122" spans="1:7" s="415" customFormat="1" ht="21" customHeight="1">
      <c r="A122" s="445" t="s">
        <v>1479</v>
      </c>
      <c r="B122" s="1166" t="s">
        <v>1838</v>
      </c>
      <c r="C122" s="435">
        <f t="shared" si="2"/>
        <v>368853</v>
      </c>
      <c r="D122" s="435"/>
      <c r="E122" s="435">
        <v>368853</v>
      </c>
    </row>
    <row r="123" spans="1:7" s="415" customFormat="1" ht="20.25" customHeight="1">
      <c r="A123" s="445" t="s">
        <v>1481</v>
      </c>
      <c r="B123" s="1166" t="s">
        <v>1308</v>
      </c>
      <c r="C123" s="435">
        <f t="shared" si="2"/>
        <v>9809600</v>
      </c>
      <c r="D123" s="435"/>
      <c r="E123" s="435">
        <v>9809600</v>
      </c>
    </row>
    <row r="124" spans="1:7" s="415" customFormat="1" ht="18.75" customHeight="1">
      <c r="A124" s="445" t="s">
        <v>1483</v>
      </c>
      <c r="B124" s="1166" t="s">
        <v>1295</v>
      </c>
      <c r="C124" s="435">
        <f t="shared" si="2"/>
        <v>386971621</v>
      </c>
      <c r="D124" s="435"/>
      <c r="E124" s="435">
        <v>386971621</v>
      </c>
    </row>
    <row r="125" spans="1:7" s="415" customFormat="1" ht="20.25" customHeight="1">
      <c r="A125" s="446">
        <v>2</v>
      </c>
      <c r="B125" s="1167" t="s">
        <v>1846</v>
      </c>
      <c r="C125" s="419">
        <f t="shared" si="2"/>
        <v>228000000</v>
      </c>
      <c r="D125" s="419"/>
      <c r="E125" s="419">
        <v>228000000</v>
      </c>
    </row>
    <row r="126" spans="1:7" s="415" customFormat="1" ht="45" customHeight="1">
      <c r="A126" s="444" t="s">
        <v>9</v>
      </c>
      <c r="B126" s="1164" t="s">
        <v>1770</v>
      </c>
      <c r="C126" s="443">
        <f>C127+C132+C134+C136+C138+C140+C142+C144+C147+C150+C152+C155+C157+C159+C161+C163</f>
        <v>39261208416</v>
      </c>
      <c r="D126" s="443">
        <f>D127+D132+D134+D136+D138+D140+D142+D144+D147+D150+D152+D155+D157+D159+D161+D163</f>
        <v>1480000000</v>
      </c>
      <c r="E126" s="443">
        <f>E127+E132+E134+E136+E138+E140+E142+E144+E147+E150+E152+E155+E157+E159+E161+E163</f>
        <v>37781208416</v>
      </c>
    </row>
    <row r="127" spans="1:7" s="447" customFormat="1" ht="23.25" customHeight="1">
      <c r="A127" s="444">
        <v>1</v>
      </c>
      <c r="B127" s="1164" t="s">
        <v>1847</v>
      </c>
      <c r="C127" s="443">
        <f>C128+C129+C130+C131</f>
        <v>11369078000</v>
      </c>
      <c r="D127" s="443">
        <f>D128+D129+D130+D131</f>
        <v>1000000000</v>
      </c>
      <c r="E127" s="443">
        <f>E128+E129+E130+E131</f>
        <v>10369078000</v>
      </c>
    </row>
    <row r="128" spans="1:7" s="447" customFormat="1" ht="22.5" customHeight="1">
      <c r="A128" s="445" t="s">
        <v>308</v>
      </c>
      <c r="B128" s="1165" t="s">
        <v>1842</v>
      </c>
      <c r="C128" s="435">
        <f>D128+E128</f>
        <v>5569078000</v>
      </c>
      <c r="D128" s="435"/>
      <c r="E128" s="435">
        <v>5569078000</v>
      </c>
    </row>
    <row r="129" spans="1:5" s="447" customFormat="1" ht="24.75" customHeight="1">
      <c r="A129" s="445" t="s">
        <v>305</v>
      </c>
      <c r="B129" s="1165" t="s">
        <v>1848</v>
      </c>
      <c r="C129" s="435">
        <f>D129+E129</f>
        <v>3000000000</v>
      </c>
      <c r="D129" s="435"/>
      <c r="E129" s="435">
        <v>3000000000</v>
      </c>
    </row>
    <row r="130" spans="1:5" s="447" customFormat="1" ht="23.25" customHeight="1">
      <c r="A130" s="445" t="s">
        <v>300</v>
      </c>
      <c r="B130" s="1165" t="s">
        <v>1849</v>
      </c>
      <c r="C130" s="435">
        <f>D130+E130</f>
        <v>1800000000</v>
      </c>
      <c r="D130" s="435"/>
      <c r="E130" s="435">
        <v>1800000000</v>
      </c>
    </row>
    <row r="131" spans="1:5" s="447" customFormat="1" ht="23.25" customHeight="1">
      <c r="A131" s="448" t="s">
        <v>1432</v>
      </c>
      <c r="B131" s="1168" t="s">
        <v>1850</v>
      </c>
      <c r="C131" s="435">
        <f>D131+E131</f>
        <v>1000000000</v>
      </c>
      <c r="D131" s="435">
        <v>1000000000</v>
      </c>
      <c r="E131" s="435">
        <v>0</v>
      </c>
    </row>
    <row r="132" spans="1:5" s="447" customFormat="1" ht="32.25" customHeight="1">
      <c r="A132" s="444">
        <v>2</v>
      </c>
      <c r="B132" s="1164" t="s">
        <v>1851</v>
      </c>
      <c r="C132" s="443">
        <f>SUM(C133:C133)</f>
        <v>100000000</v>
      </c>
      <c r="D132" s="443">
        <f>D133</f>
        <v>100000000</v>
      </c>
      <c r="E132" s="443"/>
    </row>
    <row r="133" spans="1:5" s="447" customFormat="1" ht="19.5" customHeight="1">
      <c r="A133" s="445" t="s">
        <v>294</v>
      </c>
      <c r="B133" s="1165" t="s">
        <v>453</v>
      </c>
      <c r="C133" s="435">
        <f>D133+E133</f>
        <v>100000000</v>
      </c>
      <c r="D133" s="435">
        <v>100000000</v>
      </c>
      <c r="E133" s="435"/>
    </row>
    <row r="134" spans="1:5" s="415" customFormat="1" ht="22.5" customHeight="1">
      <c r="A134" s="444">
        <v>3</v>
      </c>
      <c r="B134" s="1164" t="s">
        <v>1852</v>
      </c>
      <c r="C134" s="443">
        <f>C135</f>
        <v>26596508</v>
      </c>
      <c r="D134" s="443"/>
      <c r="E134" s="443">
        <f>E135</f>
        <v>26596508</v>
      </c>
    </row>
    <row r="135" spans="1:5" s="415" customFormat="1" ht="19.5" customHeight="1">
      <c r="A135" s="445" t="s">
        <v>1547</v>
      </c>
      <c r="B135" s="1165" t="s">
        <v>245</v>
      </c>
      <c r="C135" s="435">
        <f>E135</f>
        <v>26596508</v>
      </c>
      <c r="D135" s="435"/>
      <c r="E135" s="435">
        <v>26596508</v>
      </c>
    </row>
    <row r="136" spans="1:5" s="447" customFormat="1" ht="21.75" customHeight="1">
      <c r="A136" s="444">
        <v>4</v>
      </c>
      <c r="B136" s="1164" t="s">
        <v>1853</v>
      </c>
      <c r="C136" s="443">
        <f>C137</f>
        <v>17295146</v>
      </c>
      <c r="D136" s="443"/>
      <c r="E136" s="443">
        <f>E137</f>
        <v>17295146</v>
      </c>
    </row>
    <row r="137" spans="1:5" s="447" customFormat="1" ht="21" customHeight="1">
      <c r="A137" s="445" t="s">
        <v>1552</v>
      </c>
      <c r="B137" s="1165" t="s">
        <v>245</v>
      </c>
      <c r="C137" s="435">
        <f>D137+E137</f>
        <v>17295146</v>
      </c>
      <c r="D137" s="435"/>
      <c r="E137" s="435">
        <v>17295146</v>
      </c>
    </row>
    <row r="138" spans="1:5" s="447" customFormat="1" ht="28.5" customHeight="1">
      <c r="A138" s="444">
        <v>5</v>
      </c>
      <c r="B138" s="1164" t="s">
        <v>1854</v>
      </c>
      <c r="C138" s="443">
        <f>E138</f>
        <v>20874000</v>
      </c>
      <c r="D138" s="443"/>
      <c r="E138" s="443">
        <f>E139</f>
        <v>20874000</v>
      </c>
    </row>
    <row r="139" spans="1:5" s="447" customFormat="1" ht="24" customHeight="1">
      <c r="A139" s="445" t="s">
        <v>1566</v>
      </c>
      <c r="B139" s="1165" t="s">
        <v>245</v>
      </c>
      <c r="C139" s="435">
        <f>D139+E139</f>
        <v>20874000</v>
      </c>
      <c r="D139" s="435"/>
      <c r="E139" s="435">
        <v>20874000</v>
      </c>
    </row>
    <row r="140" spans="1:5" s="415" customFormat="1" ht="28.5" customHeight="1">
      <c r="A140" s="444">
        <v>6</v>
      </c>
      <c r="B140" s="1164" t="s">
        <v>1855</v>
      </c>
      <c r="C140" s="443">
        <f>C141</f>
        <v>13750000</v>
      </c>
      <c r="D140" s="443"/>
      <c r="E140" s="443">
        <f>E141</f>
        <v>13750000</v>
      </c>
    </row>
    <row r="141" spans="1:5" s="415" customFormat="1" ht="23.25" customHeight="1">
      <c r="A141" s="445" t="s">
        <v>1568</v>
      </c>
      <c r="B141" s="1165" t="s">
        <v>245</v>
      </c>
      <c r="C141" s="435">
        <f>D141+E141</f>
        <v>13750000</v>
      </c>
      <c r="D141" s="435"/>
      <c r="E141" s="435">
        <v>13750000</v>
      </c>
    </row>
    <row r="142" spans="1:5" s="415" customFormat="1" ht="28.5" customHeight="1">
      <c r="A142" s="444">
        <v>7</v>
      </c>
      <c r="B142" s="1164" t="s">
        <v>1856</v>
      </c>
      <c r="C142" s="443">
        <f>C143</f>
        <v>12472346</v>
      </c>
      <c r="D142" s="443"/>
      <c r="E142" s="443">
        <f>E143</f>
        <v>12472346</v>
      </c>
    </row>
    <row r="143" spans="1:5" s="415" customFormat="1" ht="21" customHeight="1">
      <c r="A143" s="445" t="s">
        <v>1602</v>
      </c>
      <c r="B143" s="1165" t="s">
        <v>245</v>
      </c>
      <c r="C143" s="435">
        <f>E143</f>
        <v>12472346</v>
      </c>
      <c r="D143" s="435"/>
      <c r="E143" s="435">
        <v>12472346</v>
      </c>
    </row>
    <row r="144" spans="1:5" s="415" customFormat="1" ht="23.25" customHeight="1">
      <c r="A144" s="444">
        <v>8</v>
      </c>
      <c r="B144" s="1164" t="s">
        <v>1857</v>
      </c>
      <c r="C144" s="443">
        <f>C145+C146</f>
        <v>3030441498</v>
      </c>
      <c r="D144" s="443"/>
      <c r="E144" s="443">
        <f>E145+E146</f>
        <v>3030441498</v>
      </c>
    </row>
    <row r="145" spans="1:5" s="415" customFormat="1" ht="21" customHeight="1">
      <c r="A145" s="445" t="s">
        <v>1858</v>
      </c>
      <c r="B145" s="1165" t="s">
        <v>244</v>
      </c>
      <c r="C145" s="435">
        <f>E145</f>
        <v>2187831145</v>
      </c>
      <c r="D145" s="435"/>
      <c r="E145" s="435">
        <v>2187831145</v>
      </c>
    </row>
    <row r="146" spans="1:5" s="447" customFormat="1" ht="21" customHeight="1">
      <c r="A146" s="445" t="s">
        <v>1859</v>
      </c>
      <c r="B146" s="1165" t="s">
        <v>1860</v>
      </c>
      <c r="C146" s="435">
        <f>E146</f>
        <v>842610353</v>
      </c>
      <c r="D146" s="435"/>
      <c r="E146" s="435">
        <v>842610353</v>
      </c>
    </row>
    <row r="147" spans="1:5" s="447" customFormat="1" ht="21.75" customHeight="1">
      <c r="A147" s="444">
        <v>9</v>
      </c>
      <c r="B147" s="1164" t="s">
        <v>1861</v>
      </c>
      <c r="C147" s="443">
        <f>C148+C149</f>
        <v>10250000</v>
      </c>
      <c r="D147" s="443"/>
      <c r="E147" s="443">
        <f>E148+E149</f>
        <v>10250000</v>
      </c>
    </row>
    <row r="148" spans="1:5" s="415" customFormat="1" ht="21.75" customHeight="1">
      <c r="A148" s="445" t="s">
        <v>1862</v>
      </c>
      <c r="B148" s="1165" t="s">
        <v>1863</v>
      </c>
      <c r="C148" s="435">
        <f>E148</f>
        <v>2300000</v>
      </c>
      <c r="D148" s="435"/>
      <c r="E148" s="435">
        <v>2300000</v>
      </c>
    </row>
    <row r="149" spans="1:5" s="415" customFormat="1" ht="19.5" customHeight="1">
      <c r="A149" s="445" t="s">
        <v>1864</v>
      </c>
      <c r="B149" s="1165" t="s">
        <v>244</v>
      </c>
      <c r="C149" s="435">
        <f>E149</f>
        <v>7950000</v>
      </c>
      <c r="D149" s="435"/>
      <c r="E149" s="435">
        <v>7950000</v>
      </c>
    </row>
    <row r="150" spans="1:5" s="447" customFormat="1" ht="19.5" customHeight="1">
      <c r="A150" s="444">
        <v>10</v>
      </c>
      <c r="B150" s="1164" t="s">
        <v>1865</v>
      </c>
      <c r="C150" s="443">
        <f>C151</f>
        <v>219971700</v>
      </c>
      <c r="D150" s="443"/>
      <c r="E150" s="443">
        <f>E151</f>
        <v>219971700</v>
      </c>
    </row>
    <row r="151" spans="1:5" s="447" customFormat="1" ht="19.5" customHeight="1">
      <c r="A151" s="445" t="s">
        <v>1866</v>
      </c>
      <c r="B151" s="1165" t="s">
        <v>1863</v>
      </c>
      <c r="C151" s="435">
        <f>E151</f>
        <v>219971700</v>
      </c>
      <c r="D151" s="435"/>
      <c r="E151" s="435">
        <v>219971700</v>
      </c>
    </row>
    <row r="152" spans="1:5" s="447" customFormat="1" ht="23.25" customHeight="1">
      <c r="A152" s="444">
        <v>11</v>
      </c>
      <c r="B152" s="1164" t="s">
        <v>1867</v>
      </c>
      <c r="C152" s="443">
        <f>C153+C154</f>
        <v>341168000</v>
      </c>
      <c r="D152" s="443"/>
      <c r="E152" s="443">
        <f>E153+E154</f>
        <v>341168000</v>
      </c>
    </row>
    <row r="153" spans="1:5" s="447" customFormat="1" ht="21.75" customHeight="1">
      <c r="A153" s="445" t="s">
        <v>1868</v>
      </c>
      <c r="B153" s="1165" t="s">
        <v>1860</v>
      </c>
      <c r="C153" s="435">
        <f>E153</f>
        <v>203468000</v>
      </c>
      <c r="D153" s="435"/>
      <c r="E153" s="435">
        <v>203468000</v>
      </c>
    </row>
    <row r="154" spans="1:5" s="447" customFormat="1" ht="20.25" customHeight="1">
      <c r="A154" s="445" t="s">
        <v>1869</v>
      </c>
      <c r="B154" s="1165" t="s">
        <v>1843</v>
      </c>
      <c r="C154" s="435">
        <f>E154</f>
        <v>137700000</v>
      </c>
      <c r="D154" s="435"/>
      <c r="E154" s="435">
        <v>137700000</v>
      </c>
    </row>
    <row r="155" spans="1:5" s="447" customFormat="1" ht="37.5" customHeight="1">
      <c r="A155" s="444">
        <v>12</v>
      </c>
      <c r="B155" s="1164" t="s">
        <v>1870</v>
      </c>
      <c r="C155" s="443">
        <f>C156</f>
        <v>375907000</v>
      </c>
      <c r="D155" s="443"/>
      <c r="E155" s="443">
        <f>E156</f>
        <v>375907000</v>
      </c>
    </row>
    <row r="156" spans="1:5" s="447" customFormat="1" ht="19.5" customHeight="1">
      <c r="A156" s="445" t="s">
        <v>1871</v>
      </c>
      <c r="B156" s="1165" t="s">
        <v>1039</v>
      </c>
      <c r="C156" s="435">
        <f>E156</f>
        <v>375907000</v>
      </c>
      <c r="D156" s="435"/>
      <c r="E156" s="435">
        <v>375907000</v>
      </c>
    </row>
    <row r="157" spans="1:5" s="447" customFormat="1" ht="39.75" customHeight="1">
      <c r="A157" s="444">
        <v>13</v>
      </c>
      <c r="B157" s="1164" t="s">
        <v>1872</v>
      </c>
      <c r="C157" s="443">
        <f>C158</f>
        <v>32043000</v>
      </c>
      <c r="D157" s="443"/>
      <c r="E157" s="443">
        <f>E158</f>
        <v>32043000</v>
      </c>
    </row>
    <row r="158" spans="1:5" s="447" customFormat="1" ht="21" customHeight="1">
      <c r="A158" s="445" t="s">
        <v>1873</v>
      </c>
      <c r="B158" s="1165" t="s">
        <v>1308</v>
      </c>
      <c r="C158" s="435">
        <f>E158</f>
        <v>32043000</v>
      </c>
      <c r="D158" s="435"/>
      <c r="E158" s="435">
        <v>32043000</v>
      </c>
    </row>
    <row r="159" spans="1:5" s="447" customFormat="1" ht="21.75" customHeight="1">
      <c r="A159" s="444">
        <v>14</v>
      </c>
      <c r="B159" s="1164" t="s">
        <v>1874</v>
      </c>
      <c r="C159" s="443">
        <f>C160</f>
        <v>120891000</v>
      </c>
      <c r="D159" s="443"/>
      <c r="E159" s="443">
        <f>E160</f>
        <v>120891000</v>
      </c>
    </row>
    <row r="160" spans="1:5" s="447" customFormat="1" ht="18.75" customHeight="1">
      <c r="A160" s="445" t="s">
        <v>1875</v>
      </c>
      <c r="B160" s="1165" t="s">
        <v>1876</v>
      </c>
      <c r="C160" s="435">
        <f>E160</f>
        <v>120891000</v>
      </c>
      <c r="D160" s="435"/>
      <c r="E160" s="435">
        <v>120891000</v>
      </c>
    </row>
    <row r="161" spans="1:5" s="447" customFormat="1" ht="22.5" customHeight="1">
      <c r="A161" s="444">
        <v>15</v>
      </c>
      <c r="B161" s="1164" t="s">
        <v>1877</v>
      </c>
      <c r="C161" s="443">
        <f>C162</f>
        <v>140470218</v>
      </c>
      <c r="D161" s="443"/>
      <c r="E161" s="443">
        <f>E162</f>
        <v>140470218</v>
      </c>
    </row>
    <row r="162" spans="1:5" s="447" customFormat="1" ht="18.75" customHeight="1">
      <c r="A162" s="445" t="s">
        <v>1878</v>
      </c>
      <c r="B162" s="1165" t="s">
        <v>244</v>
      </c>
      <c r="C162" s="435">
        <f>D162+E162</f>
        <v>140470218</v>
      </c>
      <c r="D162" s="435"/>
      <c r="E162" s="435">
        <v>140470218</v>
      </c>
    </row>
    <row r="163" spans="1:5" s="447" customFormat="1" ht="20.25" customHeight="1">
      <c r="A163" s="444">
        <v>16</v>
      </c>
      <c r="B163" s="1164" t="s">
        <v>1879</v>
      </c>
      <c r="C163" s="443">
        <f>SUM(C164:C169)</f>
        <v>23430000000</v>
      </c>
      <c r="D163" s="443">
        <f>SUM(D164:D169)</f>
        <v>380000000</v>
      </c>
      <c r="E163" s="443">
        <f>SUM(E164:E169)</f>
        <v>23050000000</v>
      </c>
    </row>
    <row r="164" spans="1:5" s="415" customFormat="1" ht="19.5" customHeight="1">
      <c r="A164" s="445" t="s">
        <v>1880</v>
      </c>
      <c r="B164" s="1165" t="s">
        <v>1308</v>
      </c>
      <c r="C164" s="435">
        <f>D164+E164</f>
        <v>1505000000</v>
      </c>
      <c r="D164" s="435">
        <v>0</v>
      </c>
      <c r="E164" s="435">
        <v>1505000000</v>
      </c>
    </row>
    <row r="165" spans="1:5" s="447" customFormat="1" ht="18.75" customHeight="1">
      <c r="A165" s="445" t="s">
        <v>1881</v>
      </c>
      <c r="B165" s="1165" t="s">
        <v>1295</v>
      </c>
      <c r="C165" s="435">
        <f>D165+E165</f>
        <v>11460000000</v>
      </c>
      <c r="D165" s="435">
        <v>0</v>
      </c>
      <c r="E165" s="435">
        <v>11460000000</v>
      </c>
    </row>
    <row r="166" spans="1:5" s="447" customFormat="1" ht="18" customHeight="1">
      <c r="A166" s="445" t="s">
        <v>1882</v>
      </c>
      <c r="B166" s="1165" t="s">
        <v>1848</v>
      </c>
      <c r="C166" s="435">
        <f>D166+E166</f>
        <v>680000000</v>
      </c>
      <c r="D166" s="435">
        <v>380000000</v>
      </c>
      <c r="E166" s="435">
        <v>300000000</v>
      </c>
    </row>
    <row r="167" spans="1:5" s="447" customFormat="1" ht="23.25" customHeight="1">
      <c r="A167" s="445" t="s">
        <v>1883</v>
      </c>
      <c r="B167" s="1165" t="s">
        <v>1838</v>
      </c>
      <c r="C167" s="435">
        <f>D167+E167</f>
        <v>1584000000</v>
      </c>
      <c r="D167" s="435">
        <v>0</v>
      </c>
      <c r="E167" s="435">
        <v>1584000000</v>
      </c>
    </row>
    <row r="168" spans="1:5" s="447" customFormat="1" ht="18" customHeight="1">
      <c r="A168" s="445" t="s">
        <v>1884</v>
      </c>
      <c r="B168" s="1165" t="s">
        <v>1842</v>
      </c>
      <c r="C168" s="435">
        <f>E168</f>
        <v>3201000000</v>
      </c>
      <c r="D168" s="435">
        <v>0</v>
      </c>
      <c r="E168" s="435">
        <v>3201000000</v>
      </c>
    </row>
    <row r="169" spans="1:5" s="447" customFormat="1" ht="21" customHeight="1">
      <c r="A169" s="445" t="s">
        <v>1885</v>
      </c>
      <c r="B169" s="1165" t="s">
        <v>1860</v>
      </c>
      <c r="C169" s="435">
        <f>E169</f>
        <v>5000000000</v>
      </c>
      <c r="D169" s="435">
        <v>0</v>
      </c>
      <c r="E169" s="435">
        <v>5000000000</v>
      </c>
    </row>
    <row r="170" spans="1:5" s="415" customFormat="1" ht="34.5" customHeight="1">
      <c r="A170" s="444" t="s">
        <v>23</v>
      </c>
      <c r="B170" s="1164" t="s">
        <v>1886</v>
      </c>
      <c r="C170" s="443">
        <f>C171</f>
        <v>7536445368</v>
      </c>
      <c r="D170" s="443">
        <f>D171</f>
        <v>4190473118</v>
      </c>
      <c r="E170" s="443">
        <f>E171</f>
        <v>3345972250</v>
      </c>
    </row>
    <row r="171" spans="1:5" s="447" customFormat="1" ht="19.5" customHeight="1">
      <c r="A171" s="449">
        <v>1</v>
      </c>
      <c r="B171" s="1169" t="s">
        <v>1336</v>
      </c>
      <c r="C171" s="450">
        <f>D171+E171</f>
        <v>7536445368</v>
      </c>
      <c r="D171" s="450">
        <v>4190473118</v>
      </c>
      <c r="E171" s="450">
        <v>3345972250</v>
      </c>
    </row>
    <row r="172" spans="1:5" s="415" customFormat="1" ht="36" customHeight="1">
      <c r="A172" s="409" t="s">
        <v>10</v>
      </c>
      <c r="B172" s="1170" t="s">
        <v>1887</v>
      </c>
      <c r="C172" s="451">
        <f>C173+C189</f>
        <v>45480469000</v>
      </c>
      <c r="D172" s="451">
        <f>D173+D189</f>
        <v>2100000000</v>
      </c>
      <c r="E172" s="451">
        <f>E173+E189</f>
        <v>43380469000</v>
      </c>
    </row>
    <row r="173" spans="1:5" s="447" customFormat="1" ht="18.75" customHeight="1">
      <c r="A173" s="412" t="s">
        <v>11</v>
      </c>
      <c r="B173" s="1171" t="s">
        <v>1888</v>
      </c>
      <c r="C173" s="452">
        <f>C174+C178</f>
        <v>40434719000</v>
      </c>
      <c r="D173" s="452">
        <f>D174+D178</f>
        <v>2100000000</v>
      </c>
      <c r="E173" s="452">
        <f>E174+E178</f>
        <v>38334719000</v>
      </c>
    </row>
    <row r="174" spans="1:5" s="415" customFormat="1" ht="18.75" customHeight="1">
      <c r="A174" s="412">
        <v>1</v>
      </c>
      <c r="B174" s="1171" t="s">
        <v>1889</v>
      </c>
      <c r="C174" s="453">
        <f t="shared" ref="C174:C188" si="3">D174+E174</f>
        <v>15012900000</v>
      </c>
      <c r="D174" s="453"/>
      <c r="E174" s="453">
        <f>E175+E176+E177</f>
        <v>15012900000</v>
      </c>
    </row>
    <row r="175" spans="1:5" s="447" customFormat="1" ht="18" customHeight="1">
      <c r="A175" s="428"/>
      <c r="B175" s="1172" t="s">
        <v>1890</v>
      </c>
      <c r="C175" s="454">
        <f t="shared" si="3"/>
        <v>3202030000</v>
      </c>
      <c r="D175" s="454"/>
      <c r="E175" s="454">
        <v>3202030000</v>
      </c>
    </row>
    <row r="176" spans="1:5" s="415" customFormat="1" ht="15.75">
      <c r="A176" s="412"/>
      <c r="B176" s="1172" t="s">
        <v>1891</v>
      </c>
      <c r="C176" s="454">
        <f t="shared" si="3"/>
        <v>8510869999.999999</v>
      </c>
      <c r="D176" s="454"/>
      <c r="E176" s="454">
        <f>(5132.87+3378)*1000000</f>
        <v>8510869999.999999</v>
      </c>
    </row>
    <row r="177" spans="1:5" s="447" customFormat="1" ht="15.75">
      <c r="A177" s="428"/>
      <c r="B177" s="1172" t="s">
        <v>1892</v>
      </c>
      <c r="C177" s="454">
        <f t="shared" si="3"/>
        <v>3300000000</v>
      </c>
      <c r="D177" s="454"/>
      <c r="E177" s="454">
        <v>3300000000</v>
      </c>
    </row>
    <row r="178" spans="1:5" s="415" customFormat="1" ht="19.5" customHeight="1">
      <c r="A178" s="412">
        <v>2</v>
      </c>
      <c r="B178" s="1171" t="s">
        <v>1893</v>
      </c>
      <c r="C178" s="452">
        <f t="shared" si="3"/>
        <v>25421819000</v>
      </c>
      <c r="D178" s="452">
        <f>D179+D186+D187+D188</f>
        <v>2100000000</v>
      </c>
      <c r="E178" s="452">
        <f>E179+E186+E187+E188</f>
        <v>23321819000</v>
      </c>
    </row>
    <row r="179" spans="1:5" s="447" customFormat="1" ht="19.5" customHeight="1">
      <c r="A179" s="423" t="s">
        <v>294</v>
      </c>
      <c r="B179" s="1173" t="s">
        <v>1894</v>
      </c>
      <c r="C179" s="455">
        <f t="shared" si="3"/>
        <v>14214860000</v>
      </c>
      <c r="D179" s="455">
        <f>SUM(D180:D185)</f>
        <v>0</v>
      </c>
      <c r="E179" s="455">
        <f>SUM(E180:E185)</f>
        <v>14214860000</v>
      </c>
    </row>
    <row r="180" spans="1:5" s="447" customFormat="1" ht="15.75" customHeight="1">
      <c r="A180" s="428" t="s">
        <v>287</v>
      </c>
      <c r="B180" s="1174" t="s">
        <v>1895</v>
      </c>
      <c r="C180" s="456">
        <f t="shared" si="3"/>
        <v>921300000.00000012</v>
      </c>
      <c r="D180" s="456"/>
      <c r="E180" s="456">
        <f>(875.95+45.35)*1000000</f>
        <v>921300000.00000012</v>
      </c>
    </row>
    <row r="181" spans="1:5" s="447" customFormat="1" ht="18" customHeight="1">
      <c r="A181" s="428" t="s">
        <v>287</v>
      </c>
      <c r="B181" s="1174" t="s">
        <v>1896</v>
      </c>
      <c r="C181" s="456">
        <f t="shared" si="3"/>
        <v>2176300000</v>
      </c>
      <c r="D181" s="456"/>
      <c r="E181" s="456">
        <f>(2167.03+9.27)*1000000</f>
        <v>2176300000</v>
      </c>
    </row>
    <row r="182" spans="1:5" s="447" customFormat="1" ht="18.75" customHeight="1">
      <c r="A182" s="428" t="s">
        <v>287</v>
      </c>
      <c r="B182" s="1174" t="s">
        <v>1897</v>
      </c>
      <c r="C182" s="456">
        <f t="shared" si="3"/>
        <v>7156710000</v>
      </c>
      <c r="D182" s="456"/>
      <c r="E182" s="456">
        <v>7156710000</v>
      </c>
    </row>
    <row r="183" spans="1:5" s="447" customFormat="1" ht="20.25" customHeight="1">
      <c r="A183" s="428" t="s">
        <v>287</v>
      </c>
      <c r="B183" s="1174" t="s">
        <v>1898</v>
      </c>
      <c r="C183" s="456">
        <f t="shared" si="3"/>
        <v>1679530000</v>
      </c>
      <c r="D183" s="456"/>
      <c r="E183" s="456">
        <v>1679530000</v>
      </c>
    </row>
    <row r="184" spans="1:5" s="447" customFormat="1" ht="18.75" customHeight="1">
      <c r="A184" s="428" t="s">
        <v>287</v>
      </c>
      <c r="B184" s="1174" t="s">
        <v>1899</v>
      </c>
      <c r="C184" s="456">
        <f t="shared" si="3"/>
        <v>71640000</v>
      </c>
      <c r="D184" s="456"/>
      <c r="E184" s="456">
        <v>71640000</v>
      </c>
    </row>
    <row r="185" spans="1:5" s="415" customFormat="1" ht="19.5" customHeight="1">
      <c r="A185" s="412" t="s">
        <v>287</v>
      </c>
      <c r="B185" s="1175" t="s">
        <v>1900</v>
      </c>
      <c r="C185" s="456">
        <f t="shared" si="3"/>
        <v>2209380000</v>
      </c>
      <c r="D185" s="456"/>
      <c r="E185" s="456">
        <f>(55+2154.38)*1000000</f>
        <v>2209380000</v>
      </c>
    </row>
    <row r="186" spans="1:5" s="447" customFormat="1" ht="19.5" customHeight="1">
      <c r="A186" s="423" t="s">
        <v>1439</v>
      </c>
      <c r="B186" s="1162" t="s">
        <v>1901</v>
      </c>
      <c r="C186" s="439">
        <f t="shared" si="3"/>
        <v>6245369000</v>
      </c>
      <c r="D186" s="439"/>
      <c r="E186" s="439">
        <f>6012720000+232649000</f>
        <v>6245369000</v>
      </c>
    </row>
    <row r="187" spans="1:5" s="447" customFormat="1" ht="19.5" customHeight="1">
      <c r="A187" s="423" t="s">
        <v>1902</v>
      </c>
      <c r="B187" s="1162" t="s">
        <v>1903</v>
      </c>
      <c r="C187" s="439">
        <f t="shared" si="3"/>
        <v>2861590000</v>
      </c>
      <c r="D187" s="439"/>
      <c r="E187" s="439">
        <f>(313.59+2548)*1000000</f>
        <v>2861590000</v>
      </c>
    </row>
    <row r="188" spans="1:5" s="447" customFormat="1" ht="27" customHeight="1">
      <c r="A188" s="423" t="s">
        <v>1904</v>
      </c>
      <c r="B188" s="1162" t="s">
        <v>1905</v>
      </c>
      <c r="C188" s="439">
        <f t="shared" si="3"/>
        <v>2100000000</v>
      </c>
      <c r="D188" s="439">
        <v>2100000000</v>
      </c>
      <c r="E188" s="439"/>
    </row>
    <row r="189" spans="1:5" s="447" customFormat="1" ht="24.75" customHeight="1">
      <c r="A189" s="412" t="s">
        <v>7</v>
      </c>
      <c r="B189" s="1176" t="s">
        <v>1906</v>
      </c>
      <c r="C189" s="452">
        <f>SUM(C190:C192)</f>
        <v>5045750000</v>
      </c>
      <c r="D189" s="452">
        <f>SUM(D190:D192)</f>
        <v>0</v>
      </c>
      <c r="E189" s="452">
        <f>SUM(E190:E192)</f>
        <v>5045750000</v>
      </c>
    </row>
    <row r="190" spans="1:5" s="415" customFormat="1" ht="15.75" customHeight="1">
      <c r="A190" s="423">
        <v>1</v>
      </c>
      <c r="B190" s="1177" t="s">
        <v>1907</v>
      </c>
      <c r="C190" s="439">
        <f>120000000+45750000</f>
        <v>165750000</v>
      </c>
      <c r="D190" s="439"/>
      <c r="E190" s="439">
        <f>120000000+45750000</f>
        <v>165750000</v>
      </c>
    </row>
    <row r="191" spans="1:5" s="415" customFormat="1" ht="19.5" customHeight="1">
      <c r="A191" s="423">
        <v>2</v>
      </c>
      <c r="B191" s="1178" t="s">
        <v>1908</v>
      </c>
      <c r="C191" s="439">
        <v>2700000000</v>
      </c>
      <c r="D191" s="439"/>
      <c r="E191" s="439">
        <v>2700000000</v>
      </c>
    </row>
    <row r="192" spans="1:5" s="415" customFormat="1" ht="28.5" customHeight="1">
      <c r="A192" s="457">
        <v>3</v>
      </c>
      <c r="B192" s="1179" t="s">
        <v>1444</v>
      </c>
      <c r="C192" s="458">
        <v>2180000000</v>
      </c>
      <c r="D192" s="458"/>
      <c r="E192" s="458">
        <v>2180000000</v>
      </c>
    </row>
    <row r="193" spans="1:5" s="447" customFormat="1" ht="14.25" customHeight="1">
      <c r="A193" s="459"/>
      <c r="B193" s="460"/>
      <c r="C193" s="461"/>
      <c r="D193" s="462"/>
      <c r="E193" s="463"/>
    </row>
    <row r="194" spans="1:5" s="447" customFormat="1" ht="15" customHeight="1">
      <c r="A194" s="459"/>
      <c r="B194" s="464"/>
      <c r="C194" s="1878"/>
      <c r="D194" s="1878"/>
      <c r="E194" s="1878"/>
    </row>
    <row r="195" spans="1:5" s="447" customFormat="1" ht="18.75" customHeight="1">
      <c r="A195" s="459"/>
      <c r="B195" s="464"/>
      <c r="C195" s="1879"/>
      <c r="D195" s="1879"/>
      <c r="E195" s="1879"/>
    </row>
    <row r="196" spans="1:5" s="447" customFormat="1" ht="18" customHeight="1">
      <c r="A196" s="459"/>
      <c r="B196" s="460"/>
      <c r="C196" s="1880"/>
      <c r="D196" s="1880"/>
      <c r="E196" s="1880"/>
    </row>
    <row r="197" spans="1:5" s="447" customFormat="1" ht="18" customHeight="1">
      <c r="A197" s="459"/>
      <c r="B197" s="1881"/>
      <c r="C197" s="1881"/>
      <c r="D197" s="1881"/>
      <c r="E197" s="1881"/>
    </row>
    <row r="198" spans="1:5" s="447" customFormat="1" ht="15" customHeight="1">
      <c r="A198" s="459"/>
      <c r="B198" s="460"/>
      <c r="C198" s="465"/>
      <c r="D198" s="466"/>
      <c r="E198" s="463"/>
    </row>
    <row r="199" spans="1:5" ht="15" customHeight="1">
      <c r="C199" s="465"/>
      <c r="D199" s="466"/>
    </row>
    <row r="200" spans="1:5" ht="22.5" customHeight="1">
      <c r="C200" s="470"/>
      <c r="D200" s="471"/>
    </row>
    <row r="201" spans="1:5" ht="15" customHeight="1">
      <c r="C201" s="470"/>
      <c r="D201" s="471"/>
    </row>
    <row r="202" spans="1:5" ht="20.25" customHeight="1">
      <c r="B202" s="1881"/>
      <c r="C202" s="1881"/>
      <c r="D202" s="1881"/>
      <c r="E202" s="1881"/>
    </row>
  </sheetData>
  <autoFilter ref="D2:D202"/>
  <mergeCells count="13">
    <mergeCell ref="C194:E194"/>
    <mergeCell ref="C195:E195"/>
    <mergeCell ref="C196:E196"/>
    <mergeCell ref="B197:E197"/>
    <mergeCell ref="B202:E202"/>
    <mergeCell ref="D1:E1"/>
    <mergeCell ref="A2:E2"/>
    <mergeCell ref="A3:E3"/>
    <mergeCell ref="D4:E4"/>
    <mergeCell ref="A5:A6"/>
    <mergeCell ref="B5:B6"/>
    <mergeCell ref="C5:C6"/>
    <mergeCell ref="D5:E5"/>
  </mergeCells>
  <pageMargins left="0.59055118110236204" right="0.42" top="0.31496062992126" bottom="0.511811023622047" header="0.22" footer="0.27559055118110198"/>
  <pageSetup paperSize="9" firstPageNumber="65" fitToHeight="0" orientation="landscape" useFirstPageNumber="1" r:id="rId1"/>
  <headerFooter alignWithMargins="0">
    <oddFooter>&amp;C&amp;P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104"/>
  <sheetViews>
    <sheetView zoomScale="110" zoomScaleNormal="110" workbookViewId="0">
      <selection activeCell="X8" sqref="X8"/>
    </sheetView>
  </sheetViews>
  <sheetFormatPr defaultRowHeight="15.75"/>
  <cols>
    <col min="1" max="1" width="3.140625" style="474" customWidth="1"/>
    <col min="2" max="2" width="29.85546875" style="474" customWidth="1"/>
    <col min="3" max="3" width="6.42578125" style="515" hidden="1" customWidth="1"/>
    <col min="4" max="4" width="6.42578125" style="516" customWidth="1"/>
    <col min="5" max="5" width="6.28515625" style="518" customWidth="1"/>
    <col min="6" max="6" width="6.140625" style="518" customWidth="1"/>
    <col min="7" max="7" width="5.85546875" style="518" customWidth="1"/>
    <col min="8" max="8" width="6" style="518" customWidth="1"/>
    <col min="9" max="9" width="5.7109375" style="518" customWidth="1"/>
    <col min="10" max="10" width="6.5703125" style="518" customWidth="1"/>
    <col min="11" max="11" width="6" style="518" customWidth="1"/>
    <col min="12" max="12" width="6.5703125" style="518" customWidth="1"/>
    <col min="13" max="13" width="6" style="518" customWidth="1"/>
    <col min="14" max="14" width="6.42578125" style="518" customWidth="1"/>
    <col min="15" max="15" width="5.85546875" style="518" customWidth="1"/>
    <col min="16" max="16" width="6.28515625" style="518" customWidth="1"/>
    <col min="17" max="17" width="5.7109375" style="518" customWidth="1"/>
    <col min="18" max="18" width="6.28515625" style="518" customWidth="1"/>
    <col min="19" max="19" width="5.140625" style="518" customWidth="1"/>
    <col min="20" max="20" width="6.140625" style="518" customWidth="1"/>
    <col min="21" max="21" width="5" style="518" customWidth="1"/>
    <col min="22" max="22" width="10.28515625" style="474" customWidth="1"/>
    <col min="23" max="256" width="9.140625" style="474"/>
    <col min="257" max="257" width="4" style="474" customWidth="1"/>
    <col min="258" max="258" width="26.28515625" style="474" customWidth="1"/>
    <col min="259" max="259" width="0" style="474" hidden="1" customWidth="1"/>
    <col min="260" max="262" width="7.42578125" style="474" customWidth="1"/>
    <col min="263" max="263" width="7" style="474" customWidth="1"/>
    <col min="264" max="264" width="6.7109375" style="474" customWidth="1"/>
    <col min="265" max="265" width="5.7109375" style="474" customWidth="1"/>
    <col min="266" max="266" width="6.42578125" style="474" customWidth="1"/>
    <col min="267" max="267" width="6" style="474" customWidth="1"/>
    <col min="268" max="269" width="7.140625" style="474" customWidth="1"/>
    <col min="270" max="270" width="8.28515625" style="474" customWidth="1"/>
    <col min="271" max="271" width="7.7109375" style="474" customWidth="1"/>
    <col min="272" max="272" width="6.7109375" style="474" customWidth="1"/>
    <col min="273" max="273" width="5.7109375" style="474" customWidth="1"/>
    <col min="274" max="274" width="6.85546875" style="474" customWidth="1"/>
    <col min="275" max="275" width="6.28515625" style="474" customWidth="1"/>
    <col min="276" max="277" width="6.7109375" style="474" customWidth="1"/>
    <col min="278" max="278" width="10.28515625" style="474" customWidth="1"/>
    <col min="279" max="512" width="9.140625" style="474"/>
    <col min="513" max="513" width="4" style="474" customWidth="1"/>
    <col min="514" max="514" width="26.28515625" style="474" customWidth="1"/>
    <col min="515" max="515" width="0" style="474" hidden="1" customWidth="1"/>
    <col min="516" max="518" width="7.42578125" style="474" customWidth="1"/>
    <col min="519" max="519" width="7" style="474" customWidth="1"/>
    <col min="520" max="520" width="6.7109375" style="474" customWidth="1"/>
    <col min="521" max="521" width="5.7109375" style="474" customWidth="1"/>
    <col min="522" max="522" width="6.42578125" style="474" customWidth="1"/>
    <col min="523" max="523" width="6" style="474" customWidth="1"/>
    <col min="524" max="525" width="7.140625" style="474" customWidth="1"/>
    <col min="526" max="526" width="8.28515625" style="474" customWidth="1"/>
    <col min="527" max="527" width="7.7109375" style="474" customWidth="1"/>
    <col min="528" max="528" width="6.7109375" style="474" customWidth="1"/>
    <col min="529" max="529" width="5.7109375" style="474" customWidth="1"/>
    <col min="530" max="530" width="6.85546875" style="474" customWidth="1"/>
    <col min="531" max="531" width="6.28515625" style="474" customWidth="1"/>
    <col min="532" max="533" width="6.7109375" style="474" customWidth="1"/>
    <col min="534" max="534" width="10.28515625" style="474" customWidth="1"/>
    <col min="535" max="768" width="9.140625" style="474"/>
    <col min="769" max="769" width="4" style="474" customWidth="1"/>
    <col min="770" max="770" width="26.28515625" style="474" customWidth="1"/>
    <col min="771" max="771" width="0" style="474" hidden="1" customWidth="1"/>
    <col min="772" max="774" width="7.42578125" style="474" customWidth="1"/>
    <col min="775" max="775" width="7" style="474" customWidth="1"/>
    <col min="776" max="776" width="6.7109375" style="474" customWidth="1"/>
    <col min="777" max="777" width="5.7109375" style="474" customWidth="1"/>
    <col min="778" max="778" width="6.42578125" style="474" customWidth="1"/>
    <col min="779" max="779" width="6" style="474" customWidth="1"/>
    <col min="780" max="781" width="7.140625" style="474" customWidth="1"/>
    <col min="782" max="782" width="8.28515625" style="474" customWidth="1"/>
    <col min="783" max="783" width="7.7109375" style="474" customWidth="1"/>
    <col min="784" max="784" width="6.7109375" style="474" customWidth="1"/>
    <col min="785" max="785" width="5.7109375" style="474" customWidth="1"/>
    <col min="786" max="786" width="6.85546875" style="474" customWidth="1"/>
    <col min="787" max="787" width="6.28515625" style="474" customWidth="1"/>
    <col min="788" max="789" width="6.7109375" style="474" customWidth="1"/>
    <col min="790" max="790" width="10.28515625" style="474" customWidth="1"/>
    <col min="791" max="1024" width="9.140625" style="474"/>
    <col min="1025" max="1025" width="4" style="474" customWidth="1"/>
    <col min="1026" max="1026" width="26.28515625" style="474" customWidth="1"/>
    <col min="1027" max="1027" width="0" style="474" hidden="1" customWidth="1"/>
    <col min="1028" max="1030" width="7.42578125" style="474" customWidth="1"/>
    <col min="1031" max="1031" width="7" style="474" customWidth="1"/>
    <col min="1032" max="1032" width="6.7109375" style="474" customWidth="1"/>
    <col min="1033" max="1033" width="5.7109375" style="474" customWidth="1"/>
    <col min="1034" max="1034" width="6.42578125" style="474" customWidth="1"/>
    <col min="1035" max="1035" width="6" style="474" customWidth="1"/>
    <col min="1036" max="1037" width="7.140625" style="474" customWidth="1"/>
    <col min="1038" max="1038" width="8.28515625" style="474" customWidth="1"/>
    <col min="1039" max="1039" width="7.7109375" style="474" customWidth="1"/>
    <col min="1040" max="1040" width="6.7109375" style="474" customWidth="1"/>
    <col min="1041" max="1041" width="5.7109375" style="474" customWidth="1"/>
    <col min="1042" max="1042" width="6.85546875" style="474" customWidth="1"/>
    <col min="1043" max="1043" width="6.28515625" style="474" customWidth="1"/>
    <col min="1044" max="1045" width="6.7109375" style="474" customWidth="1"/>
    <col min="1046" max="1046" width="10.28515625" style="474" customWidth="1"/>
    <col min="1047" max="1280" width="9.140625" style="474"/>
    <col min="1281" max="1281" width="4" style="474" customWidth="1"/>
    <col min="1282" max="1282" width="26.28515625" style="474" customWidth="1"/>
    <col min="1283" max="1283" width="0" style="474" hidden="1" customWidth="1"/>
    <col min="1284" max="1286" width="7.42578125" style="474" customWidth="1"/>
    <col min="1287" max="1287" width="7" style="474" customWidth="1"/>
    <col min="1288" max="1288" width="6.7109375" style="474" customWidth="1"/>
    <col min="1289" max="1289" width="5.7109375" style="474" customWidth="1"/>
    <col min="1290" max="1290" width="6.42578125" style="474" customWidth="1"/>
    <col min="1291" max="1291" width="6" style="474" customWidth="1"/>
    <col min="1292" max="1293" width="7.140625" style="474" customWidth="1"/>
    <col min="1294" max="1294" width="8.28515625" style="474" customWidth="1"/>
    <col min="1295" max="1295" width="7.7109375" style="474" customWidth="1"/>
    <col min="1296" max="1296" width="6.7109375" style="474" customWidth="1"/>
    <col min="1297" max="1297" width="5.7109375" style="474" customWidth="1"/>
    <col min="1298" max="1298" width="6.85546875" style="474" customWidth="1"/>
    <col min="1299" max="1299" width="6.28515625" style="474" customWidth="1"/>
    <col min="1300" max="1301" width="6.7109375" style="474" customWidth="1"/>
    <col min="1302" max="1302" width="10.28515625" style="474" customWidth="1"/>
    <col min="1303" max="1536" width="9.140625" style="474"/>
    <col min="1537" max="1537" width="4" style="474" customWidth="1"/>
    <col min="1538" max="1538" width="26.28515625" style="474" customWidth="1"/>
    <col min="1539" max="1539" width="0" style="474" hidden="1" customWidth="1"/>
    <col min="1540" max="1542" width="7.42578125" style="474" customWidth="1"/>
    <col min="1543" max="1543" width="7" style="474" customWidth="1"/>
    <col min="1544" max="1544" width="6.7109375" style="474" customWidth="1"/>
    <col min="1545" max="1545" width="5.7109375" style="474" customWidth="1"/>
    <col min="1546" max="1546" width="6.42578125" style="474" customWidth="1"/>
    <col min="1547" max="1547" width="6" style="474" customWidth="1"/>
    <col min="1548" max="1549" width="7.140625" style="474" customWidth="1"/>
    <col min="1550" max="1550" width="8.28515625" style="474" customWidth="1"/>
    <col min="1551" max="1551" width="7.7109375" style="474" customWidth="1"/>
    <col min="1552" max="1552" width="6.7109375" style="474" customWidth="1"/>
    <col min="1553" max="1553" width="5.7109375" style="474" customWidth="1"/>
    <col min="1554" max="1554" width="6.85546875" style="474" customWidth="1"/>
    <col min="1555" max="1555" width="6.28515625" style="474" customWidth="1"/>
    <col min="1556" max="1557" width="6.7109375" style="474" customWidth="1"/>
    <col min="1558" max="1558" width="10.28515625" style="474" customWidth="1"/>
    <col min="1559" max="1792" width="9.140625" style="474"/>
    <col min="1793" max="1793" width="4" style="474" customWidth="1"/>
    <col min="1794" max="1794" width="26.28515625" style="474" customWidth="1"/>
    <col min="1795" max="1795" width="0" style="474" hidden="1" customWidth="1"/>
    <col min="1796" max="1798" width="7.42578125" style="474" customWidth="1"/>
    <col min="1799" max="1799" width="7" style="474" customWidth="1"/>
    <col min="1800" max="1800" width="6.7109375" style="474" customWidth="1"/>
    <col min="1801" max="1801" width="5.7109375" style="474" customWidth="1"/>
    <col min="1802" max="1802" width="6.42578125" style="474" customWidth="1"/>
    <col min="1803" max="1803" width="6" style="474" customWidth="1"/>
    <col min="1804" max="1805" width="7.140625" style="474" customWidth="1"/>
    <col min="1806" max="1806" width="8.28515625" style="474" customWidth="1"/>
    <col min="1807" max="1807" width="7.7109375" style="474" customWidth="1"/>
    <col min="1808" max="1808" width="6.7109375" style="474" customWidth="1"/>
    <col min="1809" max="1809" width="5.7109375" style="474" customWidth="1"/>
    <col min="1810" max="1810" width="6.85546875" style="474" customWidth="1"/>
    <col min="1811" max="1811" width="6.28515625" style="474" customWidth="1"/>
    <col min="1812" max="1813" width="6.7109375" style="474" customWidth="1"/>
    <col min="1814" max="1814" width="10.28515625" style="474" customWidth="1"/>
    <col min="1815" max="2048" width="9.140625" style="474"/>
    <col min="2049" max="2049" width="4" style="474" customWidth="1"/>
    <col min="2050" max="2050" width="26.28515625" style="474" customWidth="1"/>
    <col min="2051" max="2051" width="0" style="474" hidden="1" customWidth="1"/>
    <col min="2052" max="2054" width="7.42578125" style="474" customWidth="1"/>
    <col min="2055" max="2055" width="7" style="474" customWidth="1"/>
    <col min="2056" max="2056" width="6.7109375" style="474" customWidth="1"/>
    <col min="2057" max="2057" width="5.7109375" style="474" customWidth="1"/>
    <col min="2058" max="2058" width="6.42578125" style="474" customWidth="1"/>
    <col min="2059" max="2059" width="6" style="474" customWidth="1"/>
    <col min="2060" max="2061" width="7.140625" style="474" customWidth="1"/>
    <col min="2062" max="2062" width="8.28515625" style="474" customWidth="1"/>
    <col min="2063" max="2063" width="7.7109375" style="474" customWidth="1"/>
    <col min="2064" max="2064" width="6.7109375" style="474" customWidth="1"/>
    <col min="2065" max="2065" width="5.7109375" style="474" customWidth="1"/>
    <col min="2066" max="2066" width="6.85546875" style="474" customWidth="1"/>
    <col min="2067" max="2067" width="6.28515625" style="474" customWidth="1"/>
    <col min="2068" max="2069" width="6.7109375" style="474" customWidth="1"/>
    <col min="2070" max="2070" width="10.28515625" style="474" customWidth="1"/>
    <col min="2071" max="2304" width="9.140625" style="474"/>
    <col min="2305" max="2305" width="4" style="474" customWidth="1"/>
    <col min="2306" max="2306" width="26.28515625" style="474" customWidth="1"/>
    <col min="2307" max="2307" width="0" style="474" hidden="1" customWidth="1"/>
    <col min="2308" max="2310" width="7.42578125" style="474" customWidth="1"/>
    <col min="2311" max="2311" width="7" style="474" customWidth="1"/>
    <col min="2312" max="2312" width="6.7109375" style="474" customWidth="1"/>
    <col min="2313" max="2313" width="5.7109375" style="474" customWidth="1"/>
    <col min="2314" max="2314" width="6.42578125" style="474" customWidth="1"/>
    <col min="2315" max="2315" width="6" style="474" customWidth="1"/>
    <col min="2316" max="2317" width="7.140625" style="474" customWidth="1"/>
    <col min="2318" max="2318" width="8.28515625" style="474" customWidth="1"/>
    <col min="2319" max="2319" width="7.7109375" style="474" customWidth="1"/>
    <col min="2320" max="2320" width="6.7109375" style="474" customWidth="1"/>
    <col min="2321" max="2321" width="5.7109375" style="474" customWidth="1"/>
    <col min="2322" max="2322" width="6.85546875" style="474" customWidth="1"/>
    <col min="2323" max="2323" width="6.28515625" style="474" customWidth="1"/>
    <col min="2324" max="2325" width="6.7109375" style="474" customWidth="1"/>
    <col min="2326" max="2326" width="10.28515625" style="474" customWidth="1"/>
    <col min="2327" max="2560" width="9.140625" style="474"/>
    <col min="2561" max="2561" width="4" style="474" customWidth="1"/>
    <col min="2562" max="2562" width="26.28515625" style="474" customWidth="1"/>
    <col min="2563" max="2563" width="0" style="474" hidden="1" customWidth="1"/>
    <col min="2564" max="2566" width="7.42578125" style="474" customWidth="1"/>
    <col min="2567" max="2567" width="7" style="474" customWidth="1"/>
    <col min="2568" max="2568" width="6.7109375" style="474" customWidth="1"/>
    <col min="2569" max="2569" width="5.7109375" style="474" customWidth="1"/>
    <col min="2570" max="2570" width="6.42578125" style="474" customWidth="1"/>
    <col min="2571" max="2571" width="6" style="474" customWidth="1"/>
    <col min="2572" max="2573" width="7.140625" style="474" customWidth="1"/>
    <col min="2574" max="2574" width="8.28515625" style="474" customWidth="1"/>
    <col min="2575" max="2575" width="7.7109375" style="474" customWidth="1"/>
    <col min="2576" max="2576" width="6.7109375" style="474" customWidth="1"/>
    <col min="2577" max="2577" width="5.7109375" style="474" customWidth="1"/>
    <col min="2578" max="2578" width="6.85546875" style="474" customWidth="1"/>
    <col min="2579" max="2579" width="6.28515625" style="474" customWidth="1"/>
    <col min="2580" max="2581" width="6.7109375" style="474" customWidth="1"/>
    <col min="2582" max="2582" width="10.28515625" style="474" customWidth="1"/>
    <col min="2583" max="2816" width="9.140625" style="474"/>
    <col min="2817" max="2817" width="4" style="474" customWidth="1"/>
    <col min="2818" max="2818" width="26.28515625" style="474" customWidth="1"/>
    <col min="2819" max="2819" width="0" style="474" hidden="1" customWidth="1"/>
    <col min="2820" max="2822" width="7.42578125" style="474" customWidth="1"/>
    <col min="2823" max="2823" width="7" style="474" customWidth="1"/>
    <col min="2824" max="2824" width="6.7109375" style="474" customWidth="1"/>
    <col min="2825" max="2825" width="5.7109375" style="474" customWidth="1"/>
    <col min="2826" max="2826" width="6.42578125" style="474" customWidth="1"/>
    <col min="2827" max="2827" width="6" style="474" customWidth="1"/>
    <col min="2828" max="2829" width="7.140625" style="474" customWidth="1"/>
    <col min="2830" max="2830" width="8.28515625" style="474" customWidth="1"/>
    <col min="2831" max="2831" width="7.7109375" style="474" customWidth="1"/>
    <col min="2832" max="2832" width="6.7109375" style="474" customWidth="1"/>
    <col min="2833" max="2833" width="5.7109375" style="474" customWidth="1"/>
    <col min="2834" max="2834" width="6.85546875" style="474" customWidth="1"/>
    <col min="2835" max="2835" width="6.28515625" style="474" customWidth="1"/>
    <col min="2836" max="2837" width="6.7109375" style="474" customWidth="1"/>
    <col min="2838" max="2838" width="10.28515625" style="474" customWidth="1"/>
    <col min="2839" max="3072" width="9.140625" style="474"/>
    <col min="3073" max="3073" width="4" style="474" customWidth="1"/>
    <col min="3074" max="3074" width="26.28515625" style="474" customWidth="1"/>
    <col min="3075" max="3075" width="0" style="474" hidden="1" customWidth="1"/>
    <col min="3076" max="3078" width="7.42578125" style="474" customWidth="1"/>
    <col min="3079" max="3079" width="7" style="474" customWidth="1"/>
    <col min="3080" max="3080" width="6.7109375" style="474" customWidth="1"/>
    <col min="3081" max="3081" width="5.7109375" style="474" customWidth="1"/>
    <col min="3082" max="3082" width="6.42578125" style="474" customWidth="1"/>
    <col min="3083" max="3083" width="6" style="474" customWidth="1"/>
    <col min="3084" max="3085" width="7.140625" style="474" customWidth="1"/>
    <col min="3086" max="3086" width="8.28515625" style="474" customWidth="1"/>
    <col min="3087" max="3087" width="7.7109375" style="474" customWidth="1"/>
    <col min="3088" max="3088" width="6.7109375" style="474" customWidth="1"/>
    <col min="3089" max="3089" width="5.7109375" style="474" customWidth="1"/>
    <col min="3090" max="3090" width="6.85546875" style="474" customWidth="1"/>
    <col min="3091" max="3091" width="6.28515625" style="474" customWidth="1"/>
    <col min="3092" max="3093" width="6.7109375" style="474" customWidth="1"/>
    <col min="3094" max="3094" width="10.28515625" style="474" customWidth="1"/>
    <col min="3095" max="3328" width="9.140625" style="474"/>
    <col min="3329" max="3329" width="4" style="474" customWidth="1"/>
    <col min="3330" max="3330" width="26.28515625" style="474" customWidth="1"/>
    <col min="3331" max="3331" width="0" style="474" hidden="1" customWidth="1"/>
    <col min="3332" max="3334" width="7.42578125" style="474" customWidth="1"/>
    <col min="3335" max="3335" width="7" style="474" customWidth="1"/>
    <col min="3336" max="3336" width="6.7109375" style="474" customWidth="1"/>
    <col min="3337" max="3337" width="5.7109375" style="474" customWidth="1"/>
    <col min="3338" max="3338" width="6.42578125" style="474" customWidth="1"/>
    <col min="3339" max="3339" width="6" style="474" customWidth="1"/>
    <col min="3340" max="3341" width="7.140625" style="474" customWidth="1"/>
    <col min="3342" max="3342" width="8.28515625" style="474" customWidth="1"/>
    <col min="3343" max="3343" width="7.7109375" style="474" customWidth="1"/>
    <col min="3344" max="3344" width="6.7109375" style="474" customWidth="1"/>
    <col min="3345" max="3345" width="5.7109375" style="474" customWidth="1"/>
    <col min="3346" max="3346" width="6.85546875" style="474" customWidth="1"/>
    <col min="3347" max="3347" width="6.28515625" style="474" customWidth="1"/>
    <col min="3348" max="3349" width="6.7109375" style="474" customWidth="1"/>
    <col min="3350" max="3350" width="10.28515625" style="474" customWidth="1"/>
    <col min="3351" max="3584" width="9.140625" style="474"/>
    <col min="3585" max="3585" width="4" style="474" customWidth="1"/>
    <col min="3586" max="3586" width="26.28515625" style="474" customWidth="1"/>
    <col min="3587" max="3587" width="0" style="474" hidden="1" customWidth="1"/>
    <col min="3588" max="3590" width="7.42578125" style="474" customWidth="1"/>
    <col min="3591" max="3591" width="7" style="474" customWidth="1"/>
    <col min="3592" max="3592" width="6.7109375" style="474" customWidth="1"/>
    <col min="3593" max="3593" width="5.7109375" style="474" customWidth="1"/>
    <col min="3594" max="3594" width="6.42578125" style="474" customWidth="1"/>
    <col min="3595" max="3595" width="6" style="474" customWidth="1"/>
    <col min="3596" max="3597" width="7.140625" style="474" customWidth="1"/>
    <col min="3598" max="3598" width="8.28515625" style="474" customWidth="1"/>
    <col min="3599" max="3599" width="7.7109375" style="474" customWidth="1"/>
    <col min="3600" max="3600" width="6.7109375" style="474" customWidth="1"/>
    <col min="3601" max="3601" width="5.7109375" style="474" customWidth="1"/>
    <col min="3602" max="3602" width="6.85546875" style="474" customWidth="1"/>
    <col min="3603" max="3603" width="6.28515625" style="474" customWidth="1"/>
    <col min="3604" max="3605" width="6.7109375" style="474" customWidth="1"/>
    <col min="3606" max="3606" width="10.28515625" style="474" customWidth="1"/>
    <col min="3607" max="3840" width="9.140625" style="474"/>
    <col min="3841" max="3841" width="4" style="474" customWidth="1"/>
    <col min="3842" max="3842" width="26.28515625" style="474" customWidth="1"/>
    <col min="3843" max="3843" width="0" style="474" hidden="1" customWidth="1"/>
    <col min="3844" max="3846" width="7.42578125" style="474" customWidth="1"/>
    <col min="3847" max="3847" width="7" style="474" customWidth="1"/>
    <col min="3848" max="3848" width="6.7109375" style="474" customWidth="1"/>
    <col min="3849" max="3849" width="5.7109375" style="474" customWidth="1"/>
    <col min="3850" max="3850" width="6.42578125" style="474" customWidth="1"/>
    <col min="3851" max="3851" width="6" style="474" customWidth="1"/>
    <col min="3852" max="3853" width="7.140625" style="474" customWidth="1"/>
    <col min="3854" max="3854" width="8.28515625" style="474" customWidth="1"/>
    <col min="3855" max="3855" width="7.7109375" style="474" customWidth="1"/>
    <col min="3856" max="3856" width="6.7109375" style="474" customWidth="1"/>
    <col min="3857" max="3857" width="5.7109375" style="474" customWidth="1"/>
    <col min="3858" max="3858" width="6.85546875" style="474" customWidth="1"/>
    <col min="3859" max="3859" width="6.28515625" style="474" customWidth="1"/>
    <col min="3860" max="3861" width="6.7109375" style="474" customWidth="1"/>
    <col min="3862" max="3862" width="10.28515625" style="474" customWidth="1"/>
    <col min="3863" max="4096" width="9.140625" style="474"/>
    <col min="4097" max="4097" width="4" style="474" customWidth="1"/>
    <col min="4098" max="4098" width="26.28515625" style="474" customWidth="1"/>
    <col min="4099" max="4099" width="0" style="474" hidden="1" customWidth="1"/>
    <col min="4100" max="4102" width="7.42578125" style="474" customWidth="1"/>
    <col min="4103" max="4103" width="7" style="474" customWidth="1"/>
    <col min="4104" max="4104" width="6.7109375" style="474" customWidth="1"/>
    <col min="4105" max="4105" width="5.7109375" style="474" customWidth="1"/>
    <col min="4106" max="4106" width="6.42578125" style="474" customWidth="1"/>
    <col min="4107" max="4107" width="6" style="474" customWidth="1"/>
    <col min="4108" max="4109" width="7.140625" style="474" customWidth="1"/>
    <col min="4110" max="4110" width="8.28515625" style="474" customWidth="1"/>
    <col min="4111" max="4111" width="7.7109375" style="474" customWidth="1"/>
    <col min="4112" max="4112" width="6.7109375" style="474" customWidth="1"/>
    <col min="4113" max="4113" width="5.7109375" style="474" customWidth="1"/>
    <col min="4114" max="4114" width="6.85546875" style="474" customWidth="1"/>
    <col min="4115" max="4115" width="6.28515625" style="474" customWidth="1"/>
    <col min="4116" max="4117" width="6.7109375" style="474" customWidth="1"/>
    <col min="4118" max="4118" width="10.28515625" style="474" customWidth="1"/>
    <col min="4119" max="4352" width="9.140625" style="474"/>
    <col min="4353" max="4353" width="4" style="474" customWidth="1"/>
    <col min="4354" max="4354" width="26.28515625" style="474" customWidth="1"/>
    <col min="4355" max="4355" width="0" style="474" hidden="1" customWidth="1"/>
    <col min="4356" max="4358" width="7.42578125" style="474" customWidth="1"/>
    <col min="4359" max="4359" width="7" style="474" customWidth="1"/>
    <col min="4360" max="4360" width="6.7109375" style="474" customWidth="1"/>
    <col min="4361" max="4361" width="5.7109375" style="474" customWidth="1"/>
    <col min="4362" max="4362" width="6.42578125" style="474" customWidth="1"/>
    <col min="4363" max="4363" width="6" style="474" customWidth="1"/>
    <col min="4364" max="4365" width="7.140625" style="474" customWidth="1"/>
    <col min="4366" max="4366" width="8.28515625" style="474" customWidth="1"/>
    <col min="4367" max="4367" width="7.7109375" style="474" customWidth="1"/>
    <col min="4368" max="4368" width="6.7109375" style="474" customWidth="1"/>
    <col min="4369" max="4369" width="5.7109375" style="474" customWidth="1"/>
    <col min="4370" max="4370" width="6.85546875" style="474" customWidth="1"/>
    <col min="4371" max="4371" width="6.28515625" style="474" customWidth="1"/>
    <col min="4372" max="4373" width="6.7109375" style="474" customWidth="1"/>
    <col min="4374" max="4374" width="10.28515625" style="474" customWidth="1"/>
    <col min="4375" max="4608" width="9.140625" style="474"/>
    <col min="4609" max="4609" width="4" style="474" customWidth="1"/>
    <col min="4610" max="4610" width="26.28515625" style="474" customWidth="1"/>
    <col min="4611" max="4611" width="0" style="474" hidden="1" customWidth="1"/>
    <col min="4612" max="4614" width="7.42578125" style="474" customWidth="1"/>
    <col min="4615" max="4615" width="7" style="474" customWidth="1"/>
    <col min="4616" max="4616" width="6.7109375" style="474" customWidth="1"/>
    <col min="4617" max="4617" width="5.7109375" style="474" customWidth="1"/>
    <col min="4618" max="4618" width="6.42578125" style="474" customWidth="1"/>
    <col min="4619" max="4619" width="6" style="474" customWidth="1"/>
    <col min="4620" max="4621" width="7.140625" style="474" customWidth="1"/>
    <col min="4622" max="4622" width="8.28515625" style="474" customWidth="1"/>
    <col min="4623" max="4623" width="7.7109375" style="474" customWidth="1"/>
    <col min="4624" max="4624" width="6.7109375" style="474" customWidth="1"/>
    <col min="4625" max="4625" width="5.7109375" style="474" customWidth="1"/>
    <col min="4626" max="4626" width="6.85546875" style="474" customWidth="1"/>
    <col min="4627" max="4627" width="6.28515625" style="474" customWidth="1"/>
    <col min="4628" max="4629" width="6.7109375" style="474" customWidth="1"/>
    <col min="4630" max="4630" width="10.28515625" style="474" customWidth="1"/>
    <col min="4631" max="4864" width="9.140625" style="474"/>
    <col min="4865" max="4865" width="4" style="474" customWidth="1"/>
    <col min="4866" max="4866" width="26.28515625" style="474" customWidth="1"/>
    <col min="4867" max="4867" width="0" style="474" hidden="1" customWidth="1"/>
    <col min="4868" max="4870" width="7.42578125" style="474" customWidth="1"/>
    <col min="4871" max="4871" width="7" style="474" customWidth="1"/>
    <col min="4872" max="4872" width="6.7109375" style="474" customWidth="1"/>
    <col min="4873" max="4873" width="5.7109375" style="474" customWidth="1"/>
    <col min="4874" max="4874" width="6.42578125" style="474" customWidth="1"/>
    <col min="4875" max="4875" width="6" style="474" customWidth="1"/>
    <col min="4876" max="4877" width="7.140625" style="474" customWidth="1"/>
    <col min="4878" max="4878" width="8.28515625" style="474" customWidth="1"/>
    <col min="4879" max="4879" width="7.7109375" style="474" customWidth="1"/>
    <col min="4880" max="4880" width="6.7109375" style="474" customWidth="1"/>
    <col min="4881" max="4881" width="5.7109375" style="474" customWidth="1"/>
    <col min="4882" max="4882" width="6.85546875" style="474" customWidth="1"/>
    <col min="4883" max="4883" width="6.28515625" style="474" customWidth="1"/>
    <col min="4884" max="4885" width="6.7109375" style="474" customWidth="1"/>
    <col min="4886" max="4886" width="10.28515625" style="474" customWidth="1"/>
    <col min="4887" max="5120" width="9.140625" style="474"/>
    <col min="5121" max="5121" width="4" style="474" customWidth="1"/>
    <col min="5122" max="5122" width="26.28515625" style="474" customWidth="1"/>
    <col min="5123" max="5123" width="0" style="474" hidden="1" customWidth="1"/>
    <col min="5124" max="5126" width="7.42578125" style="474" customWidth="1"/>
    <col min="5127" max="5127" width="7" style="474" customWidth="1"/>
    <col min="5128" max="5128" width="6.7109375" style="474" customWidth="1"/>
    <col min="5129" max="5129" width="5.7109375" style="474" customWidth="1"/>
    <col min="5130" max="5130" width="6.42578125" style="474" customWidth="1"/>
    <col min="5131" max="5131" width="6" style="474" customWidth="1"/>
    <col min="5132" max="5133" width="7.140625" style="474" customWidth="1"/>
    <col min="5134" max="5134" width="8.28515625" style="474" customWidth="1"/>
    <col min="5135" max="5135" width="7.7109375" style="474" customWidth="1"/>
    <col min="5136" max="5136" width="6.7109375" style="474" customWidth="1"/>
    <col min="5137" max="5137" width="5.7109375" style="474" customWidth="1"/>
    <col min="5138" max="5138" width="6.85546875" style="474" customWidth="1"/>
    <col min="5139" max="5139" width="6.28515625" style="474" customWidth="1"/>
    <col min="5140" max="5141" width="6.7109375" style="474" customWidth="1"/>
    <col min="5142" max="5142" width="10.28515625" style="474" customWidth="1"/>
    <col min="5143" max="5376" width="9.140625" style="474"/>
    <col min="5377" max="5377" width="4" style="474" customWidth="1"/>
    <col min="5378" max="5378" width="26.28515625" style="474" customWidth="1"/>
    <col min="5379" max="5379" width="0" style="474" hidden="1" customWidth="1"/>
    <col min="5380" max="5382" width="7.42578125" style="474" customWidth="1"/>
    <col min="5383" max="5383" width="7" style="474" customWidth="1"/>
    <col min="5384" max="5384" width="6.7109375" style="474" customWidth="1"/>
    <col min="5385" max="5385" width="5.7109375" style="474" customWidth="1"/>
    <col min="5386" max="5386" width="6.42578125" style="474" customWidth="1"/>
    <col min="5387" max="5387" width="6" style="474" customWidth="1"/>
    <col min="5388" max="5389" width="7.140625" style="474" customWidth="1"/>
    <col min="5390" max="5390" width="8.28515625" style="474" customWidth="1"/>
    <col min="5391" max="5391" width="7.7109375" style="474" customWidth="1"/>
    <col min="5392" max="5392" width="6.7109375" style="474" customWidth="1"/>
    <col min="5393" max="5393" width="5.7109375" style="474" customWidth="1"/>
    <col min="5394" max="5394" width="6.85546875" style="474" customWidth="1"/>
    <col min="5395" max="5395" width="6.28515625" style="474" customWidth="1"/>
    <col min="5396" max="5397" width="6.7109375" style="474" customWidth="1"/>
    <col min="5398" max="5398" width="10.28515625" style="474" customWidth="1"/>
    <col min="5399" max="5632" width="9.140625" style="474"/>
    <col min="5633" max="5633" width="4" style="474" customWidth="1"/>
    <col min="5634" max="5634" width="26.28515625" style="474" customWidth="1"/>
    <col min="5635" max="5635" width="0" style="474" hidden="1" customWidth="1"/>
    <col min="5636" max="5638" width="7.42578125" style="474" customWidth="1"/>
    <col min="5639" max="5639" width="7" style="474" customWidth="1"/>
    <col min="5640" max="5640" width="6.7109375" style="474" customWidth="1"/>
    <col min="5641" max="5641" width="5.7109375" style="474" customWidth="1"/>
    <col min="5642" max="5642" width="6.42578125" style="474" customWidth="1"/>
    <col min="5643" max="5643" width="6" style="474" customWidth="1"/>
    <col min="5644" max="5645" width="7.140625" style="474" customWidth="1"/>
    <col min="5646" max="5646" width="8.28515625" style="474" customWidth="1"/>
    <col min="5647" max="5647" width="7.7109375" style="474" customWidth="1"/>
    <col min="5648" max="5648" width="6.7109375" style="474" customWidth="1"/>
    <col min="5649" max="5649" width="5.7109375" style="474" customWidth="1"/>
    <col min="5650" max="5650" width="6.85546875" style="474" customWidth="1"/>
    <col min="5651" max="5651" width="6.28515625" style="474" customWidth="1"/>
    <col min="5652" max="5653" width="6.7109375" style="474" customWidth="1"/>
    <col min="5654" max="5654" width="10.28515625" style="474" customWidth="1"/>
    <col min="5655" max="5888" width="9.140625" style="474"/>
    <col min="5889" max="5889" width="4" style="474" customWidth="1"/>
    <col min="5890" max="5890" width="26.28515625" style="474" customWidth="1"/>
    <col min="5891" max="5891" width="0" style="474" hidden="1" customWidth="1"/>
    <col min="5892" max="5894" width="7.42578125" style="474" customWidth="1"/>
    <col min="5895" max="5895" width="7" style="474" customWidth="1"/>
    <col min="5896" max="5896" width="6.7109375" style="474" customWidth="1"/>
    <col min="5897" max="5897" width="5.7109375" style="474" customWidth="1"/>
    <col min="5898" max="5898" width="6.42578125" style="474" customWidth="1"/>
    <col min="5899" max="5899" width="6" style="474" customWidth="1"/>
    <col min="5900" max="5901" width="7.140625" style="474" customWidth="1"/>
    <col min="5902" max="5902" width="8.28515625" style="474" customWidth="1"/>
    <col min="5903" max="5903" width="7.7109375" style="474" customWidth="1"/>
    <col min="5904" max="5904" width="6.7109375" style="474" customWidth="1"/>
    <col min="5905" max="5905" width="5.7109375" style="474" customWidth="1"/>
    <col min="5906" max="5906" width="6.85546875" style="474" customWidth="1"/>
    <col min="5907" max="5907" width="6.28515625" style="474" customWidth="1"/>
    <col min="5908" max="5909" width="6.7109375" style="474" customWidth="1"/>
    <col min="5910" max="5910" width="10.28515625" style="474" customWidth="1"/>
    <col min="5911" max="6144" width="9.140625" style="474"/>
    <col min="6145" max="6145" width="4" style="474" customWidth="1"/>
    <col min="6146" max="6146" width="26.28515625" style="474" customWidth="1"/>
    <col min="6147" max="6147" width="0" style="474" hidden="1" customWidth="1"/>
    <col min="6148" max="6150" width="7.42578125" style="474" customWidth="1"/>
    <col min="6151" max="6151" width="7" style="474" customWidth="1"/>
    <col min="6152" max="6152" width="6.7109375" style="474" customWidth="1"/>
    <col min="6153" max="6153" width="5.7109375" style="474" customWidth="1"/>
    <col min="6154" max="6154" width="6.42578125" style="474" customWidth="1"/>
    <col min="6155" max="6155" width="6" style="474" customWidth="1"/>
    <col min="6156" max="6157" width="7.140625" style="474" customWidth="1"/>
    <col min="6158" max="6158" width="8.28515625" style="474" customWidth="1"/>
    <col min="6159" max="6159" width="7.7109375" style="474" customWidth="1"/>
    <col min="6160" max="6160" width="6.7109375" style="474" customWidth="1"/>
    <col min="6161" max="6161" width="5.7109375" style="474" customWidth="1"/>
    <col min="6162" max="6162" width="6.85546875" style="474" customWidth="1"/>
    <col min="6163" max="6163" width="6.28515625" style="474" customWidth="1"/>
    <col min="6164" max="6165" width="6.7109375" style="474" customWidth="1"/>
    <col min="6166" max="6166" width="10.28515625" style="474" customWidth="1"/>
    <col min="6167" max="6400" width="9.140625" style="474"/>
    <col min="6401" max="6401" width="4" style="474" customWidth="1"/>
    <col min="6402" max="6402" width="26.28515625" style="474" customWidth="1"/>
    <col min="6403" max="6403" width="0" style="474" hidden="1" customWidth="1"/>
    <col min="6404" max="6406" width="7.42578125" style="474" customWidth="1"/>
    <col min="6407" max="6407" width="7" style="474" customWidth="1"/>
    <col min="6408" max="6408" width="6.7109375" style="474" customWidth="1"/>
    <col min="6409" max="6409" width="5.7109375" style="474" customWidth="1"/>
    <col min="6410" max="6410" width="6.42578125" style="474" customWidth="1"/>
    <col min="6411" max="6411" width="6" style="474" customWidth="1"/>
    <col min="6412" max="6413" width="7.140625" style="474" customWidth="1"/>
    <col min="6414" max="6414" width="8.28515625" style="474" customWidth="1"/>
    <col min="6415" max="6415" width="7.7109375" style="474" customWidth="1"/>
    <col min="6416" max="6416" width="6.7109375" style="474" customWidth="1"/>
    <col min="6417" max="6417" width="5.7109375" style="474" customWidth="1"/>
    <col min="6418" max="6418" width="6.85546875" style="474" customWidth="1"/>
    <col min="6419" max="6419" width="6.28515625" style="474" customWidth="1"/>
    <col min="6420" max="6421" width="6.7109375" style="474" customWidth="1"/>
    <col min="6422" max="6422" width="10.28515625" style="474" customWidth="1"/>
    <col min="6423" max="6656" width="9.140625" style="474"/>
    <col min="6657" max="6657" width="4" style="474" customWidth="1"/>
    <col min="6658" max="6658" width="26.28515625" style="474" customWidth="1"/>
    <col min="6659" max="6659" width="0" style="474" hidden="1" customWidth="1"/>
    <col min="6660" max="6662" width="7.42578125" style="474" customWidth="1"/>
    <col min="6663" max="6663" width="7" style="474" customWidth="1"/>
    <col min="6664" max="6664" width="6.7109375" style="474" customWidth="1"/>
    <col min="6665" max="6665" width="5.7109375" style="474" customWidth="1"/>
    <col min="6666" max="6666" width="6.42578125" style="474" customWidth="1"/>
    <col min="6667" max="6667" width="6" style="474" customWidth="1"/>
    <col min="6668" max="6669" width="7.140625" style="474" customWidth="1"/>
    <col min="6670" max="6670" width="8.28515625" style="474" customWidth="1"/>
    <col min="6671" max="6671" width="7.7109375" style="474" customWidth="1"/>
    <col min="6672" max="6672" width="6.7109375" style="474" customWidth="1"/>
    <col min="6673" max="6673" width="5.7109375" style="474" customWidth="1"/>
    <col min="6674" max="6674" width="6.85546875" style="474" customWidth="1"/>
    <col min="6675" max="6675" width="6.28515625" style="474" customWidth="1"/>
    <col min="6676" max="6677" width="6.7109375" style="474" customWidth="1"/>
    <col min="6678" max="6678" width="10.28515625" style="474" customWidth="1"/>
    <col min="6679" max="6912" width="9.140625" style="474"/>
    <col min="6913" max="6913" width="4" style="474" customWidth="1"/>
    <col min="6914" max="6914" width="26.28515625" style="474" customWidth="1"/>
    <col min="6915" max="6915" width="0" style="474" hidden="1" customWidth="1"/>
    <col min="6916" max="6918" width="7.42578125" style="474" customWidth="1"/>
    <col min="6919" max="6919" width="7" style="474" customWidth="1"/>
    <col min="6920" max="6920" width="6.7109375" style="474" customWidth="1"/>
    <col min="6921" max="6921" width="5.7109375" style="474" customWidth="1"/>
    <col min="6922" max="6922" width="6.42578125" style="474" customWidth="1"/>
    <col min="6923" max="6923" width="6" style="474" customWidth="1"/>
    <col min="6924" max="6925" width="7.140625" style="474" customWidth="1"/>
    <col min="6926" max="6926" width="8.28515625" style="474" customWidth="1"/>
    <col min="6927" max="6927" width="7.7109375" style="474" customWidth="1"/>
    <col min="6928" max="6928" width="6.7109375" style="474" customWidth="1"/>
    <col min="6929" max="6929" width="5.7109375" style="474" customWidth="1"/>
    <col min="6930" max="6930" width="6.85546875" style="474" customWidth="1"/>
    <col min="6931" max="6931" width="6.28515625" style="474" customWidth="1"/>
    <col min="6932" max="6933" width="6.7109375" style="474" customWidth="1"/>
    <col min="6934" max="6934" width="10.28515625" style="474" customWidth="1"/>
    <col min="6935" max="7168" width="9.140625" style="474"/>
    <col min="7169" max="7169" width="4" style="474" customWidth="1"/>
    <col min="7170" max="7170" width="26.28515625" style="474" customWidth="1"/>
    <col min="7171" max="7171" width="0" style="474" hidden="1" customWidth="1"/>
    <col min="7172" max="7174" width="7.42578125" style="474" customWidth="1"/>
    <col min="7175" max="7175" width="7" style="474" customWidth="1"/>
    <col min="7176" max="7176" width="6.7109375" style="474" customWidth="1"/>
    <col min="7177" max="7177" width="5.7109375" style="474" customWidth="1"/>
    <col min="7178" max="7178" width="6.42578125" style="474" customWidth="1"/>
    <col min="7179" max="7179" width="6" style="474" customWidth="1"/>
    <col min="7180" max="7181" width="7.140625" style="474" customWidth="1"/>
    <col min="7182" max="7182" width="8.28515625" style="474" customWidth="1"/>
    <col min="7183" max="7183" width="7.7109375" style="474" customWidth="1"/>
    <col min="7184" max="7184" width="6.7109375" style="474" customWidth="1"/>
    <col min="7185" max="7185" width="5.7109375" style="474" customWidth="1"/>
    <col min="7186" max="7186" width="6.85546875" style="474" customWidth="1"/>
    <col min="7187" max="7187" width="6.28515625" style="474" customWidth="1"/>
    <col min="7188" max="7189" width="6.7109375" style="474" customWidth="1"/>
    <col min="7190" max="7190" width="10.28515625" style="474" customWidth="1"/>
    <col min="7191" max="7424" width="9.140625" style="474"/>
    <col min="7425" max="7425" width="4" style="474" customWidth="1"/>
    <col min="7426" max="7426" width="26.28515625" style="474" customWidth="1"/>
    <col min="7427" max="7427" width="0" style="474" hidden="1" customWidth="1"/>
    <col min="7428" max="7430" width="7.42578125" style="474" customWidth="1"/>
    <col min="7431" max="7431" width="7" style="474" customWidth="1"/>
    <col min="7432" max="7432" width="6.7109375" style="474" customWidth="1"/>
    <col min="7433" max="7433" width="5.7109375" style="474" customWidth="1"/>
    <col min="7434" max="7434" width="6.42578125" style="474" customWidth="1"/>
    <col min="7435" max="7435" width="6" style="474" customWidth="1"/>
    <col min="7436" max="7437" width="7.140625" style="474" customWidth="1"/>
    <col min="7438" max="7438" width="8.28515625" style="474" customWidth="1"/>
    <col min="7439" max="7439" width="7.7109375" style="474" customWidth="1"/>
    <col min="7440" max="7440" width="6.7109375" style="474" customWidth="1"/>
    <col min="7441" max="7441" width="5.7109375" style="474" customWidth="1"/>
    <col min="7442" max="7442" width="6.85546875" style="474" customWidth="1"/>
    <col min="7443" max="7443" width="6.28515625" style="474" customWidth="1"/>
    <col min="7444" max="7445" width="6.7109375" style="474" customWidth="1"/>
    <col min="7446" max="7446" width="10.28515625" style="474" customWidth="1"/>
    <col min="7447" max="7680" width="9.140625" style="474"/>
    <col min="7681" max="7681" width="4" style="474" customWidth="1"/>
    <col min="7682" max="7682" width="26.28515625" style="474" customWidth="1"/>
    <col min="7683" max="7683" width="0" style="474" hidden="1" customWidth="1"/>
    <col min="7684" max="7686" width="7.42578125" style="474" customWidth="1"/>
    <col min="7687" max="7687" width="7" style="474" customWidth="1"/>
    <col min="7688" max="7688" width="6.7109375" style="474" customWidth="1"/>
    <col min="7689" max="7689" width="5.7109375" style="474" customWidth="1"/>
    <col min="7690" max="7690" width="6.42578125" style="474" customWidth="1"/>
    <col min="7691" max="7691" width="6" style="474" customWidth="1"/>
    <col min="7692" max="7693" width="7.140625" style="474" customWidth="1"/>
    <col min="7694" max="7694" width="8.28515625" style="474" customWidth="1"/>
    <col min="7695" max="7695" width="7.7109375" style="474" customWidth="1"/>
    <col min="7696" max="7696" width="6.7109375" style="474" customWidth="1"/>
    <col min="7697" max="7697" width="5.7109375" style="474" customWidth="1"/>
    <col min="7698" max="7698" width="6.85546875" style="474" customWidth="1"/>
    <col min="7699" max="7699" width="6.28515625" style="474" customWidth="1"/>
    <col min="7700" max="7701" width="6.7109375" style="474" customWidth="1"/>
    <col min="7702" max="7702" width="10.28515625" style="474" customWidth="1"/>
    <col min="7703" max="7936" width="9.140625" style="474"/>
    <col min="7937" max="7937" width="4" style="474" customWidth="1"/>
    <col min="7938" max="7938" width="26.28515625" style="474" customWidth="1"/>
    <col min="7939" max="7939" width="0" style="474" hidden="1" customWidth="1"/>
    <col min="7940" max="7942" width="7.42578125" style="474" customWidth="1"/>
    <col min="7943" max="7943" width="7" style="474" customWidth="1"/>
    <col min="7944" max="7944" width="6.7109375" style="474" customWidth="1"/>
    <col min="7945" max="7945" width="5.7109375" style="474" customWidth="1"/>
    <col min="7946" max="7946" width="6.42578125" style="474" customWidth="1"/>
    <col min="7947" max="7947" width="6" style="474" customWidth="1"/>
    <col min="7948" max="7949" width="7.140625" style="474" customWidth="1"/>
    <col min="7950" max="7950" width="8.28515625" style="474" customWidth="1"/>
    <col min="7951" max="7951" width="7.7109375" style="474" customWidth="1"/>
    <col min="7952" max="7952" width="6.7109375" style="474" customWidth="1"/>
    <col min="7953" max="7953" width="5.7109375" style="474" customWidth="1"/>
    <col min="7954" max="7954" width="6.85546875" style="474" customWidth="1"/>
    <col min="7955" max="7955" width="6.28515625" style="474" customWidth="1"/>
    <col min="7956" max="7957" width="6.7109375" style="474" customWidth="1"/>
    <col min="7958" max="7958" width="10.28515625" style="474" customWidth="1"/>
    <col min="7959" max="8192" width="9.140625" style="474"/>
    <col min="8193" max="8193" width="4" style="474" customWidth="1"/>
    <col min="8194" max="8194" width="26.28515625" style="474" customWidth="1"/>
    <col min="8195" max="8195" width="0" style="474" hidden="1" customWidth="1"/>
    <col min="8196" max="8198" width="7.42578125" style="474" customWidth="1"/>
    <col min="8199" max="8199" width="7" style="474" customWidth="1"/>
    <col min="8200" max="8200" width="6.7109375" style="474" customWidth="1"/>
    <col min="8201" max="8201" width="5.7109375" style="474" customWidth="1"/>
    <col min="8202" max="8202" width="6.42578125" style="474" customWidth="1"/>
    <col min="8203" max="8203" width="6" style="474" customWidth="1"/>
    <col min="8204" max="8205" width="7.140625" style="474" customWidth="1"/>
    <col min="8206" max="8206" width="8.28515625" style="474" customWidth="1"/>
    <col min="8207" max="8207" width="7.7109375" style="474" customWidth="1"/>
    <col min="8208" max="8208" width="6.7109375" style="474" customWidth="1"/>
    <col min="8209" max="8209" width="5.7109375" style="474" customWidth="1"/>
    <col min="8210" max="8210" width="6.85546875" style="474" customWidth="1"/>
    <col min="8211" max="8211" width="6.28515625" style="474" customWidth="1"/>
    <col min="8212" max="8213" width="6.7109375" style="474" customWidth="1"/>
    <col min="8214" max="8214" width="10.28515625" style="474" customWidth="1"/>
    <col min="8215" max="8448" width="9.140625" style="474"/>
    <col min="8449" max="8449" width="4" style="474" customWidth="1"/>
    <col min="8450" max="8450" width="26.28515625" style="474" customWidth="1"/>
    <col min="8451" max="8451" width="0" style="474" hidden="1" customWidth="1"/>
    <col min="8452" max="8454" width="7.42578125" style="474" customWidth="1"/>
    <col min="8455" max="8455" width="7" style="474" customWidth="1"/>
    <col min="8456" max="8456" width="6.7109375" style="474" customWidth="1"/>
    <col min="8457" max="8457" width="5.7109375" style="474" customWidth="1"/>
    <col min="8458" max="8458" width="6.42578125" style="474" customWidth="1"/>
    <col min="8459" max="8459" width="6" style="474" customWidth="1"/>
    <col min="8460" max="8461" width="7.140625" style="474" customWidth="1"/>
    <col min="8462" max="8462" width="8.28515625" style="474" customWidth="1"/>
    <col min="8463" max="8463" width="7.7109375" style="474" customWidth="1"/>
    <col min="8464" max="8464" width="6.7109375" style="474" customWidth="1"/>
    <col min="8465" max="8465" width="5.7109375" style="474" customWidth="1"/>
    <col min="8466" max="8466" width="6.85546875" style="474" customWidth="1"/>
    <col min="8467" max="8467" width="6.28515625" style="474" customWidth="1"/>
    <col min="8468" max="8469" width="6.7109375" style="474" customWidth="1"/>
    <col min="8470" max="8470" width="10.28515625" style="474" customWidth="1"/>
    <col min="8471" max="8704" width="9.140625" style="474"/>
    <col min="8705" max="8705" width="4" style="474" customWidth="1"/>
    <col min="8706" max="8706" width="26.28515625" style="474" customWidth="1"/>
    <col min="8707" max="8707" width="0" style="474" hidden="1" customWidth="1"/>
    <col min="8708" max="8710" width="7.42578125" style="474" customWidth="1"/>
    <col min="8711" max="8711" width="7" style="474" customWidth="1"/>
    <col min="8712" max="8712" width="6.7109375" style="474" customWidth="1"/>
    <col min="8713" max="8713" width="5.7109375" style="474" customWidth="1"/>
    <col min="8714" max="8714" width="6.42578125" style="474" customWidth="1"/>
    <col min="8715" max="8715" width="6" style="474" customWidth="1"/>
    <col min="8716" max="8717" width="7.140625" style="474" customWidth="1"/>
    <col min="8718" max="8718" width="8.28515625" style="474" customWidth="1"/>
    <col min="8719" max="8719" width="7.7109375" style="474" customWidth="1"/>
    <col min="8720" max="8720" width="6.7109375" style="474" customWidth="1"/>
    <col min="8721" max="8721" width="5.7109375" style="474" customWidth="1"/>
    <col min="8722" max="8722" width="6.85546875" style="474" customWidth="1"/>
    <col min="8723" max="8723" width="6.28515625" style="474" customWidth="1"/>
    <col min="8724" max="8725" width="6.7109375" style="474" customWidth="1"/>
    <col min="8726" max="8726" width="10.28515625" style="474" customWidth="1"/>
    <col min="8727" max="8960" width="9.140625" style="474"/>
    <col min="8961" max="8961" width="4" style="474" customWidth="1"/>
    <col min="8962" max="8962" width="26.28515625" style="474" customWidth="1"/>
    <col min="8963" max="8963" width="0" style="474" hidden="1" customWidth="1"/>
    <col min="8964" max="8966" width="7.42578125" style="474" customWidth="1"/>
    <col min="8967" max="8967" width="7" style="474" customWidth="1"/>
    <col min="8968" max="8968" width="6.7109375" style="474" customWidth="1"/>
    <col min="8969" max="8969" width="5.7109375" style="474" customWidth="1"/>
    <col min="8970" max="8970" width="6.42578125" style="474" customWidth="1"/>
    <col min="8971" max="8971" width="6" style="474" customWidth="1"/>
    <col min="8972" max="8973" width="7.140625" style="474" customWidth="1"/>
    <col min="8974" max="8974" width="8.28515625" style="474" customWidth="1"/>
    <col min="8975" max="8975" width="7.7109375" style="474" customWidth="1"/>
    <col min="8976" max="8976" width="6.7109375" style="474" customWidth="1"/>
    <col min="8977" max="8977" width="5.7109375" style="474" customWidth="1"/>
    <col min="8978" max="8978" width="6.85546875" style="474" customWidth="1"/>
    <col min="8979" max="8979" width="6.28515625" style="474" customWidth="1"/>
    <col min="8980" max="8981" width="6.7109375" style="474" customWidth="1"/>
    <col min="8982" max="8982" width="10.28515625" style="474" customWidth="1"/>
    <col min="8983" max="9216" width="9.140625" style="474"/>
    <col min="9217" max="9217" width="4" style="474" customWidth="1"/>
    <col min="9218" max="9218" width="26.28515625" style="474" customWidth="1"/>
    <col min="9219" max="9219" width="0" style="474" hidden="1" customWidth="1"/>
    <col min="9220" max="9222" width="7.42578125" style="474" customWidth="1"/>
    <col min="9223" max="9223" width="7" style="474" customWidth="1"/>
    <col min="9224" max="9224" width="6.7109375" style="474" customWidth="1"/>
    <col min="9225" max="9225" width="5.7109375" style="474" customWidth="1"/>
    <col min="9226" max="9226" width="6.42578125" style="474" customWidth="1"/>
    <col min="9227" max="9227" width="6" style="474" customWidth="1"/>
    <col min="9228" max="9229" width="7.140625" style="474" customWidth="1"/>
    <col min="9230" max="9230" width="8.28515625" style="474" customWidth="1"/>
    <col min="9231" max="9231" width="7.7109375" style="474" customWidth="1"/>
    <col min="9232" max="9232" width="6.7109375" style="474" customWidth="1"/>
    <col min="9233" max="9233" width="5.7109375" style="474" customWidth="1"/>
    <col min="9234" max="9234" width="6.85546875" style="474" customWidth="1"/>
    <col min="9235" max="9235" width="6.28515625" style="474" customWidth="1"/>
    <col min="9236" max="9237" width="6.7109375" style="474" customWidth="1"/>
    <col min="9238" max="9238" width="10.28515625" style="474" customWidth="1"/>
    <col min="9239" max="9472" width="9.140625" style="474"/>
    <col min="9473" max="9473" width="4" style="474" customWidth="1"/>
    <col min="9474" max="9474" width="26.28515625" style="474" customWidth="1"/>
    <col min="9475" max="9475" width="0" style="474" hidden="1" customWidth="1"/>
    <col min="9476" max="9478" width="7.42578125" style="474" customWidth="1"/>
    <col min="9479" max="9479" width="7" style="474" customWidth="1"/>
    <col min="9480" max="9480" width="6.7109375" style="474" customWidth="1"/>
    <col min="9481" max="9481" width="5.7109375" style="474" customWidth="1"/>
    <col min="9482" max="9482" width="6.42578125" style="474" customWidth="1"/>
    <col min="9483" max="9483" width="6" style="474" customWidth="1"/>
    <col min="9484" max="9485" width="7.140625" style="474" customWidth="1"/>
    <col min="9486" max="9486" width="8.28515625" style="474" customWidth="1"/>
    <col min="9487" max="9487" width="7.7109375" style="474" customWidth="1"/>
    <col min="9488" max="9488" width="6.7109375" style="474" customWidth="1"/>
    <col min="9489" max="9489" width="5.7109375" style="474" customWidth="1"/>
    <col min="9490" max="9490" width="6.85546875" style="474" customWidth="1"/>
    <col min="9491" max="9491" width="6.28515625" style="474" customWidth="1"/>
    <col min="9492" max="9493" width="6.7109375" style="474" customWidth="1"/>
    <col min="9494" max="9494" width="10.28515625" style="474" customWidth="1"/>
    <col min="9495" max="9728" width="9.140625" style="474"/>
    <col min="9729" max="9729" width="4" style="474" customWidth="1"/>
    <col min="9730" max="9730" width="26.28515625" style="474" customWidth="1"/>
    <col min="9731" max="9731" width="0" style="474" hidden="1" customWidth="1"/>
    <col min="9732" max="9734" width="7.42578125" style="474" customWidth="1"/>
    <col min="9735" max="9735" width="7" style="474" customWidth="1"/>
    <col min="9736" max="9736" width="6.7109375" style="474" customWidth="1"/>
    <col min="9737" max="9737" width="5.7109375" style="474" customWidth="1"/>
    <col min="9738" max="9738" width="6.42578125" style="474" customWidth="1"/>
    <col min="9739" max="9739" width="6" style="474" customWidth="1"/>
    <col min="9740" max="9741" width="7.140625" style="474" customWidth="1"/>
    <col min="9742" max="9742" width="8.28515625" style="474" customWidth="1"/>
    <col min="9743" max="9743" width="7.7109375" style="474" customWidth="1"/>
    <col min="9744" max="9744" width="6.7109375" style="474" customWidth="1"/>
    <col min="9745" max="9745" width="5.7109375" style="474" customWidth="1"/>
    <col min="9746" max="9746" width="6.85546875" style="474" customWidth="1"/>
    <col min="9747" max="9747" width="6.28515625" style="474" customWidth="1"/>
    <col min="9748" max="9749" width="6.7109375" style="474" customWidth="1"/>
    <col min="9750" max="9750" width="10.28515625" style="474" customWidth="1"/>
    <col min="9751" max="9984" width="9.140625" style="474"/>
    <col min="9985" max="9985" width="4" style="474" customWidth="1"/>
    <col min="9986" max="9986" width="26.28515625" style="474" customWidth="1"/>
    <col min="9987" max="9987" width="0" style="474" hidden="1" customWidth="1"/>
    <col min="9988" max="9990" width="7.42578125" style="474" customWidth="1"/>
    <col min="9991" max="9991" width="7" style="474" customWidth="1"/>
    <col min="9992" max="9992" width="6.7109375" style="474" customWidth="1"/>
    <col min="9993" max="9993" width="5.7109375" style="474" customWidth="1"/>
    <col min="9994" max="9994" width="6.42578125" style="474" customWidth="1"/>
    <col min="9995" max="9995" width="6" style="474" customWidth="1"/>
    <col min="9996" max="9997" width="7.140625" style="474" customWidth="1"/>
    <col min="9998" max="9998" width="8.28515625" style="474" customWidth="1"/>
    <col min="9999" max="9999" width="7.7109375" style="474" customWidth="1"/>
    <col min="10000" max="10000" width="6.7109375" style="474" customWidth="1"/>
    <col min="10001" max="10001" width="5.7109375" style="474" customWidth="1"/>
    <col min="10002" max="10002" width="6.85546875" style="474" customWidth="1"/>
    <col min="10003" max="10003" width="6.28515625" style="474" customWidth="1"/>
    <col min="10004" max="10005" width="6.7109375" style="474" customWidth="1"/>
    <col min="10006" max="10006" width="10.28515625" style="474" customWidth="1"/>
    <col min="10007" max="10240" width="9.140625" style="474"/>
    <col min="10241" max="10241" width="4" style="474" customWidth="1"/>
    <col min="10242" max="10242" width="26.28515625" style="474" customWidth="1"/>
    <col min="10243" max="10243" width="0" style="474" hidden="1" customWidth="1"/>
    <col min="10244" max="10246" width="7.42578125" style="474" customWidth="1"/>
    <col min="10247" max="10247" width="7" style="474" customWidth="1"/>
    <col min="10248" max="10248" width="6.7109375" style="474" customWidth="1"/>
    <col min="10249" max="10249" width="5.7109375" style="474" customWidth="1"/>
    <col min="10250" max="10250" width="6.42578125" style="474" customWidth="1"/>
    <col min="10251" max="10251" width="6" style="474" customWidth="1"/>
    <col min="10252" max="10253" width="7.140625" style="474" customWidth="1"/>
    <col min="10254" max="10254" width="8.28515625" style="474" customWidth="1"/>
    <col min="10255" max="10255" width="7.7109375" style="474" customWidth="1"/>
    <col min="10256" max="10256" width="6.7109375" style="474" customWidth="1"/>
    <col min="10257" max="10257" width="5.7109375" style="474" customWidth="1"/>
    <col min="10258" max="10258" width="6.85546875" style="474" customWidth="1"/>
    <col min="10259" max="10259" width="6.28515625" style="474" customWidth="1"/>
    <col min="10260" max="10261" width="6.7109375" style="474" customWidth="1"/>
    <col min="10262" max="10262" width="10.28515625" style="474" customWidth="1"/>
    <col min="10263" max="10496" width="9.140625" style="474"/>
    <col min="10497" max="10497" width="4" style="474" customWidth="1"/>
    <col min="10498" max="10498" width="26.28515625" style="474" customWidth="1"/>
    <col min="10499" max="10499" width="0" style="474" hidden="1" customWidth="1"/>
    <col min="10500" max="10502" width="7.42578125" style="474" customWidth="1"/>
    <col min="10503" max="10503" width="7" style="474" customWidth="1"/>
    <col min="10504" max="10504" width="6.7109375" style="474" customWidth="1"/>
    <col min="10505" max="10505" width="5.7109375" style="474" customWidth="1"/>
    <col min="10506" max="10506" width="6.42578125" style="474" customWidth="1"/>
    <col min="10507" max="10507" width="6" style="474" customWidth="1"/>
    <col min="10508" max="10509" width="7.140625" style="474" customWidth="1"/>
    <col min="10510" max="10510" width="8.28515625" style="474" customWidth="1"/>
    <col min="10511" max="10511" width="7.7109375" style="474" customWidth="1"/>
    <col min="10512" max="10512" width="6.7109375" style="474" customWidth="1"/>
    <col min="10513" max="10513" width="5.7109375" style="474" customWidth="1"/>
    <col min="10514" max="10514" width="6.85546875" style="474" customWidth="1"/>
    <col min="10515" max="10515" width="6.28515625" style="474" customWidth="1"/>
    <col min="10516" max="10517" width="6.7109375" style="474" customWidth="1"/>
    <col min="10518" max="10518" width="10.28515625" style="474" customWidth="1"/>
    <col min="10519" max="10752" width="9.140625" style="474"/>
    <col min="10753" max="10753" width="4" style="474" customWidth="1"/>
    <col min="10754" max="10754" width="26.28515625" style="474" customWidth="1"/>
    <col min="10755" max="10755" width="0" style="474" hidden="1" customWidth="1"/>
    <col min="10756" max="10758" width="7.42578125" style="474" customWidth="1"/>
    <col min="10759" max="10759" width="7" style="474" customWidth="1"/>
    <col min="10760" max="10760" width="6.7109375" style="474" customWidth="1"/>
    <col min="10761" max="10761" width="5.7109375" style="474" customWidth="1"/>
    <col min="10762" max="10762" width="6.42578125" style="474" customWidth="1"/>
    <col min="10763" max="10763" width="6" style="474" customWidth="1"/>
    <col min="10764" max="10765" width="7.140625" style="474" customWidth="1"/>
    <col min="10766" max="10766" width="8.28515625" style="474" customWidth="1"/>
    <col min="10767" max="10767" width="7.7109375" style="474" customWidth="1"/>
    <col min="10768" max="10768" width="6.7109375" style="474" customWidth="1"/>
    <col min="10769" max="10769" width="5.7109375" style="474" customWidth="1"/>
    <col min="10770" max="10770" width="6.85546875" style="474" customWidth="1"/>
    <col min="10771" max="10771" width="6.28515625" style="474" customWidth="1"/>
    <col min="10772" max="10773" width="6.7109375" style="474" customWidth="1"/>
    <col min="10774" max="10774" width="10.28515625" style="474" customWidth="1"/>
    <col min="10775" max="11008" width="9.140625" style="474"/>
    <col min="11009" max="11009" width="4" style="474" customWidth="1"/>
    <col min="11010" max="11010" width="26.28515625" style="474" customWidth="1"/>
    <col min="11011" max="11011" width="0" style="474" hidden="1" customWidth="1"/>
    <col min="11012" max="11014" width="7.42578125" style="474" customWidth="1"/>
    <col min="11015" max="11015" width="7" style="474" customWidth="1"/>
    <col min="11016" max="11016" width="6.7109375" style="474" customWidth="1"/>
    <col min="11017" max="11017" width="5.7109375" style="474" customWidth="1"/>
    <col min="11018" max="11018" width="6.42578125" style="474" customWidth="1"/>
    <col min="11019" max="11019" width="6" style="474" customWidth="1"/>
    <col min="11020" max="11021" width="7.140625" style="474" customWidth="1"/>
    <col min="11022" max="11022" width="8.28515625" style="474" customWidth="1"/>
    <col min="11023" max="11023" width="7.7109375" style="474" customWidth="1"/>
    <col min="11024" max="11024" width="6.7109375" style="474" customWidth="1"/>
    <col min="11025" max="11025" width="5.7109375" style="474" customWidth="1"/>
    <col min="11026" max="11026" width="6.85546875" style="474" customWidth="1"/>
    <col min="11027" max="11027" width="6.28515625" style="474" customWidth="1"/>
    <col min="11028" max="11029" width="6.7109375" style="474" customWidth="1"/>
    <col min="11030" max="11030" width="10.28515625" style="474" customWidth="1"/>
    <col min="11031" max="11264" width="9.140625" style="474"/>
    <col min="11265" max="11265" width="4" style="474" customWidth="1"/>
    <col min="11266" max="11266" width="26.28515625" style="474" customWidth="1"/>
    <col min="11267" max="11267" width="0" style="474" hidden="1" customWidth="1"/>
    <col min="11268" max="11270" width="7.42578125" style="474" customWidth="1"/>
    <col min="11271" max="11271" width="7" style="474" customWidth="1"/>
    <col min="11272" max="11272" width="6.7109375" style="474" customWidth="1"/>
    <col min="11273" max="11273" width="5.7109375" style="474" customWidth="1"/>
    <col min="11274" max="11274" width="6.42578125" style="474" customWidth="1"/>
    <col min="11275" max="11275" width="6" style="474" customWidth="1"/>
    <col min="11276" max="11277" width="7.140625" style="474" customWidth="1"/>
    <col min="11278" max="11278" width="8.28515625" style="474" customWidth="1"/>
    <col min="11279" max="11279" width="7.7109375" style="474" customWidth="1"/>
    <col min="11280" max="11280" width="6.7109375" style="474" customWidth="1"/>
    <col min="11281" max="11281" width="5.7109375" style="474" customWidth="1"/>
    <col min="11282" max="11282" width="6.85546875" style="474" customWidth="1"/>
    <col min="11283" max="11283" width="6.28515625" style="474" customWidth="1"/>
    <col min="11284" max="11285" width="6.7109375" style="474" customWidth="1"/>
    <col min="11286" max="11286" width="10.28515625" style="474" customWidth="1"/>
    <col min="11287" max="11520" width="9.140625" style="474"/>
    <col min="11521" max="11521" width="4" style="474" customWidth="1"/>
    <col min="11522" max="11522" width="26.28515625" style="474" customWidth="1"/>
    <col min="11523" max="11523" width="0" style="474" hidden="1" customWidth="1"/>
    <col min="11524" max="11526" width="7.42578125" style="474" customWidth="1"/>
    <col min="11527" max="11527" width="7" style="474" customWidth="1"/>
    <col min="11528" max="11528" width="6.7109375" style="474" customWidth="1"/>
    <col min="11529" max="11529" width="5.7109375" style="474" customWidth="1"/>
    <col min="11530" max="11530" width="6.42578125" style="474" customWidth="1"/>
    <col min="11531" max="11531" width="6" style="474" customWidth="1"/>
    <col min="11532" max="11533" width="7.140625" style="474" customWidth="1"/>
    <col min="11534" max="11534" width="8.28515625" style="474" customWidth="1"/>
    <col min="11535" max="11535" width="7.7109375" style="474" customWidth="1"/>
    <col min="11536" max="11536" width="6.7109375" style="474" customWidth="1"/>
    <col min="11537" max="11537" width="5.7109375" style="474" customWidth="1"/>
    <col min="11538" max="11538" width="6.85546875" style="474" customWidth="1"/>
    <col min="11539" max="11539" width="6.28515625" style="474" customWidth="1"/>
    <col min="11540" max="11541" width="6.7109375" style="474" customWidth="1"/>
    <col min="11542" max="11542" width="10.28515625" style="474" customWidth="1"/>
    <col min="11543" max="11776" width="9.140625" style="474"/>
    <col min="11777" max="11777" width="4" style="474" customWidth="1"/>
    <col min="11778" max="11778" width="26.28515625" style="474" customWidth="1"/>
    <col min="11779" max="11779" width="0" style="474" hidden="1" customWidth="1"/>
    <col min="11780" max="11782" width="7.42578125" style="474" customWidth="1"/>
    <col min="11783" max="11783" width="7" style="474" customWidth="1"/>
    <col min="11784" max="11784" width="6.7109375" style="474" customWidth="1"/>
    <col min="11785" max="11785" width="5.7109375" style="474" customWidth="1"/>
    <col min="11786" max="11786" width="6.42578125" style="474" customWidth="1"/>
    <col min="11787" max="11787" width="6" style="474" customWidth="1"/>
    <col min="11788" max="11789" width="7.140625" style="474" customWidth="1"/>
    <col min="11790" max="11790" width="8.28515625" style="474" customWidth="1"/>
    <col min="11791" max="11791" width="7.7109375" style="474" customWidth="1"/>
    <col min="11792" max="11792" width="6.7109375" style="474" customWidth="1"/>
    <col min="11793" max="11793" width="5.7109375" style="474" customWidth="1"/>
    <col min="11794" max="11794" width="6.85546875" style="474" customWidth="1"/>
    <col min="11795" max="11795" width="6.28515625" style="474" customWidth="1"/>
    <col min="11796" max="11797" width="6.7109375" style="474" customWidth="1"/>
    <col min="11798" max="11798" width="10.28515625" style="474" customWidth="1"/>
    <col min="11799" max="12032" width="9.140625" style="474"/>
    <col min="12033" max="12033" width="4" style="474" customWidth="1"/>
    <col min="12034" max="12034" width="26.28515625" style="474" customWidth="1"/>
    <col min="12035" max="12035" width="0" style="474" hidden="1" customWidth="1"/>
    <col min="12036" max="12038" width="7.42578125" style="474" customWidth="1"/>
    <col min="12039" max="12039" width="7" style="474" customWidth="1"/>
    <col min="12040" max="12040" width="6.7109375" style="474" customWidth="1"/>
    <col min="12041" max="12041" width="5.7109375" style="474" customWidth="1"/>
    <col min="12042" max="12042" width="6.42578125" style="474" customWidth="1"/>
    <col min="12043" max="12043" width="6" style="474" customWidth="1"/>
    <col min="12044" max="12045" width="7.140625" style="474" customWidth="1"/>
    <col min="12046" max="12046" width="8.28515625" style="474" customWidth="1"/>
    <col min="12047" max="12047" width="7.7109375" style="474" customWidth="1"/>
    <col min="12048" max="12048" width="6.7109375" style="474" customWidth="1"/>
    <col min="12049" max="12049" width="5.7109375" style="474" customWidth="1"/>
    <col min="12050" max="12050" width="6.85546875" style="474" customWidth="1"/>
    <col min="12051" max="12051" width="6.28515625" style="474" customWidth="1"/>
    <col min="12052" max="12053" width="6.7109375" style="474" customWidth="1"/>
    <col min="12054" max="12054" width="10.28515625" style="474" customWidth="1"/>
    <col min="12055" max="12288" width="9.140625" style="474"/>
    <col min="12289" max="12289" width="4" style="474" customWidth="1"/>
    <col min="12290" max="12290" width="26.28515625" style="474" customWidth="1"/>
    <col min="12291" max="12291" width="0" style="474" hidden="1" customWidth="1"/>
    <col min="12292" max="12294" width="7.42578125" style="474" customWidth="1"/>
    <col min="12295" max="12295" width="7" style="474" customWidth="1"/>
    <col min="12296" max="12296" width="6.7109375" style="474" customWidth="1"/>
    <col min="12297" max="12297" width="5.7109375" style="474" customWidth="1"/>
    <col min="12298" max="12298" width="6.42578125" style="474" customWidth="1"/>
    <col min="12299" max="12299" width="6" style="474" customWidth="1"/>
    <col min="12300" max="12301" width="7.140625" style="474" customWidth="1"/>
    <col min="12302" max="12302" width="8.28515625" style="474" customWidth="1"/>
    <col min="12303" max="12303" width="7.7109375" style="474" customWidth="1"/>
    <col min="12304" max="12304" width="6.7109375" style="474" customWidth="1"/>
    <col min="12305" max="12305" width="5.7109375" style="474" customWidth="1"/>
    <col min="12306" max="12306" width="6.85546875" style="474" customWidth="1"/>
    <col min="12307" max="12307" width="6.28515625" style="474" customWidth="1"/>
    <col min="12308" max="12309" width="6.7109375" style="474" customWidth="1"/>
    <col min="12310" max="12310" width="10.28515625" style="474" customWidth="1"/>
    <col min="12311" max="12544" width="9.140625" style="474"/>
    <col min="12545" max="12545" width="4" style="474" customWidth="1"/>
    <col min="12546" max="12546" width="26.28515625" style="474" customWidth="1"/>
    <col min="12547" max="12547" width="0" style="474" hidden="1" customWidth="1"/>
    <col min="12548" max="12550" width="7.42578125" style="474" customWidth="1"/>
    <col min="12551" max="12551" width="7" style="474" customWidth="1"/>
    <col min="12552" max="12552" width="6.7109375" style="474" customWidth="1"/>
    <col min="12553" max="12553" width="5.7109375" style="474" customWidth="1"/>
    <col min="12554" max="12554" width="6.42578125" style="474" customWidth="1"/>
    <col min="12555" max="12555" width="6" style="474" customWidth="1"/>
    <col min="12556" max="12557" width="7.140625" style="474" customWidth="1"/>
    <col min="12558" max="12558" width="8.28515625" style="474" customWidth="1"/>
    <col min="12559" max="12559" width="7.7109375" style="474" customWidth="1"/>
    <col min="12560" max="12560" width="6.7109375" style="474" customWidth="1"/>
    <col min="12561" max="12561" width="5.7109375" style="474" customWidth="1"/>
    <col min="12562" max="12562" width="6.85546875" style="474" customWidth="1"/>
    <col min="12563" max="12563" width="6.28515625" style="474" customWidth="1"/>
    <col min="12564" max="12565" width="6.7109375" style="474" customWidth="1"/>
    <col min="12566" max="12566" width="10.28515625" style="474" customWidth="1"/>
    <col min="12567" max="12800" width="9.140625" style="474"/>
    <col min="12801" max="12801" width="4" style="474" customWidth="1"/>
    <col min="12802" max="12802" width="26.28515625" style="474" customWidth="1"/>
    <col min="12803" max="12803" width="0" style="474" hidden="1" customWidth="1"/>
    <col min="12804" max="12806" width="7.42578125" style="474" customWidth="1"/>
    <col min="12807" max="12807" width="7" style="474" customWidth="1"/>
    <col min="12808" max="12808" width="6.7109375" style="474" customWidth="1"/>
    <col min="12809" max="12809" width="5.7109375" style="474" customWidth="1"/>
    <col min="12810" max="12810" width="6.42578125" style="474" customWidth="1"/>
    <col min="12811" max="12811" width="6" style="474" customWidth="1"/>
    <col min="12812" max="12813" width="7.140625" style="474" customWidth="1"/>
    <col min="12814" max="12814" width="8.28515625" style="474" customWidth="1"/>
    <col min="12815" max="12815" width="7.7109375" style="474" customWidth="1"/>
    <col min="12816" max="12816" width="6.7109375" style="474" customWidth="1"/>
    <col min="12817" max="12817" width="5.7109375" style="474" customWidth="1"/>
    <col min="12818" max="12818" width="6.85546875" style="474" customWidth="1"/>
    <col min="12819" max="12819" width="6.28515625" style="474" customWidth="1"/>
    <col min="12820" max="12821" width="6.7109375" style="474" customWidth="1"/>
    <col min="12822" max="12822" width="10.28515625" style="474" customWidth="1"/>
    <col min="12823" max="13056" width="9.140625" style="474"/>
    <col min="13057" max="13057" width="4" style="474" customWidth="1"/>
    <col min="13058" max="13058" width="26.28515625" style="474" customWidth="1"/>
    <col min="13059" max="13059" width="0" style="474" hidden="1" customWidth="1"/>
    <col min="13060" max="13062" width="7.42578125" style="474" customWidth="1"/>
    <col min="13063" max="13063" width="7" style="474" customWidth="1"/>
    <col min="13064" max="13064" width="6.7109375" style="474" customWidth="1"/>
    <col min="13065" max="13065" width="5.7109375" style="474" customWidth="1"/>
    <col min="13066" max="13066" width="6.42578125" style="474" customWidth="1"/>
    <col min="13067" max="13067" width="6" style="474" customWidth="1"/>
    <col min="13068" max="13069" width="7.140625" style="474" customWidth="1"/>
    <col min="13070" max="13070" width="8.28515625" style="474" customWidth="1"/>
    <col min="13071" max="13071" width="7.7109375" style="474" customWidth="1"/>
    <col min="13072" max="13072" width="6.7109375" style="474" customWidth="1"/>
    <col min="13073" max="13073" width="5.7109375" style="474" customWidth="1"/>
    <col min="13074" max="13074" width="6.85546875" style="474" customWidth="1"/>
    <col min="13075" max="13075" width="6.28515625" style="474" customWidth="1"/>
    <col min="13076" max="13077" width="6.7109375" style="474" customWidth="1"/>
    <col min="13078" max="13078" width="10.28515625" style="474" customWidth="1"/>
    <col min="13079" max="13312" width="9.140625" style="474"/>
    <col min="13313" max="13313" width="4" style="474" customWidth="1"/>
    <col min="13314" max="13314" width="26.28515625" style="474" customWidth="1"/>
    <col min="13315" max="13315" width="0" style="474" hidden="1" customWidth="1"/>
    <col min="13316" max="13318" width="7.42578125" style="474" customWidth="1"/>
    <col min="13319" max="13319" width="7" style="474" customWidth="1"/>
    <col min="13320" max="13320" width="6.7109375" style="474" customWidth="1"/>
    <col min="13321" max="13321" width="5.7109375" style="474" customWidth="1"/>
    <col min="13322" max="13322" width="6.42578125" style="474" customWidth="1"/>
    <col min="13323" max="13323" width="6" style="474" customWidth="1"/>
    <col min="13324" max="13325" width="7.140625" style="474" customWidth="1"/>
    <col min="13326" max="13326" width="8.28515625" style="474" customWidth="1"/>
    <col min="13327" max="13327" width="7.7109375" style="474" customWidth="1"/>
    <col min="13328" max="13328" width="6.7109375" style="474" customWidth="1"/>
    <col min="13329" max="13329" width="5.7109375" style="474" customWidth="1"/>
    <col min="13330" max="13330" width="6.85546875" style="474" customWidth="1"/>
    <col min="13331" max="13331" width="6.28515625" style="474" customWidth="1"/>
    <col min="13332" max="13333" width="6.7109375" style="474" customWidth="1"/>
    <col min="13334" max="13334" width="10.28515625" style="474" customWidth="1"/>
    <col min="13335" max="13568" width="9.140625" style="474"/>
    <col min="13569" max="13569" width="4" style="474" customWidth="1"/>
    <col min="13570" max="13570" width="26.28515625" style="474" customWidth="1"/>
    <col min="13571" max="13571" width="0" style="474" hidden="1" customWidth="1"/>
    <col min="13572" max="13574" width="7.42578125" style="474" customWidth="1"/>
    <col min="13575" max="13575" width="7" style="474" customWidth="1"/>
    <col min="13576" max="13576" width="6.7109375" style="474" customWidth="1"/>
    <col min="13577" max="13577" width="5.7109375" style="474" customWidth="1"/>
    <col min="13578" max="13578" width="6.42578125" style="474" customWidth="1"/>
    <col min="13579" max="13579" width="6" style="474" customWidth="1"/>
    <col min="13580" max="13581" width="7.140625" style="474" customWidth="1"/>
    <col min="13582" max="13582" width="8.28515625" style="474" customWidth="1"/>
    <col min="13583" max="13583" width="7.7109375" style="474" customWidth="1"/>
    <col min="13584" max="13584" width="6.7109375" style="474" customWidth="1"/>
    <col min="13585" max="13585" width="5.7109375" style="474" customWidth="1"/>
    <col min="13586" max="13586" width="6.85546875" style="474" customWidth="1"/>
    <col min="13587" max="13587" width="6.28515625" style="474" customWidth="1"/>
    <col min="13588" max="13589" width="6.7109375" style="474" customWidth="1"/>
    <col min="13590" max="13590" width="10.28515625" style="474" customWidth="1"/>
    <col min="13591" max="13824" width="9.140625" style="474"/>
    <col min="13825" max="13825" width="4" style="474" customWidth="1"/>
    <col min="13826" max="13826" width="26.28515625" style="474" customWidth="1"/>
    <col min="13827" max="13827" width="0" style="474" hidden="1" customWidth="1"/>
    <col min="13828" max="13830" width="7.42578125" style="474" customWidth="1"/>
    <col min="13831" max="13831" width="7" style="474" customWidth="1"/>
    <col min="13832" max="13832" width="6.7109375" style="474" customWidth="1"/>
    <col min="13833" max="13833" width="5.7109375" style="474" customWidth="1"/>
    <col min="13834" max="13834" width="6.42578125" style="474" customWidth="1"/>
    <col min="13835" max="13835" width="6" style="474" customWidth="1"/>
    <col min="13836" max="13837" width="7.140625" style="474" customWidth="1"/>
    <col min="13838" max="13838" width="8.28515625" style="474" customWidth="1"/>
    <col min="13839" max="13839" width="7.7109375" style="474" customWidth="1"/>
    <col min="13840" max="13840" width="6.7109375" style="474" customWidth="1"/>
    <col min="13841" max="13841" width="5.7109375" style="474" customWidth="1"/>
    <col min="13842" max="13842" width="6.85546875" style="474" customWidth="1"/>
    <col min="13843" max="13843" width="6.28515625" style="474" customWidth="1"/>
    <col min="13844" max="13845" width="6.7109375" style="474" customWidth="1"/>
    <col min="13846" max="13846" width="10.28515625" style="474" customWidth="1"/>
    <col min="13847" max="14080" width="9.140625" style="474"/>
    <col min="14081" max="14081" width="4" style="474" customWidth="1"/>
    <col min="14082" max="14082" width="26.28515625" style="474" customWidth="1"/>
    <col min="14083" max="14083" width="0" style="474" hidden="1" customWidth="1"/>
    <col min="14084" max="14086" width="7.42578125" style="474" customWidth="1"/>
    <col min="14087" max="14087" width="7" style="474" customWidth="1"/>
    <col min="14088" max="14088" width="6.7109375" style="474" customWidth="1"/>
    <col min="14089" max="14089" width="5.7109375" style="474" customWidth="1"/>
    <col min="14090" max="14090" width="6.42578125" style="474" customWidth="1"/>
    <col min="14091" max="14091" width="6" style="474" customWidth="1"/>
    <col min="14092" max="14093" width="7.140625" style="474" customWidth="1"/>
    <col min="14094" max="14094" width="8.28515625" style="474" customWidth="1"/>
    <col min="14095" max="14095" width="7.7109375" style="474" customWidth="1"/>
    <col min="14096" max="14096" width="6.7109375" style="474" customWidth="1"/>
    <col min="14097" max="14097" width="5.7109375" style="474" customWidth="1"/>
    <col min="14098" max="14098" width="6.85546875" style="474" customWidth="1"/>
    <col min="14099" max="14099" width="6.28515625" style="474" customWidth="1"/>
    <col min="14100" max="14101" width="6.7109375" style="474" customWidth="1"/>
    <col min="14102" max="14102" width="10.28515625" style="474" customWidth="1"/>
    <col min="14103" max="14336" width="9.140625" style="474"/>
    <col min="14337" max="14337" width="4" style="474" customWidth="1"/>
    <col min="14338" max="14338" width="26.28515625" style="474" customWidth="1"/>
    <col min="14339" max="14339" width="0" style="474" hidden="1" customWidth="1"/>
    <col min="14340" max="14342" width="7.42578125" style="474" customWidth="1"/>
    <col min="14343" max="14343" width="7" style="474" customWidth="1"/>
    <col min="14344" max="14344" width="6.7109375" style="474" customWidth="1"/>
    <col min="14345" max="14345" width="5.7109375" style="474" customWidth="1"/>
    <col min="14346" max="14346" width="6.42578125" style="474" customWidth="1"/>
    <col min="14347" max="14347" width="6" style="474" customWidth="1"/>
    <col min="14348" max="14349" width="7.140625" style="474" customWidth="1"/>
    <col min="14350" max="14350" width="8.28515625" style="474" customWidth="1"/>
    <col min="14351" max="14351" width="7.7109375" style="474" customWidth="1"/>
    <col min="14352" max="14352" width="6.7109375" style="474" customWidth="1"/>
    <col min="14353" max="14353" width="5.7109375" style="474" customWidth="1"/>
    <col min="14354" max="14354" width="6.85546875" style="474" customWidth="1"/>
    <col min="14355" max="14355" width="6.28515625" style="474" customWidth="1"/>
    <col min="14356" max="14357" width="6.7109375" style="474" customWidth="1"/>
    <col min="14358" max="14358" width="10.28515625" style="474" customWidth="1"/>
    <col min="14359" max="14592" width="9.140625" style="474"/>
    <col min="14593" max="14593" width="4" style="474" customWidth="1"/>
    <col min="14594" max="14594" width="26.28515625" style="474" customWidth="1"/>
    <col min="14595" max="14595" width="0" style="474" hidden="1" customWidth="1"/>
    <col min="14596" max="14598" width="7.42578125" style="474" customWidth="1"/>
    <col min="14599" max="14599" width="7" style="474" customWidth="1"/>
    <col min="14600" max="14600" width="6.7109375" style="474" customWidth="1"/>
    <col min="14601" max="14601" width="5.7109375" style="474" customWidth="1"/>
    <col min="14602" max="14602" width="6.42578125" style="474" customWidth="1"/>
    <col min="14603" max="14603" width="6" style="474" customWidth="1"/>
    <col min="14604" max="14605" width="7.140625" style="474" customWidth="1"/>
    <col min="14606" max="14606" width="8.28515625" style="474" customWidth="1"/>
    <col min="14607" max="14607" width="7.7109375" style="474" customWidth="1"/>
    <col min="14608" max="14608" width="6.7109375" style="474" customWidth="1"/>
    <col min="14609" max="14609" width="5.7109375" style="474" customWidth="1"/>
    <col min="14610" max="14610" width="6.85546875" style="474" customWidth="1"/>
    <col min="14611" max="14611" width="6.28515625" style="474" customWidth="1"/>
    <col min="14612" max="14613" width="6.7109375" style="474" customWidth="1"/>
    <col min="14614" max="14614" width="10.28515625" style="474" customWidth="1"/>
    <col min="14615" max="14848" width="9.140625" style="474"/>
    <col min="14849" max="14849" width="4" style="474" customWidth="1"/>
    <col min="14850" max="14850" width="26.28515625" style="474" customWidth="1"/>
    <col min="14851" max="14851" width="0" style="474" hidden="1" customWidth="1"/>
    <col min="14852" max="14854" width="7.42578125" style="474" customWidth="1"/>
    <col min="14855" max="14855" width="7" style="474" customWidth="1"/>
    <col min="14856" max="14856" width="6.7109375" style="474" customWidth="1"/>
    <col min="14857" max="14857" width="5.7109375" style="474" customWidth="1"/>
    <col min="14858" max="14858" width="6.42578125" style="474" customWidth="1"/>
    <col min="14859" max="14859" width="6" style="474" customWidth="1"/>
    <col min="14860" max="14861" width="7.140625" style="474" customWidth="1"/>
    <col min="14862" max="14862" width="8.28515625" style="474" customWidth="1"/>
    <col min="14863" max="14863" width="7.7109375" style="474" customWidth="1"/>
    <col min="14864" max="14864" width="6.7109375" style="474" customWidth="1"/>
    <col min="14865" max="14865" width="5.7109375" style="474" customWidth="1"/>
    <col min="14866" max="14866" width="6.85546875" style="474" customWidth="1"/>
    <col min="14867" max="14867" width="6.28515625" style="474" customWidth="1"/>
    <col min="14868" max="14869" width="6.7109375" style="474" customWidth="1"/>
    <col min="14870" max="14870" width="10.28515625" style="474" customWidth="1"/>
    <col min="14871" max="15104" width="9.140625" style="474"/>
    <col min="15105" max="15105" width="4" style="474" customWidth="1"/>
    <col min="15106" max="15106" width="26.28515625" style="474" customWidth="1"/>
    <col min="15107" max="15107" width="0" style="474" hidden="1" customWidth="1"/>
    <col min="15108" max="15110" width="7.42578125" style="474" customWidth="1"/>
    <col min="15111" max="15111" width="7" style="474" customWidth="1"/>
    <col min="15112" max="15112" width="6.7109375" style="474" customWidth="1"/>
    <col min="15113" max="15113" width="5.7109375" style="474" customWidth="1"/>
    <col min="15114" max="15114" width="6.42578125" style="474" customWidth="1"/>
    <col min="15115" max="15115" width="6" style="474" customWidth="1"/>
    <col min="15116" max="15117" width="7.140625" style="474" customWidth="1"/>
    <col min="15118" max="15118" width="8.28515625" style="474" customWidth="1"/>
    <col min="15119" max="15119" width="7.7109375" style="474" customWidth="1"/>
    <col min="15120" max="15120" width="6.7109375" style="474" customWidth="1"/>
    <col min="15121" max="15121" width="5.7109375" style="474" customWidth="1"/>
    <col min="15122" max="15122" width="6.85546875" style="474" customWidth="1"/>
    <col min="15123" max="15123" width="6.28515625" style="474" customWidth="1"/>
    <col min="15124" max="15125" width="6.7109375" style="474" customWidth="1"/>
    <col min="15126" max="15126" width="10.28515625" style="474" customWidth="1"/>
    <col min="15127" max="15360" width="9.140625" style="474"/>
    <col min="15361" max="15361" width="4" style="474" customWidth="1"/>
    <col min="15362" max="15362" width="26.28515625" style="474" customWidth="1"/>
    <col min="15363" max="15363" width="0" style="474" hidden="1" customWidth="1"/>
    <col min="15364" max="15366" width="7.42578125" style="474" customWidth="1"/>
    <col min="15367" max="15367" width="7" style="474" customWidth="1"/>
    <col min="15368" max="15368" width="6.7109375" style="474" customWidth="1"/>
    <col min="15369" max="15369" width="5.7109375" style="474" customWidth="1"/>
    <col min="15370" max="15370" width="6.42578125" style="474" customWidth="1"/>
    <col min="15371" max="15371" width="6" style="474" customWidth="1"/>
    <col min="15372" max="15373" width="7.140625" style="474" customWidth="1"/>
    <col min="15374" max="15374" width="8.28515625" style="474" customWidth="1"/>
    <col min="15375" max="15375" width="7.7109375" style="474" customWidth="1"/>
    <col min="15376" max="15376" width="6.7109375" style="474" customWidth="1"/>
    <col min="15377" max="15377" width="5.7109375" style="474" customWidth="1"/>
    <col min="15378" max="15378" width="6.85546875" style="474" customWidth="1"/>
    <col min="15379" max="15379" width="6.28515625" style="474" customWidth="1"/>
    <col min="15380" max="15381" width="6.7109375" style="474" customWidth="1"/>
    <col min="15382" max="15382" width="10.28515625" style="474" customWidth="1"/>
    <col min="15383" max="15616" width="9.140625" style="474"/>
    <col min="15617" max="15617" width="4" style="474" customWidth="1"/>
    <col min="15618" max="15618" width="26.28515625" style="474" customWidth="1"/>
    <col min="15619" max="15619" width="0" style="474" hidden="1" customWidth="1"/>
    <col min="15620" max="15622" width="7.42578125" style="474" customWidth="1"/>
    <col min="15623" max="15623" width="7" style="474" customWidth="1"/>
    <col min="15624" max="15624" width="6.7109375" style="474" customWidth="1"/>
    <col min="15625" max="15625" width="5.7109375" style="474" customWidth="1"/>
    <col min="15626" max="15626" width="6.42578125" style="474" customWidth="1"/>
    <col min="15627" max="15627" width="6" style="474" customWidth="1"/>
    <col min="15628" max="15629" width="7.140625" style="474" customWidth="1"/>
    <col min="15630" max="15630" width="8.28515625" style="474" customWidth="1"/>
    <col min="15631" max="15631" width="7.7109375" style="474" customWidth="1"/>
    <col min="15632" max="15632" width="6.7109375" style="474" customWidth="1"/>
    <col min="15633" max="15633" width="5.7109375" style="474" customWidth="1"/>
    <col min="15634" max="15634" width="6.85546875" style="474" customWidth="1"/>
    <col min="15635" max="15635" width="6.28515625" style="474" customWidth="1"/>
    <col min="15636" max="15637" width="6.7109375" style="474" customWidth="1"/>
    <col min="15638" max="15638" width="10.28515625" style="474" customWidth="1"/>
    <col min="15639" max="15872" width="9.140625" style="474"/>
    <col min="15873" max="15873" width="4" style="474" customWidth="1"/>
    <col min="15874" max="15874" width="26.28515625" style="474" customWidth="1"/>
    <col min="15875" max="15875" width="0" style="474" hidden="1" customWidth="1"/>
    <col min="15876" max="15878" width="7.42578125" style="474" customWidth="1"/>
    <col min="15879" max="15879" width="7" style="474" customWidth="1"/>
    <col min="15880" max="15880" width="6.7109375" style="474" customWidth="1"/>
    <col min="15881" max="15881" width="5.7109375" style="474" customWidth="1"/>
    <col min="15882" max="15882" width="6.42578125" style="474" customWidth="1"/>
    <col min="15883" max="15883" width="6" style="474" customWidth="1"/>
    <col min="15884" max="15885" width="7.140625" style="474" customWidth="1"/>
    <col min="15886" max="15886" width="8.28515625" style="474" customWidth="1"/>
    <col min="15887" max="15887" width="7.7109375" style="474" customWidth="1"/>
    <col min="15888" max="15888" width="6.7109375" style="474" customWidth="1"/>
    <col min="15889" max="15889" width="5.7109375" style="474" customWidth="1"/>
    <col min="15890" max="15890" width="6.85546875" style="474" customWidth="1"/>
    <col min="15891" max="15891" width="6.28515625" style="474" customWidth="1"/>
    <col min="15892" max="15893" width="6.7109375" style="474" customWidth="1"/>
    <col min="15894" max="15894" width="10.28515625" style="474" customWidth="1"/>
    <col min="15895" max="16128" width="9.140625" style="474"/>
    <col min="16129" max="16129" width="4" style="474" customWidth="1"/>
    <col min="16130" max="16130" width="26.28515625" style="474" customWidth="1"/>
    <col min="16131" max="16131" width="0" style="474" hidden="1" customWidth="1"/>
    <col min="16132" max="16134" width="7.42578125" style="474" customWidth="1"/>
    <col min="16135" max="16135" width="7" style="474" customWidth="1"/>
    <col min="16136" max="16136" width="6.7109375" style="474" customWidth="1"/>
    <col min="16137" max="16137" width="5.7109375" style="474" customWidth="1"/>
    <col min="16138" max="16138" width="6.42578125" style="474" customWidth="1"/>
    <col min="16139" max="16139" width="6" style="474" customWidth="1"/>
    <col min="16140" max="16141" width="7.140625" style="474" customWidth="1"/>
    <col min="16142" max="16142" width="8.28515625" style="474" customWidth="1"/>
    <col min="16143" max="16143" width="7.7109375" style="474" customWidth="1"/>
    <col min="16144" max="16144" width="6.7109375" style="474" customWidth="1"/>
    <col min="16145" max="16145" width="5.7109375" style="474" customWidth="1"/>
    <col min="16146" max="16146" width="6.85546875" style="474" customWidth="1"/>
    <col min="16147" max="16147" width="6.28515625" style="474" customWidth="1"/>
    <col min="16148" max="16149" width="6.7109375" style="474" customWidth="1"/>
    <col min="16150" max="16150" width="10.28515625" style="474" customWidth="1"/>
    <col min="16151" max="16384" width="9.140625" style="474"/>
  </cols>
  <sheetData>
    <row r="1" spans="1:25">
      <c r="A1" s="495"/>
      <c r="B1" s="495"/>
      <c r="C1" s="997"/>
      <c r="D1" s="998"/>
      <c r="E1" s="998"/>
      <c r="F1" s="998"/>
      <c r="G1" s="998"/>
      <c r="H1" s="998"/>
      <c r="I1" s="998"/>
      <c r="J1" s="998"/>
      <c r="K1" s="998"/>
      <c r="L1" s="998"/>
      <c r="M1" s="998"/>
      <c r="N1" s="998"/>
      <c r="O1" s="998"/>
      <c r="P1" s="998"/>
      <c r="Q1" s="998"/>
      <c r="R1" s="1882" t="s">
        <v>1974</v>
      </c>
      <c r="S1" s="1882"/>
      <c r="T1" s="1882"/>
      <c r="U1" s="1882"/>
    </row>
    <row r="2" spans="1:25" ht="21" customHeight="1">
      <c r="A2" s="1886" t="s">
        <v>1971</v>
      </c>
      <c r="B2" s="1886"/>
      <c r="C2" s="1886"/>
      <c r="D2" s="1886"/>
      <c r="E2" s="1886"/>
      <c r="F2" s="1886"/>
      <c r="G2" s="1886"/>
      <c r="H2" s="1886"/>
      <c r="I2" s="1886"/>
      <c r="J2" s="1886"/>
      <c r="K2" s="1886"/>
      <c r="L2" s="1886"/>
      <c r="M2" s="1886"/>
      <c r="N2" s="1886"/>
      <c r="O2" s="1886"/>
      <c r="P2" s="1886"/>
      <c r="Q2" s="1886"/>
      <c r="R2" s="1886"/>
      <c r="S2" s="1886"/>
      <c r="T2" s="1886"/>
      <c r="U2" s="1886"/>
    </row>
    <row r="3" spans="1:25" ht="15.75" customHeight="1">
      <c r="A3" s="1887" t="e">
        <f>'CN 2017-2018 cấp tỉnh'!A3:E3</f>
        <v>#REF!</v>
      </c>
      <c r="B3" s="1888"/>
      <c r="C3" s="1888"/>
      <c r="D3" s="1888"/>
      <c r="E3" s="1888"/>
      <c r="F3" s="1888"/>
      <c r="G3" s="1888"/>
      <c r="H3" s="1888"/>
      <c r="I3" s="1888"/>
      <c r="J3" s="1888"/>
      <c r="K3" s="1888"/>
      <c r="L3" s="1888"/>
      <c r="M3" s="1888"/>
      <c r="N3" s="1888"/>
      <c r="O3" s="1888"/>
      <c r="P3" s="1888"/>
      <c r="Q3" s="1888"/>
      <c r="R3" s="1888"/>
      <c r="S3" s="1888"/>
      <c r="T3" s="1888"/>
      <c r="U3" s="1888"/>
    </row>
    <row r="4" spans="1:25" ht="11.25" customHeight="1">
      <c r="A4" s="475"/>
      <c r="B4" s="475"/>
      <c r="C4" s="476"/>
      <c r="D4" s="477"/>
      <c r="E4" s="974"/>
      <c r="F4" s="975"/>
      <c r="G4" s="975"/>
      <c r="H4" s="477"/>
      <c r="I4" s="477"/>
      <c r="J4" s="976"/>
      <c r="K4" s="976"/>
      <c r="L4" s="976"/>
      <c r="M4" s="977"/>
      <c r="N4" s="976"/>
      <c r="O4" s="976"/>
      <c r="P4" s="976"/>
      <c r="Q4" s="976"/>
      <c r="R4" s="976"/>
      <c r="S4" s="1889" t="s">
        <v>1677</v>
      </c>
      <c r="T4" s="1889"/>
      <c r="U4" s="1889"/>
    </row>
    <row r="5" spans="1:25" ht="14.25" customHeight="1">
      <c r="A5" s="1890" t="s">
        <v>0</v>
      </c>
      <c r="B5" s="1890" t="s">
        <v>1</v>
      </c>
      <c r="C5" s="478"/>
      <c r="D5" s="1891" t="s">
        <v>1679</v>
      </c>
      <c r="E5" s="1892"/>
      <c r="F5" s="1883" t="s">
        <v>233</v>
      </c>
      <c r="G5" s="1884"/>
      <c r="H5" s="1883" t="s">
        <v>1909</v>
      </c>
      <c r="I5" s="1884"/>
      <c r="J5" s="1883" t="s">
        <v>1910</v>
      </c>
      <c r="K5" s="1884"/>
      <c r="L5" s="1883" t="s">
        <v>1911</v>
      </c>
      <c r="M5" s="1884"/>
      <c r="N5" s="1883" t="s">
        <v>1912</v>
      </c>
      <c r="O5" s="1884"/>
      <c r="P5" s="1883" t="s">
        <v>1913</v>
      </c>
      <c r="Q5" s="1884"/>
      <c r="R5" s="1883" t="s">
        <v>1914</v>
      </c>
      <c r="S5" s="1884"/>
      <c r="T5" s="1883" t="s">
        <v>1915</v>
      </c>
      <c r="U5" s="1885"/>
    </row>
    <row r="6" spans="1:25" ht="26.25" customHeight="1">
      <c r="A6" s="1890"/>
      <c r="B6" s="1890"/>
      <c r="C6" s="479"/>
      <c r="D6" s="480" t="s">
        <v>1916</v>
      </c>
      <c r="E6" s="978" t="s">
        <v>1917</v>
      </c>
      <c r="F6" s="480" t="s">
        <v>1916</v>
      </c>
      <c r="G6" s="978" t="s">
        <v>1917</v>
      </c>
      <c r="H6" s="480" t="s">
        <v>1916</v>
      </c>
      <c r="I6" s="978" t="s">
        <v>1917</v>
      </c>
      <c r="J6" s="480" t="s">
        <v>1916</v>
      </c>
      <c r="K6" s="978" t="s">
        <v>1917</v>
      </c>
      <c r="L6" s="480" t="s">
        <v>1916</v>
      </c>
      <c r="M6" s="978" t="s">
        <v>1917</v>
      </c>
      <c r="N6" s="480" t="s">
        <v>1916</v>
      </c>
      <c r="O6" s="978" t="s">
        <v>1917</v>
      </c>
      <c r="P6" s="480" t="s">
        <v>1916</v>
      </c>
      <c r="Q6" s="978" t="s">
        <v>1917</v>
      </c>
      <c r="R6" s="480" t="s">
        <v>1916</v>
      </c>
      <c r="S6" s="978" t="s">
        <v>1917</v>
      </c>
      <c r="T6" s="480" t="s">
        <v>1916</v>
      </c>
      <c r="U6" s="978" t="s">
        <v>1917</v>
      </c>
    </row>
    <row r="7" spans="1:25" ht="11.25" customHeight="1">
      <c r="A7" s="481" t="s">
        <v>2</v>
      </c>
      <c r="B7" s="481" t="s">
        <v>3</v>
      </c>
      <c r="C7" s="482"/>
      <c r="D7" s="483">
        <v>1</v>
      </c>
      <c r="E7" s="979">
        <v>2</v>
      </c>
      <c r="F7" s="481">
        <v>3</v>
      </c>
      <c r="G7" s="979">
        <v>4</v>
      </c>
      <c r="H7" s="481">
        <v>5</v>
      </c>
      <c r="I7" s="979">
        <v>6</v>
      </c>
      <c r="J7" s="481">
        <v>7</v>
      </c>
      <c r="K7" s="979">
        <v>8</v>
      </c>
      <c r="L7" s="481">
        <v>9</v>
      </c>
      <c r="M7" s="979">
        <v>10</v>
      </c>
      <c r="N7" s="481">
        <v>11</v>
      </c>
      <c r="O7" s="979">
        <v>12</v>
      </c>
      <c r="P7" s="481">
        <v>13</v>
      </c>
      <c r="Q7" s="979">
        <v>14</v>
      </c>
      <c r="R7" s="481">
        <v>15</v>
      </c>
      <c r="S7" s="979">
        <v>16</v>
      </c>
      <c r="T7" s="481">
        <v>17</v>
      </c>
      <c r="U7" s="979">
        <v>18</v>
      </c>
    </row>
    <row r="8" spans="1:25" ht="15" customHeight="1">
      <c r="A8" s="484"/>
      <c r="B8" s="484" t="s">
        <v>1679</v>
      </c>
      <c r="C8" s="485"/>
      <c r="D8" s="486">
        <f>F8+H8+J8+L8+N8+P8+R8+T8</f>
        <v>213115.50175499998</v>
      </c>
      <c r="E8" s="980">
        <f>E9+E61</f>
        <v>170434.150999</v>
      </c>
      <c r="F8" s="980">
        <f t="shared" ref="F8:U8" si="0">F9+F61</f>
        <v>14337.967489999999</v>
      </c>
      <c r="G8" s="980">
        <f t="shared" si="0"/>
        <v>13365.3</v>
      </c>
      <c r="H8" s="980">
        <f t="shared" si="0"/>
        <v>10569.950637999998</v>
      </c>
      <c r="I8" s="980">
        <f t="shared" si="0"/>
        <v>10794.423081999999</v>
      </c>
      <c r="J8" s="980">
        <f t="shared" si="0"/>
        <v>20467.584088</v>
      </c>
      <c r="K8" s="980">
        <f t="shared" si="0"/>
        <v>19071.030699999999</v>
      </c>
      <c r="L8" s="980">
        <f t="shared" si="0"/>
        <v>32656.134524000001</v>
      </c>
      <c r="M8" s="980">
        <f t="shared" si="0"/>
        <v>7132.7412409999997</v>
      </c>
      <c r="N8" s="980">
        <f t="shared" si="0"/>
        <v>41163.796559999995</v>
      </c>
      <c r="O8" s="980">
        <f t="shared" si="0"/>
        <v>23775.564040999998</v>
      </c>
      <c r="P8" s="980">
        <f t="shared" si="0"/>
        <v>26406.295720000002</v>
      </c>
      <c r="Q8" s="980">
        <f t="shared" si="0"/>
        <v>12131.295</v>
      </c>
      <c r="R8" s="980">
        <f t="shared" si="0"/>
        <v>36576.450773000004</v>
      </c>
      <c r="S8" s="980">
        <f t="shared" si="0"/>
        <v>40313.035373999999</v>
      </c>
      <c r="T8" s="980">
        <f t="shared" si="0"/>
        <v>30937.321962000002</v>
      </c>
      <c r="U8" s="980">
        <f t="shared" si="0"/>
        <v>43850.761560999999</v>
      </c>
    </row>
    <row r="9" spans="1:25" ht="15.75" customHeight="1">
      <c r="A9" s="487" t="s">
        <v>2</v>
      </c>
      <c r="B9" s="487" t="s">
        <v>1918</v>
      </c>
      <c r="C9" s="981">
        <f>C10+C22+C27+C33+C38+C52+C54</f>
        <v>170434.150999</v>
      </c>
      <c r="D9" s="982">
        <f>F9+H9+J9+L9+N9+P9+R9+T9</f>
        <v>168572.09231500002</v>
      </c>
      <c r="E9" s="983">
        <f>E10+E22+E27+E33+E38+E52+E54</f>
        <v>136409.98069600001</v>
      </c>
      <c r="F9" s="983">
        <v>13109.268479999999</v>
      </c>
      <c r="G9" s="983">
        <f>G10+G22+G27+G33+G38+G52+G54</f>
        <v>10676.099999999999</v>
      </c>
      <c r="H9" s="983">
        <v>7596.5816349999996</v>
      </c>
      <c r="I9" s="983">
        <f>I10+I22+I27+I33+I38+I52+I54</f>
        <v>9311.1430110000001</v>
      </c>
      <c r="J9" s="983">
        <v>19820.611787999998</v>
      </c>
      <c r="K9" s="983">
        <f>K10+K22+K27+K33+K38+K52+K54</f>
        <v>17695.750700000001</v>
      </c>
      <c r="L9" s="983">
        <v>28770.894617000002</v>
      </c>
      <c r="M9" s="983">
        <f>M10+M22+M27+M33+M38+M52+M54</f>
        <v>3567.8451239999995</v>
      </c>
      <c r="N9" s="983">
        <v>35039.785519999998</v>
      </c>
      <c r="O9" s="983">
        <f>O10+O22+O27+O33+O38+O52+O54</f>
        <v>21157.250040999999</v>
      </c>
      <c r="P9" s="983">
        <v>14227.232050000002</v>
      </c>
      <c r="Q9" s="983">
        <f>Q10+Q22+Q27+Q33+Q38+Q52+Q54</f>
        <v>5197.3150000000005</v>
      </c>
      <c r="R9" s="983">
        <v>20867.584273</v>
      </c>
      <c r="S9" s="983">
        <f>S10+S22+S27+S33+S38+S52+S54</f>
        <v>27290.507079999999</v>
      </c>
      <c r="T9" s="983">
        <v>29140.133952</v>
      </c>
      <c r="U9" s="1180">
        <f>U10+U22+U27+U33+U38+U52+U54</f>
        <v>41514.069739999999</v>
      </c>
      <c r="V9" s="1181"/>
    </row>
    <row r="10" spans="1:25" ht="54.75" customHeight="1">
      <c r="A10" s="487" t="s">
        <v>11</v>
      </c>
      <c r="B10" s="488" t="s">
        <v>1778</v>
      </c>
      <c r="C10" s="489">
        <f>E10+E62</f>
        <v>113509.67335</v>
      </c>
      <c r="D10" s="490"/>
      <c r="E10" s="983">
        <f>SUM(E11:E21)</f>
        <v>90606.124354</v>
      </c>
      <c r="F10" s="983"/>
      <c r="G10" s="983">
        <f>SUM(G11:G14)+SUM(G17:G21)</f>
        <v>5584.4</v>
      </c>
      <c r="H10" s="983"/>
      <c r="I10" s="983">
        <f>SUM(I11:I21)</f>
        <v>5334.1972690000002</v>
      </c>
      <c r="J10" s="983"/>
      <c r="K10" s="983">
        <f>K13+K15+K16+K17</f>
        <v>13395.91</v>
      </c>
      <c r="L10" s="983"/>
      <c r="M10" s="983">
        <f>M12+M13+M15</f>
        <v>1073.903217</v>
      </c>
      <c r="N10" s="983"/>
      <c r="O10" s="983">
        <f>SUM(O11:O21)</f>
        <v>11493.713</v>
      </c>
      <c r="P10" s="983">
        <f>SUM(P11:P14)+P17+P18+P19</f>
        <v>0</v>
      </c>
      <c r="Q10" s="983">
        <f>SUM(Q11:Q14)+Q17+Q18+Q19+Q20+Q21</f>
        <v>950.56500000000005</v>
      </c>
      <c r="R10" s="983"/>
      <c r="S10" s="983">
        <f>SUM(S11:S21)</f>
        <v>22137.811000000002</v>
      </c>
      <c r="T10" s="983"/>
      <c r="U10" s="983">
        <f>SUM(U11:U21)</f>
        <v>30635.624867999999</v>
      </c>
    </row>
    <row r="11" spans="1:25" s="495" customFormat="1" ht="18" customHeight="1">
      <c r="A11" s="491">
        <v>1</v>
      </c>
      <c r="B11" s="492" t="s">
        <v>1919</v>
      </c>
      <c r="C11" s="493"/>
      <c r="D11" s="494"/>
      <c r="E11" s="984">
        <f>G11+I11+K11+M11+O11+Q11+S11+U11</f>
        <v>2726.4</v>
      </c>
      <c r="F11" s="985"/>
      <c r="G11" s="985"/>
      <c r="H11" s="985"/>
      <c r="I11" s="985">
        <v>2726.4</v>
      </c>
      <c r="J11" s="985"/>
      <c r="K11" s="985"/>
      <c r="L11" s="985"/>
      <c r="M11" s="985"/>
      <c r="N11" s="985"/>
      <c r="O11" s="985"/>
      <c r="P11" s="985"/>
      <c r="Q11" s="985"/>
      <c r="R11" s="985"/>
      <c r="S11" s="983"/>
      <c r="T11" s="985"/>
      <c r="U11" s="985"/>
    </row>
    <row r="12" spans="1:25" s="495" customFormat="1" ht="12" customHeight="1">
      <c r="A12" s="491">
        <v>2</v>
      </c>
      <c r="B12" s="492" t="s">
        <v>1920</v>
      </c>
      <c r="C12" s="493"/>
      <c r="D12" s="494"/>
      <c r="E12" s="984">
        <f t="shared" ref="E12:E21" si="1">G12+I12+K12+M12+O12+Q12+S12+U12</f>
        <v>6249.1829999999991</v>
      </c>
      <c r="F12" s="985"/>
      <c r="G12" s="985">
        <f>4171.2+651.2</f>
        <v>4822.3999999999996</v>
      </c>
      <c r="H12" s="985"/>
      <c r="I12" s="985">
        <v>252.7</v>
      </c>
      <c r="J12" s="985"/>
      <c r="K12" s="985"/>
      <c r="L12" s="985"/>
      <c r="M12" s="985">
        <v>27.530999999999999</v>
      </c>
      <c r="N12" s="985"/>
      <c r="O12" s="985">
        <v>694.11599999999999</v>
      </c>
      <c r="P12" s="985"/>
      <c r="Q12" s="985"/>
      <c r="R12" s="985"/>
      <c r="S12" s="985">
        <v>58</v>
      </c>
      <c r="T12" s="985"/>
      <c r="U12" s="985">
        <v>394.43599999999998</v>
      </c>
    </row>
    <row r="13" spans="1:25" s="495" customFormat="1" ht="12" customHeight="1">
      <c r="A13" s="491">
        <v>3</v>
      </c>
      <c r="B13" s="492" t="s">
        <v>1921</v>
      </c>
      <c r="C13" s="493"/>
      <c r="D13" s="494"/>
      <c r="E13" s="984">
        <f t="shared" si="1"/>
        <v>13155.979692000001</v>
      </c>
      <c r="F13" s="985"/>
      <c r="G13" s="985">
        <v>742</v>
      </c>
      <c r="H13" s="985"/>
      <c r="I13" s="985">
        <f>285+45.233692</f>
        <v>330.23369200000002</v>
      </c>
      <c r="J13" s="985"/>
      <c r="K13" s="985">
        <v>5753.848</v>
      </c>
      <c r="L13" s="985"/>
      <c r="M13" s="985">
        <v>20</v>
      </c>
      <c r="N13" s="985"/>
      <c r="O13" s="985">
        <v>2250</v>
      </c>
      <c r="P13" s="985"/>
      <c r="Q13" s="985">
        <v>644.13400000000001</v>
      </c>
      <c r="R13" s="985"/>
      <c r="S13" s="985">
        <v>350</v>
      </c>
      <c r="T13" s="985"/>
      <c r="U13" s="985">
        <f>3058.976+6.788</f>
        <v>3065.7640000000001</v>
      </c>
    </row>
    <row r="14" spans="1:25" s="495" customFormat="1" ht="15">
      <c r="A14" s="491">
        <v>4</v>
      </c>
      <c r="B14" s="492" t="s">
        <v>1889</v>
      </c>
      <c r="C14" s="493"/>
      <c r="D14" s="494"/>
      <c r="E14" s="984">
        <f t="shared" si="1"/>
        <v>20</v>
      </c>
      <c r="F14" s="985"/>
      <c r="G14" s="985">
        <v>20</v>
      </c>
      <c r="H14" s="985"/>
      <c r="I14" s="985"/>
      <c r="J14" s="985"/>
      <c r="K14" s="985"/>
      <c r="L14" s="985"/>
      <c r="M14" s="985"/>
      <c r="N14" s="985"/>
      <c r="O14" s="985"/>
      <c r="P14" s="985"/>
      <c r="Q14" s="985"/>
      <c r="R14" s="985"/>
      <c r="S14" s="985"/>
      <c r="T14" s="985"/>
      <c r="U14" s="985"/>
      <c r="Y14" s="496"/>
    </row>
    <row r="15" spans="1:25" s="495" customFormat="1" ht="12" customHeight="1">
      <c r="A15" s="491">
        <v>5</v>
      </c>
      <c r="B15" s="492" t="s">
        <v>1922</v>
      </c>
      <c r="C15" s="493"/>
      <c r="D15" s="494"/>
      <c r="E15" s="984">
        <f t="shared" si="1"/>
        <v>57801.513543000001</v>
      </c>
      <c r="F15" s="985"/>
      <c r="G15" s="985"/>
      <c r="H15" s="985"/>
      <c r="I15" s="985">
        <v>123.71729999999999</v>
      </c>
      <c r="J15" s="985"/>
      <c r="K15" s="985">
        <v>4043.79</v>
      </c>
      <c r="L15" s="985"/>
      <c r="M15" s="985">
        <v>1026.3722170000001</v>
      </c>
      <c r="N15" s="985"/>
      <c r="O15" s="985">
        <v>8549.5969999999998</v>
      </c>
      <c r="P15" s="985"/>
      <c r="Q15" s="985"/>
      <c r="R15" s="985"/>
      <c r="S15" s="985">
        <f>11196.946+7432.865</f>
        <v>18629.811000000002</v>
      </c>
      <c r="T15" s="985"/>
      <c r="U15" s="985">
        <v>25428.226026</v>
      </c>
    </row>
    <row r="16" spans="1:25" s="495" customFormat="1" ht="12" customHeight="1">
      <c r="A16" s="491">
        <v>6</v>
      </c>
      <c r="B16" s="492" t="s">
        <v>1923</v>
      </c>
      <c r="C16" s="493"/>
      <c r="D16" s="494"/>
      <c r="E16" s="984">
        <f t="shared" si="1"/>
        <v>3302.4032710000001</v>
      </c>
      <c r="F16" s="985"/>
      <c r="G16" s="985"/>
      <c r="H16" s="985"/>
      <c r="I16" s="985">
        <v>641.14627700000005</v>
      </c>
      <c r="J16" s="985"/>
      <c r="K16" s="985">
        <v>1708.2719999999999</v>
      </c>
      <c r="L16" s="985"/>
      <c r="M16" s="985"/>
      <c r="N16" s="985"/>
      <c r="O16" s="985"/>
      <c r="P16" s="985"/>
      <c r="Q16" s="985"/>
      <c r="R16" s="985"/>
      <c r="S16" s="985"/>
      <c r="T16" s="985"/>
      <c r="U16" s="985">
        <v>952.98499400000037</v>
      </c>
    </row>
    <row r="17" spans="1:21" s="495" customFormat="1" ht="12" customHeight="1">
      <c r="A17" s="491">
        <v>7</v>
      </c>
      <c r="B17" s="492" t="s">
        <v>1924</v>
      </c>
      <c r="C17" s="493"/>
      <c r="D17" s="494"/>
      <c r="E17" s="984">
        <f t="shared" si="1"/>
        <v>2492.4138480000001</v>
      </c>
      <c r="F17" s="985"/>
      <c r="G17" s="985"/>
      <c r="H17" s="985"/>
      <c r="I17" s="985"/>
      <c r="J17" s="985"/>
      <c r="K17" s="985">
        <v>1890</v>
      </c>
      <c r="L17" s="985"/>
      <c r="M17" s="985"/>
      <c r="N17" s="985"/>
      <c r="O17" s="985"/>
      <c r="P17" s="985"/>
      <c r="Q17" s="985"/>
      <c r="R17" s="985"/>
      <c r="S17" s="985"/>
      <c r="T17" s="985"/>
      <c r="U17" s="985">
        <v>602.41384800000003</v>
      </c>
    </row>
    <row r="18" spans="1:21" s="495" customFormat="1" ht="16.5">
      <c r="A18" s="491">
        <v>8</v>
      </c>
      <c r="B18" s="492" t="s">
        <v>1925</v>
      </c>
      <c r="C18" s="493"/>
      <c r="D18" s="494"/>
      <c r="E18" s="984">
        <f t="shared" si="1"/>
        <v>191.8</v>
      </c>
      <c r="F18" s="985"/>
      <c r="G18" s="985"/>
      <c r="H18" s="985"/>
      <c r="I18" s="985"/>
      <c r="J18" s="985"/>
      <c r="K18" s="985"/>
      <c r="L18" s="985"/>
      <c r="M18" s="985"/>
      <c r="N18" s="985"/>
      <c r="O18" s="985"/>
      <c r="P18" s="985"/>
      <c r="Q18" s="985"/>
      <c r="R18" s="985"/>
      <c r="S18" s="985"/>
      <c r="T18" s="985"/>
      <c r="U18" s="985">
        <v>191.8</v>
      </c>
    </row>
    <row r="19" spans="1:21" s="495" customFormat="1" ht="16.5">
      <c r="A19" s="491">
        <v>9</v>
      </c>
      <c r="B19" s="492" t="s">
        <v>1926</v>
      </c>
      <c r="C19" s="493"/>
      <c r="D19" s="494"/>
      <c r="E19" s="984">
        <f t="shared" si="1"/>
        <v>4160</v>
      </c>
      <c r="F19" s="985"/>
      <c r="G19" s="985"/>
      <c r="H19" s="985"/>
      <c r="I19" s="985">
        <v>1260</v>
      </c>
      <c r="J19" s="985"/>
      <c r="K19" s="985"/>
      <c r="L19" s="985"/>
      <c r="M19" s="985"/>
      <c r="N19" s="985"/>
      <c r="O19" s="985"/>
      <c r="P19" s="985"/>
      <c r="Q19" s="985"/>
      <c r="R19" s="985"/>
      <c r="S19" s="985">
        <f>400+200+2300</f>
        <v>2900</v>
      </c>
      <c r="T19" s="985"/>
      <c r="U19" s="985"/>
    </row>
    <row r="20" spans="1:21" s="495" customFormat="1" ht="12" customHeight="1">
      <c r="A20" s="491">
        <v>10</v>
      </c>
      <c r="B20" s="492" t="s">
        <v>1927</v>
      </c>
      <c r="C20" s="493"/>
      <c r="D20" s="494"/>
      <c r="E20" s="984">
        <f t="shared" si="1"/>
        <v>443.87</v>
      </c>
      <c r="F20" s="985"/>
      <c r="G20" s="985"/>
      <c r="H20" s="985"/>
      <c r="I20" s="985"/>
      <c r="J20" s="985"/>
      <c r="K20" s="985"/>
      <c r="L20" s="985"/>
      <c r="M20" s="985"/>
      <c r="N20" s="985"/>
      <c r="O20" s="985"/>
      <c r="P20" s="985"/>
      <c r="Q20" s="985">
        <v>243.87</v>
      </c>
      <c r="R20" s="985"/>
      <c r="S20" s="985">
        <v>200</v>
      </c>
      <c r="T20" s="985"/>
      <c r="U20" s="985"/>
    </row>
    <row r="21" spans="1:21" s="495" customFormat="1" ht="12" customHeight="1">
      <c r="A21" s="491">
        <v>11</v>
      </c>
      <c r="B21" s="492" t="s">
        <v>1928</v>
      </c>
      <c r="C21" s="493"/>
      <c r="D21" s="494"/>
      <c r="E21" s="984">
        <f t="shared" si="1"/>
        <v>62.561</v>
      </c>
      <c r="F21" s="985"/>
      <c r="G21" s="985"/>
      <c r="H21" s="985"/>
      <c r="I21" s="985"/>
      <c r="J21" s="985"/>
      <c r="K21" s="985"/>
      <c r="L21" s="985"/>
      <c r="M21" s="985"/>
      <c r="N21" s="985"/>
      <c r="O21" s="985"/>
      <c r="P21" s="985"/>
      <c r="Q21" s="985">
        <v>62.561</v>
      </c>
      <c r="R21" s="985"/>
      <c r="S21" s="985"/>
      <c r="T21" s="985"/>
      <c r="U21" s="985"/>
    </row>
    <row r="22" spans="1:21" s="499" customFormat="1" ht="24.75">
      <c r="A22" s="487" t="s">
        <v>7</v>
      </c>
      <c r="B22" s="488" t="s">
        <v>1929</v>
      </c>
      <c r="C22" s="497">
        <f>E22+E66</f>
        <v>68</v>
      </c>
      <c r="D22" s="498"/>
      <c r="E22" s="983">
        <f>SUM(E23:E26)</f>
        <v>68</v>
      </c>
      <c r="F22" s="983"/>
      <c r="G22" s="986"/>
      <c r="H22" s="986"/>
      <c r="I22" s="986">
        <f>I23</f>
        <v>68</v>
      </c>
      <c r="J22" s="983"/>
      <c r="K22" s="986"/>
      <c r="L22" s="986"/>
      <c r="M22" s="986"/>
      <c r="N22" s="983"/>
      <c r="O22" s="986">
        <v>0</v>
      </c>
      <c r="P22" s="986"/>
      <c r="Q22" s="986">
        <v>0</v>
      </c>
      <c r="R22" s="983"/>
      <c r="S22" s="986"/>
      <c r="T22" s="986"/>
      <c r="U22" s="986"/>
    </row>
    <row r="23" spans="1:21" ht="12" customHeight="1">
      <c r="A23" s="487">
        <v>1</v>
      </c>
      <c r="B23" s="500" t="s">
        <v>1930</v>
      </c>
      <c r="C23" s="501"/>
      <c r="D23" s="494"/>
      <c r="E23" s="984">
        <f>G23+I23+K23+M23+O23+Q23+S23+U23</f>
        <v>68</v>
      </c>
      <c r="F23" s="986"/>
      <c r="G23" s="986"/>
      <c r="H23" s="986"/>
      <c r="I23" s="985">
        <v>68</v>
      </c>
      <c r="J23" s="986"/>
      <c r="K23" s="986"/>
      <c r="L23" s="986"/>
      <c r="M23" s="986"/>
      <c r="N23" s="986"/>
      <c r="O23" s="986"/>
      <c r="P23" s="986"/>
      <c r="Q23" s="986"/>
      <c r="R23" s="986"/>
      <c r="S23" s="986"/>
      <c r="T23" s="986"/>
      <c r="U23" s="986"/>
    </row>
    <row r="24" spans="1:21" ht="12" hidden="1" customHeight="1">
      <c r="A24" s="491">
        <v>2</v>
      </c>
      <c r="B24" s="500"/>
      <c r="C24" s="501"/>
      <c r="D24" s="494"/>
      <c r="E24" s="984">
        <f t="shared" ref="E24:E32" si="2">G24+I24+K24+M24+O24+Q24+S24+U24</f>
        <v>0</v>
      </c>
      <c r="F24" s="986"/>
      <c r="G24" s="986"/>
      <c r="H24" s="986"/>
      <c r="I24" s="986"/>
      <c r="J24" s="986"/>
      <c r="K24" s="986"/>
      <c r="L24" s="986"/>
      <c r="M24" s="986"/>
      <c r="N24" s="986"/>
      <c r="O24" s="986"/>
      <c r="P24" s="986"/>
      <c r="Q24" s="986"/>
      <c r="R24" s="986"/>
      <c r="S24" s="986"/>
      <c r="T24" s="986"/>
      <c r="U24" s="986"/>
    </row>
    <row r="25" spans="1:21" ht="12" hidden="1" customHeight="1">
      <c r="A25" s="491">
        <v>3</v>
      </c>
      <c r="B25" s="500"/>
      <c r="C25" s="501"/>
      <c r="D25" s="494"/>
      <c r="E25" s="984">
        <f t="shared" si="2"/>
        <v>0</v>
      </c>
      <c r="F25" s="986"/>
      <c r="G25" s="986"/>
      <c r="H25" s="986"/>
      <c r="I25" s="986"/>
      <c r="J25" s="986"/>
      <c r="K25" s="986"/>
      <c r="L25" s="986"/>
      <c r="M25" s="986"/>
      <c r="N25" s="986"/>
      <c r="O25" s="986"/>
      <c r="P25" s="986"/>
      <c r="Q25" s="986"/>
      <c r="R25" s="986"/>
      <c r="S25" s="986"/>
      <c r="T25" s="986"/>
      <c r="U25" s="986"/>
    </row>
    <row r="26" spans="1:21" ht="12" hidden="1" customHeight="1">
      <c r="A26" s="487"/>
      <c r="B26" s="500" t="s">
        <v>1931</v>
      </c>
      <c r="C26" s="501"/>
      <c r="D26" s="494"/>
      <c r="E26" s="984">
        <f t="shared" si="2"/>
        <v>0</v>
      </c>
      <c r="F26" s="986"/>
      <c r="G26" s="986"/>
      <c r="H26" s="986"/>
      <c r="I26" s="986"/>
      <c r="J26" s="986"/>
      <c r="K26" s="986"/>
      <c r="L26" s="986"/>
      <c r="M26" s="986"/>
      <c r="N26" s="986"/>
      <c r="O26" s="986"/>
      <c r="P26" s="986"/>
      <c r="Q26" s="986"/>
      <c r="R26" s="986"/>
      <c r="S26" s="986"/>
      <c r="T26" s="986"/>
      <c r="U26" s="986"/>
    </row>
    <row r="27" spans="1:21" s="499" customFormat="1" ht="27" customHeight="1">
      <c r="A27" s="487" t="s">
        <v>8</v>
      </c>
      <c r="B27" s="502" t="s">
        <v>1769</v>
      </c>
      <c r="C27" s="497">
        <f>E27+E71</f>
        <v>12668.188613999999</v>
      </c>
      <c r="D27" s="498"/>
      <c r="E27" s="983">
        <f>E28+E29</f>
        <v>9046.5304219999998</v>
      </c>
      <c r="F27" s="983"/>
      <c r="G27" s="986">
        <f>G28</f>
        <v>1430.4</v>
      </c>
      <c r="H27" s="986"/>
      <c r="I27" s="986">
        <f>I28</f>
        <v>2247.1643719999997</v>
      </c>
      <c r="J27" s="983"/>
      <c r="K27" s="986">
        <f>K28</f>
        <v>1971.9960000000001</v>
      </c>
      <c r="L27" s="986"/>
      <c r="M27" s="986">
        <f>M28</f>
        <v>25.625086</v>
      </c>
      <c r="N27" s="983"/>
      <c r="O27" s="986">
        <f>SUM(O28:O32)</f>
        <v>2107.448175</v>
      </c>
      <c r="P27" s="986"/>
      <c r="Q27" s="986">
        <f>Q28</f>
        <v>320.17</v>
      </c>
      <c r="R27" s="983"/>
      <c r="S27" s="986">
        <f>S29</f>
        <v>576.6096</v>
      </c>
      <c r="T27" s="986"/>
      <c r="U27" s="986">
        <f>U28</f>
        <v>367.117189</v>
      </c>
    </row>
    <row r="28" spans="1:21" ht="12" customHeight="1">
      <c r="A28" s="491">
        <v>1</v>
      </c>
      <c r="B28" s="492" t="s">
        <v>1932</v>
      </c>
      <c r="C28" s="493"/>
      <c r="D28" s="494"/>
      <c r="E28" s="984">
        <f>G28+I28+K28+M28+O28+Q28+S28+U28</f>
        <v>8014.3628220000001</v>
      </c>
      <c r="F28" s="986"/>
      <c r="G28" s="986">
        <v>1430.4</v>
      </c>
      <c r="H28" s="986"/>
      <c r="I28" s="985">
        <f>16.633814+51.205+354.450248+1824.87531</f>
        <v>2247.1643719999997</v>
      </c>
      <c r="J28" s="986"/>
      <c r="K28" s="985">
        <v>1971.9960000000001</v>
      </c>
      <c r="L28" s="986"/>
      <c r="M28" s="985">
        <v>25.625086</v>
      </c>
      <c r="N28" s="986"/>
      <c r="O28" s="985">
        <v>1651.890175</v>
      </c>
      <c r="P28" s="986"/>
      <c r="Q28" s="985">
        <v>320.17</v>
      </c>
      <c r="R28" s="986"/>
      <c r="S28" s="986"/>
      <c r="T28" s="986"/>
      <c r="U28" s="985">
        <v>367.117189</v>
      </c>
    </row>
    <row r="29" spans="1:21" s="495" customFormat="1" ht="16.5">
      <c r="A29" s="491">
        <v>2</v>
      </c>
      <c r="B29" s="492" t="s">
        <v>1933</v>
      </c>
      <c r="C29" s="493"/>
      <c r="D29" s="494"/>
      <c r="E29" s="984">
        <f>G29+I29+K29+M29+O29+Q29+S29+U29</f>
        <v>1032.1676</v>
      </c>
      <c r="F29" s="985"/>
      <c r="G29" s="985"/>
      <c r="H29" s="985"/>
      <c r="I29" s="985"/>
      <c r="J29" s="985"/>
      <c r="K29" s="985"/>
      <c r="L29" s="985"/>
      <c r="M29" s="985"/>
      <c r="N29" s="985"/>
      <c r="O29" s="985">
        <v>455.55799999999999</v>
      </c>
      <c r="P29" s="985"/>
      <c r="Q29" s="985"/>
      <c r="R29" s="985"/>
      <c r="S29" s="985">
        <v>576.6096</v>
      </c>
      <c r="T29" s="985"/>
      <c r="U29" s="985"/>
    </row>
    <row r="30" spans="1:21" s="495" customFormat="1" ht="12" hidden="1" customHeight="1">
      <c r="A30" s="491"/>
      <c r="B30" s="500"/>
      <c r="C30" s="501"/>
      <c r="D30" s="494"/>
      <c r="E30" s="984">
        <f t="shared" si="2"/>
        <v>0</v>
      </c>
      <c r="F30" s="985"/>
      <c r="G30" s="985"/>
      <c r="H30" s="985"/>
      <c r="I30" s="985"/>
      <c r="J30" s="985"/>
      <c r="K30" s="985"/>
      <c r="L30" s="985"/>
      <c r="M30" s="985"/>
      <c r="N30" s="985"/>
      <c r="O30" s="985"/>
      <c r="P30" s="985"/>
      <c r="Q30" s="985"/>
      <c r="R30" s="985"/>
      <c r="S30" s="985"/>
      <c r="T30" s="985"/>
      <c r="U30" s="985"/>
    </row>
    <row r="31" spans="1:21" s="495" customFormat="1" ht="12" hidden="1" customHeight="1">
      <c r="A31" s="491"/>
      <c r="B31" s="500"/>
      <c r="C31" s="501"/>
      <c r="D31" s="494"/>
      <c r="E31" s="984">
        <f t="shared" si="2"/>
        <v>0</v>
      </c>
      <c r="F31" s="985"/>
      <c r="G31" s="985"/>
      <c r="H31" s="985"/>
      <c r="I31" s="985"/>
      <c r="J31" s="985"/>
      <c r="K31" s="985"/>
      <c r="L31" s="985"/>
      <c r="M31" s="985"/>
      <c r="N31" s="985"/>
      <c r="O31" s="985"/>
      <c r="P31" s="985"/>
      <c r="Q31" s="985"/>
      <c r="R31" s="985"/>
      <c r="S31" s="985"/>
      <c r="T31" s="985"/>
      <c r="U31" s="985"/>
    </row>
    <row r="32" spans="1:21" s="495" customFormat="1" ht="12" hidden="1" customHeight="1">
      <c r="A32" s="491"/>
      <c r="B32" s="500"/>
      <c r="C32" s="501"/>
      <c r="D32" s="494"/>
      <c r="E32" s="984">
        <f t="shared" si="2"/>
        <v>0</v>
      </c>
      <c r="F32" s="985"/>
      <c r="G32" s="985"/>
      <c r="H32" s="985"/>
      <c r="I32" s="985"/>
      <c r="J32" s="985"/>
      <c r="K32" s="985"/>
      <c r="L32" s="985"/>
      <c r="M32" s="985"/>
      <c r="N32" s="985"/>
      <c r="O32" s="985"/>
      <c r="P32" s="985"/>
      <c r="Q32" s="985"/>
      <c r="R32" s="985"/>
      <c r="S32" s="985"/>
      <c r="T32" s="985"/>
      <c r="U32" s="985"/>
    </row>
    <row r="33" spans="1:21" s="499" customFormat="1" ht="32.25" customHeight="1">
      <c r="A33" s="487" t="s">
        <v>9</v>
      </c>
      <c r="B33" s="502" t="s">
        <v>1840</v>
      </c>
      <c r="C33" s="497">
        <f>E33+E76</f>
        <v>11654.102051000002</v>
      </c>
      <c r="D33" s="498"/>
      <c r="E33" s="983">
        <f>SUM(E34:E37)</f>
        <v>11654.102051000002</v>
      </c>
      <c r="F33" s="983"/>
      <c r="G33" s="986"/>
      <c r="H33" s="986"/>
      <c r="I33" s="986"/>
      <c r="J33" s="983"/>
      <c r="K33" s="986"/>
      <c r="L33" s="986"/>
      <c r="M33" s="986">
        <f>M36+M35</f>
        <v>1123.465735</v>
      </c>
      <c r="N33" s="983"/>
      <c r="O33" s="986">
        <v>4298.3567130000001</v>
      </c>
      <c r="P33" s="986"/>
      <c r="Q33" s="986"/>
      <c r="R33" s="983"/>
      <c r="S33" s="986">
        <f>S35+S37</f>
        <v>3375.9430000000002</v>
      </c>
      <c r="T33" s="986"/>
      <c r="U33" s="986">
        <v>2856.3366030000002</v>
      </c>
    </row>
    <row r="34" spans="1:21" ht="12" hidden="1" customHeight="1">
      <c r="A34" s="487"/>
      <c r="B34" s="500" t="s">
        <v>28</v>
      </c>
      <c r="C34" s="501"/>
      <c r="D34" s="494"/>
      <c r="E34" s="983"/>
      <c r="F34" s="986"/>
      <c r="G34" s="986"/>
      <c r="H34" s="986"/>
      <c r="I34" s="986"/>
      <c r="J34" s="986"/>
      <c r="K34" s="986"/>
      <c r="L34" s="986"/>
      <c r="M34" s="986"/>
      <c r="N34" s="986"/>
      <c r="O34" s="986"/>
      <c r="P34" s="986"/>
      <c r="Q34" s="986"/>
      <c r="R34" s="986"/>
      <c r="S34" s="986"/>
      <c r="T34" s="986"/>
      <c r="U34" s="986"/>
    </row>
    <row r="35" spans="1:21" ht="18" customHeight="1">
      <c r="A35" s="491">
        <v>1</v>
      </c>
      <c r="B35" s="492" t="s">
        <v>1934</v>
      </c>
      <c r="C35" s="493"/>
      <c r="D35" s="494"/>
      <c r="E35" s="984">
        <f>G35+I35+K35+M35+O35+Q35+S35+U35</f>
        <v>2353.1109900000001</v>
      </c>
      <c r="F35" s="986"/>
      <c r="G35" s="986"/>
      <c r="H35" s="986"/>
      <c r="I35" s="986"/>
      <c r="J35" s="986"/>
      <c r="K35" s="986"/>
      <c r="L35" s="986"/>
      <c r="M35" s="985">
        <v>509.81398999999999</v>
      </c>
      <c r="N35" s="986"/>
      <c r="O35" s="986"/>
      <c r="P35" s="986"/>
      <c r="Q35" s="986"/>
      <c r="R35" s="986"/>
      <c r="S35" s="985">
        <v>1843.297</v>
      </c>
      <c r="T35" s="986"/>
      <c r="U35" s="986"/>
    </row>
    <row r="36" spans="1:21" ht="16.5">
      <c r="A36" s="491">
        <v>2</v>
      </c>
      <c r="B36" s="492" t="s">
        <v>1935</v>
      </c>
      <c r="C36" s="493"/>
      <c r="D36" s="494"/>
      <c r="E36" s="984">
        <f>G36+I36+K36+M36+O36+Q36+S36+U36</f>
        <v>7768.345061</v>
      </c>
      <c r="F36" s="986"/>
      <c r="G36" s="986"/>
      <c r="H36" s="986"/>
      <c r="I36" s="986"/>
      <c r="J36" s="986"/>
      <c r="K36" s="986"/>
      <c r="L36" s="986"/>
      <c r="M36" s="985">
        <v>613.65174500000001</v>
      </c>
      <c r="N36" s="986"/>
      <c r="O36" s="985">
        <f>O33</f>
        <v>4298.3567130000001</v>
      </c>
      <c r="P36" s="986"/>
      <c r="Q36" s="986"/>
      <c r="R36" s="986"/>
      <c r="S36" s="985"/>
      <c r="T36" s="986"/>
      <c r="U36" s="985">
        <f>U33</f>
        <v>2856.3366030000002</v>
      </c>
    </row>
    <row r="37" spans="1:21" s="495" customFormat="1" ht="18.75" customHeight="1">
      <c r="A37" s="491">
        <v>3</v>
      </c>
      <c r="B37" s="492" t="s">
        <v>1936</v>
      </c>
      <c r="C37" s="493"/>
      <c r="D37" s="494"/>
      <c r="E37" s="984">
        <f>G37+I37+K37+M37+O37+Q37+S37+U37</f>
        <v>1532.646</v>
      </c>
      <c r="F37" s="985"/>
      <c r="G37" s="985"/>
      <c r="H37" s="985"/>
      <c r="I37" s="985"/>
      <c r="J37" s="985"/>
      <c r="K37" s="985"/>
      <c r="L37" s="985"/>
      <c r="M37" s="985"/>
      <c r="N37" s="985"/>
      <c r="O37" s="985"/>
      <c r="P37" s="985"/>
      <c r="Q37" s="985"/>
      <c r="R37" s="985"/>
      <c r="S37" s="985">
        <v>1532.646</v>
      </c>
      <c r="T37" s="985"/>
      <c r="U37" s="985"/>
    </row>
    <row r="38" spans="1:21" s="499" customFormat="1" ht="44.25" customHeight="1">
      <c r="A38" s="487" t="s">
        <v>23</v>
      </c>
      <c r="B38" s="488" t="s">
        <v>1770</v>
      </c>
      <c r="C38" s="497">
        <f>E38+E81</f>
        <v>23661.682510000002</v>
      </c>
      <c r="D38" s="498"/>
      <c r="E38" s="983">
        <f>SUM(E39:E51)</f>
        <v>16574.079395000001</v>
      </c>
      <c r="F38" s="983"/>
      <c r="G38" s="986">
        <f>SUM(G39:G51)</f>
        <v>3661.3</v>
      </c>
      <c r="H38" s="986"/>
      <c r="I38" s="986">
        <f>SUM(I39:I51)</f>
        <v>729.44917599999997</v>
      </c>
      <c r="J38" s="983"/>
      <c r="K38" s="986">
        <f>SUM(K45:K50)</f>
        <v>2177.9055000000003</v>
      </c>
      <c r="L38" s="986"/>
      <c r="M38" s="986">
        <f>M46+M51</f>
        <v>838.66213600000003</v>
      </c>
      <c r="N38" s="983"/>
      <c r="O38" s="986">
        <f t="shared" ref="O38:T38" si="3">SUM(O39:O51)</f>
        <v>3233.172153</v>
      </c>
      <c r="P38" s="986">
        <f t="shared" si="3"/>
        <v>0</v>
      </c>
      <c r="Q38" s="986">
        <f t="shared" si="3"/>
        <v>2043.21</v>
      </c>
      <c r="R38" s="986">
        <f t="shared" si="3"/>
        <v>0</v>
      </c>
      <c r="S38" s="986">
        <f>SUM(S39:S51)</f>
        <v>1200.14348</v>
      </c>
      <c r="T38" s="986">
        <f t="shared" si="3"/>
        <v>0</v>
      </c>
      <c r="U38" s="986">
        <f>SUM(U39:U51)</f>
        <v>2690.23695</v>
      </c>
    </row>
    <row r="39" spans="1:21" s="495" customFormat="1" ht="15">
      <c r="A39" s="491">
        <v>1</v>
      </c>
      <c r="B39" s="492" t="s">
        <v>1937</v>
      </c>
      <c r="C39" s="493"/>
      <c r="D39" s="494"/>
      <c r="E39" s="984">
        <f>G39+I39+K39+M39+O39+Q39+S39+U39</f>
        <v>40.982436</v>
      </c>
      <c r="F39" s="985"/>
      <c r="G39" s="985"/>
      <c r="H39" s="985"/>
      <c r="I39" s="985">
        <v>40.982436</v>
      </c>
      <c r="J39" s="985"/>
      <c r="K39" s="985"/>
      <c r="L39" s="985"/>
      <c r="M39" s="985"/>
      <c r="N39" s="985"/>
      <c r="O39" s="985"/>
      <c r="P39" s="985"/>
      <c r="Q39" s="985"/>
      <c r="R39" s="985"/>
      <c r="S39" s="985"/>
      <c r="T39" s="985"/>
      <c r="U39" s="985"/>
    </row>
    <row r="40" spans="1:21" s="495" customFormat="1" ht="16.5">
      <c r="A40" s="491">
        <v>2</v>
      </c>
      <c r="B40" s="492" t="s">
        <v>1938</v>
      </c>
      <c r="C40" s="493"/>
      <c r="D40" s="494"/>
      <c r="E40" s="984">
        <f t="shared" ref="E40:E51" si="4">G40+I40+K40+M40+O40+Q40+S40+U40</f>
        <v>4.0426799999999998</v>
      </c>
      <c r="F40" s="985"/>
      <c r="G40" s="985"/>
      <c r="H40" s="985"/>
      <c r="I40" s="985">
        <v>4.0426799999999998</v>
      </c>
      <c r="J40" s="985"/>
      <c r="K40" s="985"/>
      <c r="L40" s="985"/>
      <c r="M40" s="985"/>
      <c r="N40" s="985"/>
      <c r="O40" s="985"/>
      <c r="P40" s="985"/>
      <c r="Q40" s="985"/>
      <c r="R40" s="985"/>
      <c r="S40" s="985"/>
      <c r="T40" s="985"/>
      <c r="U40" s="985"/>
    </row>
    <row r="41" spans="1:21" s="495" customFormat="1" ht="16.5">
      <c r="A41" s="491">
        <v>3</v>
      </c>
      <c r="B41" s="492" t="s">
        <v>1939</v>
      </c>
      <c r="C41" s="493"/>
      <c r="D41" s="494"/>
      <c r="E41" s="984">
        <f t="shared" si="4"/>
        <v>69.197059999999993</v>
      </c>
      <c r="F41" s="985"/>
      <c r="G41" s="985"/>
      <c r="H41" s="985"/>
      <c r="I41" s="985">
        <f>9.28932+59.90774</f>
        <v>69.197059999999993</v>
      </c>
      <c r="J41" s="985"/>
      <c r="K41" s="985"/>
      <c r="L41" s="985"/>
      <c r="M41" s="985"/>
      <c r="N41" s="985"/>
      <c r="O41" s="985"/>
      <c r="P41" s="985"/>
      <c r="Q41" s="985"/>
      <c r="R41" s="985"/>
      <c r="S41" s="985"/>
      <c r="T41" s="985"/>
      <c r="U41" s="985"/>
    </row>
    <row r="42" spans="1:21" s="495" customFormat="1" ht="24.75">
      <c r="A42" s="491">
        <v>4</v>
      </c>
      <c r="B42" s="492" t="s">
        <v>1940</v>
      </c>
      <c r="C42" s="493"/>
      <c r="D42" s="494"/>
      <c r="E42" s="984">
        <f t="shared" si="4"/>
        <v>4.66</v>
      </c>
      <c r="F42" s="985"/>
      <c r="G42" s="985"/>
      <c r="H42" s="985"/>
      <c r="I42" s="985">
        <v>4.66</v>
      </c>
      <c r="J42" s="985"/>
      <c r="K42" s="985"/>
      <c r="L42" s="985"/>
      <c r="M42" s="985"/>
      <c r="N42" s="985"/>
      <c r="O42" s="985"/>
      <c r="P42" s="985"/>
      <c r="Q42" s="985"/>
      <c r="R42" s="985"/>
      <c r="S42" s="985"/>
      <c r="T42" s="985"/>
      <c r="U42" s="985"/>
    </row>
    <row r="43" spans="1:21" s="495" customFormat="1" ht="16.5">
      <c r="A43" s="491">
        <v>5</v>
      </c>
      <c r="B43" s="492" t="s">
        <v>1941</v>
      </c>
      <c r="C43" s="493"/>
      <c r="D43" s="494"/>
      <c r="E43" s="984">
        <f t="shared" si="4"/>
        <v>166.553</v>
      </c>
      <c r="F43" s="985"/>
      <c r="G43" s="985"/>
      <c r="H43" s="985"/>
      <c r="I43" s="985">
        <v>166.553</v>
      </c>
      <c r="J43" s="985"/>
      <c r="K43" s="985"/>
      <c r="L43" s="985"/>
      <c r="M43" s="985"/>
      <c r="N43" s="985"/>
      <c r="O43" s="985"/>
      <c r="P43" s="985"/>
      <c r="Q43" s="985"/>
      <c r="R43" s="985"/>
      <c r="S43" s="985"/>
      <c r="T43" s="985"/>
      <c r="U43" s="985"/>
    </row>
    <row r="44" spans="1:21" s="495" customFormat="1" ht="15">
      <c r="A44" s="491">
        <v>6</v>
      </c>
      <c r="B44" s="492" t="s">
        <v>1942</v>
      </c>
      <c r="C44" s="493"/>
      <c r="D44" s="494"/>
      <c r="E44" s="984">
        <f t="shared" si="4"/>
        <v>700.80400000000009</v>
      </c>
      <c r="F44" s="985"/>
      <c r="G44" s="985"/>
      <c r="H44" s="985"/>
      <c r="I44" s="985">
        <v>440.01400000000001</v>
      </c>
      <c r="J44" s="985"/>
      <c r="K44" s="985"/>
      <c r="L44" s="985"/>
      <c r="M44" s="985"/>
      <c r="N44" s="985"/>
      <c r="O44" s="985"/>
      <c r="P44" s="985"/>
      <c r="Q44" s="985">
        <v>260.79000000000002</v>
      </c>
      <c r="R44" s="985"/>
      <c r="S44" s="985"/>
      <c r="T44" s="985"/>
      <c r="U44" s="985"/>
    </row>
    <row r="45" spans="1:21" s="495" customFormat="1" ht="16.5">
      <c r="A45" s="491">
        <v>7</v>
      </c>
      <c r="B45" s="492" t="s">
        <v>1943</v>
      </c>
      <c r="C45" s="493"/>
      <c r="D45" s="494"/>
      <c r="E45" s="984">
        <f t="shared" si="4"/>
        <v>396</v>
      </c>
      <c r="F45" s="985"/>
      <c r="G45" s="985"/>
      <c r="H45" s="985"/>
      <c r="I45" s="985">
        <v>4</v>
      </c>
      <c r="J45" s="985"/>
      <c r="K45" s="985">
        <v>14</v>
      </c>
      <c r="L45" s="985"/>
      <c r="M45" s="985"/>
      <c r="N45" s="985"/>
      <c r="O45" s="985"/>
      <c r="P45" s="985"/>
      <c r="Q45" s="985">
        <v>30</v>
      </c>
      <c r="R45" s="985"/>
      <c r="S45" s="985">
        <v>348</v>
      </c>
      <c r="T45" s="985"/>
      <c r="U45" s="985"/>
    </row>
    <row r="46" spans="1:21" s="495" customFormat="1" ht="21.75" customHeight="1">
      <c r="A46" s="491">
        <v>8</v>
      </c>
      <c r="B46" s="492" t="s">
        <v>1926</v>
      </c>
      <c r="C46" s="493"/>
      <c r="D46" s="494"/>
      <c r="E46" s="984">
        <f t="shared" si="4"/>
        <v>8239.252536</v>
      </c>
      <c r="F46" s="985"/>
      <c r="G46" s="985">
        <v>3000</v>
      </c>
      <c r="H46" s="985"/>
      <c r="I46" s="985"/>
      <c r="J46" s="985"/>
      <c r="K46" s="985">
        <v>489.69639999999998</v>
      </c>
      <c r="L46" s="985"/>
      <c r="M46" s="985">
        <v>151.923136</v>
      </c>
      <c r="N46" s="985"/>
      <c r="O46" s="985">
        <v>850</v>
      </c>
      <c r="P46" s="985"/>
      <c r="Q46" s="985">
        <v>1350</v>
      </c>
      <c r="R46" s="985"/>
      <c r="S46" s="985"/>
      <c r="T46" s="985"/>
      <c r="U46" s="985">
        <v>2397.6329999999998</v>
      </c>
    </row>
    <row r="47" spans="1:21" s="495" customFormat="1" ht="12.75" customHeight="1">
      <c r="A47" s="491">
        <v>9</v>
      </c>
      <c r="B47" s="492" t="s">
        <v>1944</v>
      </c>
      <c r="C47" s="493"/>
      <c r="D47" s="494"/>
      <c r="E47" s="984">
        <f t="shared" si="4"/>
        <v>738.89866000000006</v>
      </c>
      <c r="F47" s="985"/>
      <c r="G47" s="985">
        <v>13.1</v>
      </c>
      <c r="H47" s="985"/>
      <c r="I47" s="985"/>
      <c r="J47" s="985"/>
      <c r="K47" s="985"/>
      <c r="L47" s="985"/>
      <c r="M47" s="985"/>
      <c r="N47" s="985"/>
      <c r="O47" s="985">
        <v>471.67766</v>
      </c>
      <c r="P47" s="985"/>
      <c r="Q47" s="985"/>
      <c r="R47" s="985"/>
      <c r="S47" s="985">
        <v>254.12100000000001</v>
      </c>
      <c r="T47" s="985"/>
      <c r="U47" s="985"/>
    </row>
    <row r="48" spans="1:21" s="495" customFormat="1" ht="16.5">
      <c r="A48" s="491">
        <v>10</v>
      </c>
      <c r="B48" s="492" t="s">
        <v>1945</v>
      </c>
      <c r="C48" s="493"/>
      <c r="D48" s="494"/>
      <c r="E48" s="984">
        <f t="shared" si="4"/>
        <v>3612.8330730000002</v>
      </c>
      <c r="F48" s="985"/>
      <c r="G48" s="985">
        <v>57.9</v>
      </c>
      <c r="H48" s="985"/>
      <c r="I48" s="985"/>
      <c r="J48" s="985"/>
      <c r="K48" s="985">
        <v>1445.2161000000001</v>
      </c>
      <c r="L48" s="985"/>
      <c r="M48" s="985"/>
      <c r="N48" s="985"/>
      <c r="O48" s="985">
        <v>1911.4944929999999</v>
      </c>
      <c r="P48" s="985"/>
      <c r="Q48" s="985"/>
      <c r="R48" s="985"/>
      <c r="S48" s="985">
        <v>198.22247999999999</v>
      </c>
      <c r="T48" s="985"/>
      <c r="U48" s="985"/>
    </row>
    <row r="49" spans="1:21" s="495" customFormat="1" ht="17.25" customHeight="1">
      <c r="A49" s="491">
        <v>12</v>
      </c>
      <c r="B49" s="492" t="s">
        <v>1933</v>
      </c>
      <c r="C49" s="493"/>
      <c r="D49" s="494"/>
      <c r="E49" s="984">
        <f t="shared" si="4"/>
        <v>793.49299999999994</v>
      </c>
      <c r="F49" s="985"/>
      <c r="G49" s="985">
        <v>564.5</v>
      </c>
      <c r="H49" s="985"/>
      <c r="I49" s="985"/>
      <c r="J49" s="985"/>
      <c r="K49" s="985">
        <v>228.99299999999999</v>
      </c>
      <c r="L49" s="985"/>
      <c r="M49" s="985"/>
      <c r="N49" s="985"/>
      <c r="O49" s="985"/>
      <c r="P49" s="985"/>
      <c r="Q49" s="985"/>
      <c r="R49" s="985"/>
      <c r="S49" s="985"/>
      <c r="T49" s="985"/>
      <c r="U49" s="985"/>
    </row>
    <row r="50" spans="1:21" s="495" customFormat="1" ht="12.75" customHeight="1">
      <c r="A50" s="491">
        <v>13</v>
      </c>
      <c r="B50" s="500" t="s">
        <v>1946</v>
      </c>
      <c r="C50" s="501"/>
      <c r="D50" s="494"/>
      <c r="E50" s="984">
        <f t="shared" si="4"/>
        <v>25.8</v>
      </c>
      <c r="F50" s="985"/>
      <c r="G50" s="985">
        <v>25.8</v>
      </c>
      <c r="H50" s="985"/>
      <c r="I50" s="985"/>
      <c r="J50" s="985"/>
      <c r="K50" s="985"/>
      <c r="L50" s="985"/>
      <c r="M50" s="985"/>
      <c r="N50" s="985"/>
      <c r="O50" s="985"/>
      <c r="P50" s="985"/>
      <c r="Q50" s="985"/>
      <c r="R50" s="985"/>
      <c r="S50" s="985"/>
      <c r="T50" s="985"/>
      <c r="U50" s="985"/>
    </row>
    <row r="51" spans="1:21" s="495" customFormat="1" ht="12" customHeight="1">
      <c r="A51" s="491">
        <v>11</v>
      </c>
      <c r="B51" s="500" t="s">
        <v>1947</v>
      </c>
      <c r="C51" s="501"/>
      <c r="D51" s="494"/>
      <c r="E51" s="984">
        <f t="shared" si="4"/>
        <v>1781.56295</v>
      </c>
      <c r="F51" s="985"/>
      <c r="G51" s="985"/>
      <c r="H51" s="985"/>
      <c r="I51" s="985"/>
      <c r="J51" s="985"/>
      <c r="K51" s="985"/>
      <c r="L51" s="985"/>
      <c r="M51" s="985">
        <v>686.73900000000003</v>
      </c>
      <c r="N51" s="985"/>
      <c r="O51" s="985"/>
      <c r="P51" s="985"/>
      <c r="Q51" s="985">
        <v>402.42</v>
      </c>
      <c r="R51" s="985"/>
      <c r="S51" s="985">
        <v>399.8</v>
      </c>
      <c r="T51" s="985"/>
      <c r="U51" s="985">
        <v>292.60395</v>
      </c>
    </row>
    <row r="52" spans="1:21" s="499" customFormat="1" ht="33">
      <c r="A52" s="487" t="s">
        <v>96</v>
      </c>
      <c r="B52" s="488" t="s">
        <v>1886</v>
      </c>
      <c r="C52" s="497">
        <f>E52+E94</f>
        <v>24.56</v>
      </c>
      <c r="D52" s="498"/>
      <c r="E52" s="983">
        <f>E53</f>
        <v>24.56</v>
      </c>
      <c r="F52" s="983"/>
      <c r="G52" s="986"/>
      <c r="H52" s="986"/>
      <c r="I52" s="986"/>
      <c r="J52" s="983"/>
      <c r="K52" s="986"/>
      <c r="L52" s="986"/>
      <c r="M52" s="986"/>
      <c r="N52" s="983"/>
      <c r="O52" s="986">
        <f>O53</f>
        <v>24.56</v>
      </c>
      <c r="P52" s="986"/>
      <c r="Q52" s="986">
        <v>0</v>
      </c>
      <c r="R52" s="983"/>
      <c r="S52" s="986"/>
      <c r="T52" s="986"/>
      <c r="U52" s="986"/>
    </row>
    <row r="53" spans="1:21" ht="18" customHeight="1">
      <c r="A53" s="491">
        <v>1</v>
      </c>
      <c r="B53" s="492" t="s">
        <v>1948</v>
      </c>
      <c r="C53" s="493"/>
      <c r="D53" s="494"/>
      <c r="E53" s="984">
        <f t="shared" ref="E53:E60" si="5">G53+I53+K53+M53+O53+Q53+S53+U53</f>
        <v>24.56</v>
      </c>
      <c r="F53" s="986"/>
      <c r="G53" s="986"/>
      <c r="H53" s="986"/>
      <c r="I53" s="986"/>
      <c r="J53" s="986"/>
      <c r="K53" s="986"/>
      <c r="L53" s="986"/>
      <c r="M53" s="986"/>
      <c r="N53" s="986"/>
      <c r="O53" s="985">
        <v>24.56</v>
      </c>
      <c r="P53" s="986"/>
      <c r="Q53" s="986"/>
      <c r="R53" s="986"/>
      <c r="S53" s="986"/>
      <c r="T53" s="986"/>
      <c r="U53" s="986"/>
    </row>
    <row r="54" spans="1:21" s="499" customFormat="1" ht="35.25" customHeight="1">
      <c r="A54" s="487" t="s">
        <v>139</v>
      </c>
      <c r="B54" s="488" t="s">
        <v>1949</v>
      </c>
      <c r="C54" s="497">
        <f>E54+E99</f>
        <v>8847.9444740000017</v>
      </c>
      <c r="D54" s="498"/>
      <c r="E54" s="983">
        <f>SUM(E55:E59)+E60</f>
        <v>8436.5844740000011</v>
      </c>
      <c r="F54" s="983"/>
      <c r="G54" s="986"/>
      <c r="H54" s="986"/>
      <c r="I54" s="986">
        <f>I56+I60</f>
        <v>932.33219399999996</v>
      </c>
      <c r="J54" s="983"/>
      <c r="K54" s="986">
        <v>149.9392</v>
      </c>
      <c r="L54" s="986"/>
      <c r="M54" s="986">
        <f>M55</f>
        <v>506.18894999999998</v>
      </c>
      <c r="N54" s="983"/>
      <c r="O54" s="986"/>
      <c r="P54" s="986"/>
      <c r="Q54" s="986">
        <f>SUM(Q55:Q59)</f>
        <v>1883.3700000000001</v>
      </c>
      <c r="R54" s="983"/>
      <c r="S54" s="986"/>
      <c r="T54" s="986"/>
      <c r="U54" s="986">
        <f>SUM(U55:U59)</f>
        <v>4964.7541299999993</v>
      </c>
    </row>
    <row r="55" spans="1:21" s="495" customFormat="1" ht="12" customHeight="1">
      <c r="A55" s="491">
        <v>1</v>
      </c>
      <c r="B55" s="500" t="s">
        <v>1950</v>
      </c>
      <c r="C55" s="501"/>
      <c r="D55" s="494"/>
      <c r="E55" s="984">
        <f t="shared" si="5"/>
        <v>948.34895000000006</v>
      </c>
      <c r="F55" s="985"/>
      <c r="G55" s="985"/>
      <c r="H55" s="985"/>
      <c r="I55" s="985"/>
      <c r="J55" s="985"/>
      <c r="K55" s="985"/>
      <c r="L55" s="985"/>
      <c r="M55" s="985">
        <v>506.18894999999998</v>
      </c>
      <c r="N55" s="985"/>
      <c r="O55" s="985"/>
      <c r="P55" s="985"/>
      <c r="Q55" s="985">
        <v>442.16</v>
      </c>
      <c r="R55" s="985"/>
      <c r="S55" s="985"/>
      <c r="T55" s="985"/>
      <c r="U55" s="985"/>
    </row>
    <row r="56" spans="1:21" s="495" customFormat="1" ht="12" customHeight="1">
      <c r="A56" s="491">
        <v>2</v>
      </c>
      <c r="B56" s="500" t="s">
        <v>1920</v>
      </c>
      <c r="C56" s="501"/>
      <c r="D56" s="494"/>
      <c r="E56" s="984">
        <f t="shared" si="5"/>
        <v>5913.1263239999998</v>
      </c>
      <c r="F56" s="985"/>
      <c r="G56" s="985"/>
      <c r="H56" s="985"/>
      <c r="I56" s="985">
        <v>913.28919399999995</v>
      </c>
      <c r="J56" s="985"/>
      <c r="K56" s="985"/>
      <c r="L56" s="985"/>
      <c r="M56" s="985"/>
      <c r="N56" s="985"/>
      <c r="O56" s="985"/>
      <c r="P56" s="985"/>
      <c r="Q56" s="985">
        <v>1091.21</v>
      </c>
      <c r="R56" s="985"/>
      <c r="S56" s="985"/>
      <c r="T56" s="985"/>
      <c r="U56" s="985">
        <v>3908.6271299999999</v>
      </c>
    </row>
    <row r="57" spans="1:21" s="495" customFormat="1" ht="12" customHeight="1">
      <c r="A57" s="491">
        <v>3</v>
      </c>
      <c r="B57" s="500" t="s">
        <v>1951</v>
      </c>
      <c r="C57" s="501"/>
      <c r="D57" s="494"/>
      <c r="E57" s="984">
        <f t="shared" si="5"/>
        <v>350</v>
      </c>
      <c r="F57" s="985"/>
      <c r="G57" s="985"/>
      <c r="H57" s="985"/>
      <c r="I57" s="985"/>
      <c r="J57" s="985"/>
      <c r="K57" s="985"/>
      <c r="L57" s="985"/>
      <c r="M57" s="985"/>
      <c r="N57" s="985"/>
      <c r="O57" s="985"/>
      <c r="P57" s="985"/>
      <c r="Q57" s="985">
        <v>350</v>
      </c>
      <c r="R57" s="985"/>
      <c r="S57" s="985"/>
      <c r="T57" s="985"/>
      <c r="U57" s="985"/>
    </row>
    <row r="58" spans="1:21" s="495" customFormat="1" ht="16.5">
      <c r="A58" s="491">
        <v>4</v>
      </c>
      <c r="B58" s="492" t="s">
        <v>1952</v>
      </c>
      <c r="C58" s="493"/>
      <c r="D58" s="494"/>
      <c r="E58" s="984">
        <f t="shared" si="5"/>
        <v>1019.727</v>
      </c>
      <c r="F58" s="985"/>
      <c r="G58" s="985"/>
      <c r="H58" s="985"/>
      <c r="I58" s="985"/>
      <c r="J58" s="985"/>
      <c r="K58" s="985"/>
      <c r="L58" s="985"/>
      <c r="M58" s="985"/>
      <c r="N58" s="985"/>
      <c r="O58" s="985"/>
      <c r="P58" s="985"/>
      <c r="Q58" s="985"/>
      <c r="R58" s="985"/>
      <c r="S58" s="985"/>
      <c r="T58" s="985"/>
      <c r="U58" s="985">
        <v>1019.727</v>
      </c>
    </row>
    <row r="59" spans="1:21" s="495" customFormat="1" ht="12" customHeight="1">
      <c r="A59" s="491">
        <v>5</v>
      </c>
      <c r="B59" s="500" t="s">
        <v>1953</v>
      </c>
      <c r="C59" s="501"/>
      <c r="D59" s="494"/>
      <c r="E59" s="984">
        <f t="shared" si="5"/>
        <v>36.4</v>
      </c>
      <c r="F59" s="985"/>
      <c r="G59" s="985"/>
      <c r="H59" s="985"/>
      <c r="I59" s="985"/>
      <c r="J59" s="985"/>
      <c r="K59" s="985"/>
      <c r="L59" s="985"/>
      <c r="M59" s="985"/>
      <c r="N59" s="985"/>
      <c r="O59" s="985"/>
      <c r="P59" s="985"/>
      <c r="Q59" s="985"/>
      <c r="R59" s="985"/>
      <c r="S59" s="985"/>
      <c r="T59" s="985"/>
      <c r="U59" s="985">
        <v>36.4</v>
      </c>
    </row>
    <row r="60" spans="1:21" s="495" customFormat="1" ht="12" customHeight="1">
      <c r="A60" s="491">
        <v>6</v>
      </c>
      <c r="B60" s="500" t="s">
        <v>1954</v>
      </c>
      <c r="C60" s="501"/>
      <c r="D60" s="494"/>
      <c r="E60" s="984">
        <f t="shared" si="5"/>
        <v>168.98220000000001</v>
      </c>
      <c r="F60" s="985"/>
      <c r="G60" s="985"/>
      <c r="H60" s="985"/>
      <c r="I60" s="985">
        <v>19.042999999999999</v>
      </c>
      <c r="J60" s="985"/>
      <c r="K60" s="985">
        <f>K54</f>
        <v>149.9392</v>
      </c>
      <c r="L60" s="985"/>
      <c r="M60" s="985"/>
      <c r="N60" s="985"/>
      <c r="O60" s="985"/>
      <c r="P60" s="985"/>
      <c r="Q60" s="985"/>
      <c r="R60" s="985"/>
      <c r="S60" s="985"/>
      <c r="T60" s="985"/>
      <c r="U60" s="985"/>
    </row>
    <row r="61" spans="1:21" s="503" customFormat="1" ht="13.5" customHeight="1">
      <c r="A61" s="487" t="s">
        <v>3</v>
      </c>
      <c r="B61" s="987" t="s">
        <v>1955</v>
      </c>
      <c r="C61" s="988"/>
      <c r="D61" s="982">
        <f>F61+H61+J61+L61+N61+P61+R61+T61</f>
        <v>44543.409440000003</v>
      </c>
      <c r="E61" s="983">
        <f>E62+E66+E71+E76+E81+E94+E99</f>
        <v>34024.170302999999</v>
      </c>
      <c r="F61" s="983">
        <v>1228.69901</v>
      </c>
      <c r="G61" s="983">
        <f>G62+G66+G71+G76+G81+G94+G99</f>
        <v>2689.2</v>
      </c>
      <c r="H61" s="983">
        <v>2973.3690029999998</v>
      </c>
      <c r="I61" s="983">
        <f>I62+I66+I71+I76+I81+I94+I99</f>
        <v>1483.2800709999999</v>
      </c>
      <c r="J61" s="983">
        <v>646.97230000000002</v>
      </c>
      <c r="K61" s="983">
        <f>K62+K66+K71+K76+K81+K94+K99</f>
        <v>1375.28</v>
      </c>
      <c r="L61" s="983">
        <v>3885.2399069999997</v>
      </c>
      <c r="M61" s="983">
        <f>M62+M66+M71+M76+M81+M94+M99</f>
        <v>3564.8961169999998</v>
      </c>
      <c r="N61" s="983">
        <v>6124.0110399999994</v>
      </c>
      <c r="O61" s="983">
        <f>O62+O66+O71+O76+O81+O94+O99</f>
        <v>2618.3140000000003</v>
      </c>
      <c r="P61" s="983">
        <v>12179.06367</v>
      </c>
      <c r="Q61" s="983">
        <f>Q62+Q66+Q71+Q76+Q81+Q94+Q99</f>
        <v>6933.98</v>
      </c>
      <c r="R61" s="983">
        <v>15708.866500000002</v>
      </c>
      <c r="S61" s="983">
        <f>S62+S66+S71+S76+S81+S94+S99</f>
        <v>13022.528294000002</v>
      </c>
      <c r="T61" s="983">
        <v>1797.1880100000001</v>
      </c>
      <c r="U61" s="983">
        <f>U62+U66+U71+U76+U81+U94+U99</f>
        <v>2336.6918210000003</v>
      </c>
    </row>
    <row r="62" spans="1:21" ht="53.25" customHeight="1">
      <c r="A62" s="487" t="s">
        <v>11</v>
      </c>
      <c r="B62" s="488" t="s">
        <v>1778</v>
      </c>
      <c r="C62" s="489"/>
      <c r="D62" s="490"/>
      <c r="E62" s="983">
        <f>E63+E64+E65</f>
        <v>22903.548996000001</v>
      </c>
      <c r="F62" s="983"/>
      <c r="G62" s="983"/>
      <c r="H62" s="983"/>
      <c r="I62" s="983">
        <f>I63+I64</f>
        <v>1113.2800709999999</v>
      </c>
      <c r="J62" s="983"/>
      <c r="K62" s="983"/>
      <c r="L62" s="983"/>
      <c r="M62" s="983">
        <f>M64</f>
        <v>3500.2179249999999</v>
      </c>
      <c r="N62" s="983"/>
      <c r="O62" s="983">
        <f>O63+O64</f>
        <v>2418.3140000000003</v>
      </c>
      <c r="P62" s="983"/>
      <c r="Q62" s="983">
        <f>Q63</f>
        <v>3905.83</v>
      </c>
      <c r="R62" s="983"/>
      <c r="S62" s="983">
        <f>S63+S64+S65</f>
        <v>11965.907000000001</v>
      </c>
      <c r="T62" s="983"/>
      <c r="U62" s="983"/>
    </row>
    <row r="63" spans="1:21" s="495" customFormat="1" ht="12" customHeight="1">
      <c r="A63" s="491">
        <v>1</v>
      </c>
      <c r="B63" s="492" t="s">
        <v>1922</v>
      </c>
      <c r="C63" s="493"/>
      <c r="D63" s="494"/>
      <c r="E63" s="984">
        <f>G63+I63+K63+M63+O63+Q63+S63+U63</f>
        <v>5743.28874</v>
      </c>
      <c r="F63" s="985"/>
      <c r="G63" s="985"/>
      <c r="H63" s="985"/>
      <c r="I63" s="985">
        <v>330.32774000000001</v>
      </c>
      <c r="J63" s="985"/>
      <c r="K63" s="985"/>
      <c r="L63" s="985"/>
      <c r="M63" s="985"/>
      <c r="N63" s="985"/>
      <c r="O63" s="985">
        <v>233.36</v>
      </c>
      <c r="P63" s="989">
        <v>0</v>
      </c>
      <c r="Q63" s="985">
        <v>3905.83</v>
      </c>
      <c r="R63" s="985"/>
      <c r="S63" s="985">
        <v>1273.771</v>
      </c>
      <c r="T63" s="985"/>
      <c r="U63" s="985"/>
    </row>
    <row r="64" spans="1:21" s="495" customFormat="1" ht="12" customHeight="1">
      <c r="A64" s="491">
        <v>2</v>
      </c>
      <c r="B64" s="500" t="s">
        <v>1923</v>
      </c>
      <c r="C64" s="501"/>
      <c r="D64" s="494"/>
      <c r="E64" s="984">
        <f>G64+I64+K64+M64+O64+Q64+S64+U64</f>
        <v>17117.260256000001</v>
      </c>
      <c r="F64" s="985"/>
      <c r="G64" s="985"/>
      <c r="H64" s="985"/>
      <c r="I64" s="985">
        <v>782.95233099999996</v>
      </c>
      <c r="J64" s="985"/>
      <c r="K64" s="985"/>
      <c r="L64" s="985"/>
      <c r="M64" s="985">
        <v>3500.2179249999999</v>
      </c>
      <c r="N64" s="985"/>
      <c r="O64" s="985">
        <v>2184.9540000000002</v>
      </c>
      <c r="P64" s="985"/>
      <c r="Q64" s="985"/>
      <c r="R64" s="985"/>
      <c r="S64" s="985">
        <v>10649.136</v>
      </c>
      <c r="T64" s="985"/>
      <c r="U64" s="985"/>
    </row>
    <row r="65" spans="1:21" s="495" customFormat="1" ht="12" customHeight="1">
      <c r="A65" s="491">
        <v>3</v>
      </c>
      <c r="B65" s="500" t="s">
        <v>1956</v>
      </c>
      <c r="C65" s="501"/>
      <c r="D65" s="494"/>
      <c r="E65" s="984">
        <f>G65+I65+K65+M65+O65+Q65+S65+U65</f>
        <v>43</v>
      </c>
      <c r="F65" s="985"/>
      <c r="G65" s="985"/>
      <c r="H65" s="985"/>
      <c r="I65" s="985"/>
      <c r="J65" s="985"/>
      <c r="K65" s="985"/>
      <c r="L65" s="985"/>
      <c r="M65" s="985"/>
      <c r="N65" s="985"/>
      <c r="O65" s="985"/>
      <c r="P65" s="985"/>
      <c r="Q65" s="985"/>
      <c r="R65" s="985"/>
      <c r="S65" s="985">
        <v>43</v>
      </c>
      <c r="T65" s="985"/>
      <c r="U65" s="985"/>
    </row>
    <row r="66" spans="1:21" s="499" customFormat="1" ht="24.75">
      <c r="A66" s="487" t="s">
        <v>7</v>
      </c>
      <c r="B66" s="488" t="s">
        <v>1929</v>
      </c>
      <c r="C66" s="497"/>
      <c r="D66" s="498"/>
      <c r="E66" s="983"/>
      <c r="F66" s="983"/>
      <c r="G66" s="986"/>
      <c r="H66" s="986"/>
      <c r="I66" s="986"/>
      <c r="J66" s="983"/>
      <c r="K66" s="986"/>
      <c r="L66" s="986"/>
      <c r="M66" s="986"/>
      <c r="N66" s="983"/>
      <c r="O66" s="986"/>
      <c r="P66" s="986"/>
      <c r="Q66" s="986"/>
      <c r="R66" s="983"/>
      <c r="S66" s="986"/>
      <c r="T66" s="986"/>
      <c r="U66" s="986"/>
    </row>
    <row r="67" spans="1:21" ht="12" hidden="1" customHeight="1">
      <c r="A67" s="487"/>
      <c r="B67" s="500" t="s">
        <v>28</v>
      </c>
      <c r="C67" s="501"/>
      <c r="D67" s="494"/>
      <c r="E67" s="990">
        <f>G67+I67+K67+M67+O67+Q67+S67+U67</f>
        <v>0</v>
      </c>
      <c r="F67" s="986"/>
      <c r="G67" s="986"/>
      <c r="H67" s="986"/>
      <c r="I67" s="986"/>
      <c r="J67" s="986"/>
      <c r="K67" s="986"/>
      <c r="L67" s="986"/>
      <c r="M67" s="986"/>
      <c r="N67" s="986"/>
      <c r="O67" s="986"/>
      <c r="P67" s="986"/>
      <c r="Q67" s="986"/>
      <c r="R67" s="986"/>
      <c r="S67" s="986"/>
      <c r="T67" s="986"/>
      <c r="U67" s="986"/>
    </row>
    <row r="68" spans="1:21" ht="12" hidden="1" customHeight="1">
      <c r="A68" s="491">
        <v>1</v>
      </c>
      <c r="B68" s="500"/>
      <c r="C68" s="501"/>
      <c r="D68" s="494"/>
      <c r="E68" s="990">
        <f>G68+I68+K68+M68+O68+Q68+S68+U68</f>
        <v>0</v>
      </c>
      <c r="F68" s="986"/>
      <c r="G68" s="986"/>
      <c r="H68" s="986"/>
      <c r="I68" s="986"/>
      <c r="J68" s="986"/>
      <c r="K68" s="986"/>
      <c r="L68" s="986"/>
      <c r="M68" s="986"/>
      <c r="N68" s="986"/>
      <c r="O68" s="986"/>
      <c r="P68" s="986"/>
      <c r="Q68" s="986"/>
      <c r="R68" s="986"/>
      <c r="S68" s="986"/>
      <c r="T68" s="986"/>
      <c r="U68" s="986"/>
    </row>
    <row r="69" spans="1:21" ht="12" hidden="1" customHeight="1">
      <c r="A69" s="491">
        <v>2</v>
      </c>
      <c r="B69" s="500"/>
      <c r="C69" s="501"/>
      <c r="D69" s="494"/>
      <c r="E69" s="990">
        <f>G69+I69+K69+M69+O69+Q69+S69+U69</f>
        <v>0</v>
      </c>
      <c r="F69" s="986"/>
      <c r="G69" s="986"/>
      <c r="H69" s="986"/>
      <c r="I69" s="986"/>
      <c r="J69" s="986"/>
      <c r="K69" s="986"/>
      <c r="L69" s="986"/>
      <c r="M69" s="986"/>
      <c r="N69" s="986"/>
      <c r="O69" s="986"/>
      <c r="P69" s="986"/>
      <c r="Q69" s="986"/>
      <c r="R69" s="986"/>
      <c r="S69" s="986"/>
      <c r="T69" s="986"/>
      <c r="U69" s="986"/>
    </row>
    <row r="70" spans="1:21" ht="12" hidden="1" customHeight="1">
      <c r="A70" s="487"/>
      <c r="B70" s="500" t="s">
        <v>1931</v>
      </c>
      <c r="C70" s="501"/>
      <c r="D70" s="494"/>
      <c r="E70" s="990">
        <f>G70+I70+K70+M70+O70+Q70+S70+U70</f>
        <v>0</v>
      </c>
      <c r="F70" s="986"/>
      <c r="G70" s="986"/>
      <c r="H70" s="986"/>
      <c r="I70" s="986"/>
      <c r="J70" s="986"/>
      <c r="K70" s="986"/>
      <c r="L70" s="986"/>
      <c r="M70" s="986"/>
      <c r="N70" s="986"/>
      <c r="O70" s="986"/>
      <c r="P70" s="986"/>
      <c r="Q70" s="986"/>
      <c r="R70" s="986"/>
      <c r="S70" s="986"/>
      <c r="T70" s="986"/>
      <c r="U70" s="986"/>
    </row>
    <row r="71" spans="1:21" s="499" customFormat="1" ht="27" customHeight="1">
      <c r="A71" s="487" t="s">
        <v>8</v>
      </c>
      <c r="B71" s="502" t="s">
        <v>1769</v>
      </c>
      <c r="C71" s="497"/>
      <c r="D71" s="498"/>
      <c r="E71" s="983">
        <f>E72</f>
        <v>3621.6581919999994</v>
      </c>
      <c r="F71" s="983"/>
      <c r="G71" s="986">
        <f>G72</f>
        <v>2339.6999999999998</v>
      </c>
      <c r="H71" s="986"/>
      <c r="I71" s="986"/>
      <c r="J71" s="983"/>
      <c r="K71" s="986">
        <f>K72</f>
        <v>1217.28</v>
      </c>
      <c r="L71" s="986"/>
      <c r="M71" s="986">
        <f>M72</f>
        <v>64.678191999999996</v>
      </c>
      <c r="N71" s="983"/>
      <c r="O71" s="986"/>
      <c r="P71" s="986"/>
      <c r="Q71" s="986"/>
      <c r="R71" s="983"/>
      <c r="S71" s="986"/>
      <c r="T71" s="986"/>
      <c r="U71" s="986"/>
    </row>
    <row r="72" spans="1:21" s="495" customFormat="1" ht="14.25" customHeight="1">
      <c r="A72" s="491">
        <v>1</v>
      </c>
      <c r="B72" s="492" t="s">
        <v>1932</v>
      </c>
      <c r="C72" s="493"/>
      <c r="D72" s="494"/>
      <c r="E72" s="984">
        <f>G72+I72+K72+M72+O72+Q72+S72+U72</f>
        <v>3621.6581919999994</v>
      </c>
      <c r="F72" s="985"/>
      <c r="G72" s="985">
        <v>2339.6999999999998</v>
      </c>
      <c r="H72" s="985"/>
      <c r="I72" s="985"/>
      <c r="J72" s="985"/>
      <c r="K72" s="985">
        <v>1217.28</v>
      </c>
      <c r="L72" s="985"/>
      <c r="M72" s="985">
        <v>64.678191999999996</v>
      </c>
      <c r="N72" s="985"/>
      <c r="O72" s="985"/>
      <c r="P72" s="985"/>
      <c r="Q72" s="985"/>
      <c r="R72" s="985"/>
      <c r="S72" s="985"/>
      <c r="T72" s="985"/>
      <c r="U72" s="985"/>
    </row>
    <row r="73" spans="1:21" ht="12" hidden="1" customHeight="1">
      <c r="A73" s="491">
        <v>2</v>
      </c>
      <c r="B73" s="500"/>
      <c r="C73" s="501"/>
      <c r="D73" s="494"/>
      <c r="E73" s="984">
        <f>G73+I73+K73+M73+O73+Q73+S73+U73</f>
        <v>0</v>
      </c>
      <c r="F73" s="986"/>
      <c r="G73" s="986"/>
      <c r="H73" s="986"/>
      <c r="I73" s="986"/>
      <c r="J73" s="986"/>
      <c r="K73" s="986"/>
      <c r="L73" s="986"/>
      <c r="M73" s="986"/>
      <c r="N73" s="986"/>
      <c r="O73" s="986"/>
      <c r="P73" s="986"/>
      <c r="Q73" s="986"/>
      <c r="R73" s="986"/>
      <c r="S73" s="986"/>
      <c r="T73" s="986"/>
      <c r="U73" s="986"/>
    </row>
    <row r="74" spans="1:21" ht="12" hidden="1" customHeight="1">
      <c r="A74" s="491">
        <v>3</v>
      </c>
      <c r="B74" s="500"/>
      <c r="C74" s="501"/>
      <c r="D74" s="494"/>
      <c r="E74" s="984">
        <f>G74+I74+K74+M74+O74+Q74+S74+U74</f>
        <v>0</v>
      </c>
      <c r="F74" s="986"/>
      <c r="G74" s="986"/>
      <c r="H74" s="986"/>
      <c r="I74" s="986"/>
      <c r="J74" s="986"/>
      <c r="K74" s="986"/>
      <c r="L74" s="986"/>
      <c r="M74" s="986"/>
      <c r="N74" s="986"/>
      <c r="O74" s="986"/>
      <c r="P74" s="986"/>
      <c r="Q74" s="986"/>
      <c r="R74" s="986"/>
      <c r="S74" s="986"/>
      <c r="T74" s="986"/>
      <c r="U74" s="986"/>
    </row>
    <row r="75" spans="1:21" s="495" customFormat="1" ht="12" hidden="1" customHeight="1">
      <c r="A75" s="491">
        <v>4</v>
      </c>
      <c r="B75" s="500" t="s">
        <v>1931</v>
      </c>
      <c r="C75" s="501"/>
      <c r="D75" s="494"/>
      <c r="E75" s="984">
        <f>G75+I75+K75+M75+O75+Q75+S75+U75</f>
        <v>0</v>
      </c>
      <c r="F75" s="985"/>
      <c r="G75" s="985"/>
      <c r="H75" s="985"/>
      <c r="I75" s="985"/>
      <c r="J75" s="985"/>
      <c r="K75" s="985"/>
      <c r="L75" s="985"/>
      <c r="M75" s="985"/>
      <c r="N75" s="985"/>
      <c r="O75" s="985"/>
      <c r="P75" s="985"/>
      <c r="Q75" s="985"/>
      <c r="R75" s="985"/>
      <c r="S75" s="985"/>
      <c r="T75" s="985"/>
      <c r="U75" s="985"/>
    </row>
    <row r="76" spans="1:21" s="499" customFormat="1" ht="33" customHeight="1">
      <c r="A76" s="487" t="s">
        <v>9</v>
      </c>
      <c r="B76" s="502" t="s">
        <v>1840</v>
      </c>
      <c r="C76" s="497"/>
      <c r="D76" s="498"/>
      <c r="E76" s="983"/>
      <c r="F76" s="983"/>
      <c r="G76" s="986"/>
      <c r="H76" s="986"/>
      <c r="I76" s="986"/>
      <c r="J76" s="983"/>
      <c r="K76" s="986"/>
      <c r="L76" s="986"/>
      <c r="M76" s="986"/>
      <c r="N76" s="983"/>
      <c r="O76" s="986"/>
      <c r="P76" s="986"/>
      <c r="Q76" s="986"/>
      <c r="R76" s="983"/>
      <c r="S76" s="986"/>
      <c r="T76" s="986"/>
      <c r="U76" s="986"/>
    </row>
    <row r="77" spans="1:21" ht="12" hidden="1" customHeight="1">
      <c r="A77" s="487"/>
      <c r="B77" s="500" t="s">
        <v>28</v>
      </c>
      <c r="C77" s="501"/>
      <c r="D77" s="494"/>
      <c r="E77" s="984">
        <f>G77+I77+K77+M77+O77+Q77+S77+U77</f>
        <v>0</v>
      </c>
      <c r="F77" s="986"/>
      <c r="G77" s="986"/>
      <c r="H77" s="986"/>
      <c r="I77" s="986"/>
      <c r="J77" s="986"/>
      <c r="K77" s="986"/>
      <c r="L77" s="986"/>
      <c r="M77" s="986"/>
      <c r="N77" s="986"/>
      <c r="O77" s="986"/>
      <c r="P77" s="986"/>
      <c r="Q77" s="986"/>
      <c r="R77" s="986"/>
      <c r="S77" s="986"/>
      <c r="T77" s="986"/>
      <c r="U77" s="986"/>
    </row>
    <row r="78" spans="1:21" ht="12" hidden="1" customHeight="1">
      <c r="A78" s="491">
        <v>1</v>
      </c>
      <c r="B78" s="500"/>
      <c r="C78" s="501"/>
      <c r="D78" s="494"/>
      <c r="E78" s="984">
        <f>G78+I78+K78+M78+O78+Q78+S78+U78</f>
        <v>0</v>
      </c>
      <c r="F78" s="986"/>
      <c r="G78" s="986"/>
      <c r="H78" s="986"/>
      <c r="I78" s="986"/>
      <c r="J78" s="986"/>
      <c r="K78" s="986"/>
      <c r="L78" s="986"/>
      <c r="M78" s="986"/>
      <c r="N78" s="986"/>
      <c r="O78" s="986"/>
      <c r="P78" s="986"/>
      <c r="Q78" s="986"/>
      <c r="R78" s="986"/>
      <c r="S78" s="986"/>
      <c r="T78" s="986"/>
      <c r="U78" s="986"/>
    </row>
    <row r="79" spans="1:21" ht="12" hidden="1" customHeight="1">
      <c r="A79" s="491">
        <v>2</v>
      </c>
      <c r="B79" s="500"/>
      <c r="C79" s="501"/>
      <c r="D79" s="494"/>
      <c r="E79" s="984">
        <f>G79+I79+K79+M79+O79+Q79+S79+U79</f>
        <v>0</v>
      </c>
      <c r="F79" s="986"/>
      <c r="G79" s="986"/>
      <c r="H79" s="986"/>
      <c r="I79" s="986"/>
      <c r="J79" s="986"/>
      <c r="K79" s="986"/>
      <c r="L79" s="986"/>
      <c r="M79" s="986"/>
      <c r="N79" s="986"/>
      <c r="O79" s="986"/>
      <c r="P79" s="986"/>
      <c r="Q79" s="986"/>
      <c r="R79" s="986"/>
      <c r="S79" s="986"/>
      <c r="T79" s="986"/>
      <c r="U79" s="986"/>
    </row>
    <row r="80" spans="1:21" ht="12" hidden="1" customHeight="1">
      <c r="A80" s="487"/>
      <c r="B80" s="500" t="s">
        <v>1931</v>
      </c>
      <c r="C80" s="501"/>
      <c r="D80" s="494"/>
      <c r="E80" s="984">
        <f>G80+I80+K80+M80+O80+Q80+S80+U80</f>
        <v>0</v>
      </c>
      <c r="F80" s="986"/>
      <c r="G80" s="986"/>
      <c r="H80" s="986"/>
      <c r="I80" s="986"/>
      <c r="J80" s="986"/>
      <c r="K80" s="986"/>
      <c r="L80" s="986"/>
      <c r="M80" s="986"/>
      <c r="N80" s="986"/>
      <c r="O80" s="986"/>
      <c r="P80" s="986"/>
      <c r="Q80" s="986"/>
      <c r="R80" s="986"/>
      <c r="S80" s="986"/>
      <c r="T80" s="986"/>
      <c r="U80" s="986"/>
    </row>
    <row r="81" spans="1:21" s="499" customFormat="1" ht="42" customHeight="1">
      <c r="A81" s="487" t="s">
        <v>23</v>
      </c>
      <c r="B81" s="488" t="s">
        <v>1770</v>
      </c>
      <c r="C81" s="497"/>
      <c r="D81" s="498"/>
      <c r="E81" s="983">
        <f>SUM(E82:E93)</f>
        <v>7087.6031150000008</v>
      </c>
      <c r="F81" s="983"/>
      <c r="G81" s="986">
        <f>G83</f>
        <v>349.5</v>
      </c>
      <c r="H81" s="986"/>
      <c r="I81" s="986">
        <f>I87</f>
        <v>370</v>
      </c>
      <c r="J81" s="983"/>
      <c r="K81" s="986">
        <f>K87+K93</f>
        <v>158</v>
      </c>
      <c r="L81" s="986"/>
      <c r="M81" s="986"/>
      <c r="N81" s="983"/>
      <c r="O81" s="986">
        <f>O83</f>
        <v>200</v>
      </c>
      <c r="P81" s="986"/>
      <c r="Q81" s="986">
        <f>SUM(Q82:Q93)</f>
        <v>2616.79</v>
      </c>
      <c r="R81" s="983"/>
      <c r="S81" s="986">
        <f>S83+S92</f>
        <v>1056.621294</v>
      </c>
      <c r="T81" s="986"/>
      <c r="U81" s="986">
        <f>SUM(U82:U92)</f>
        <v>2336.6918210000003</v>
      </c>
    </row>
    <row r="82" spans="1:21" s="495" customFormat="1" ht="12" customHeight="1">
      <c r="A82" s="491">
        <v>1</v>
      </c>
      <c r="B82" s="492" t="s">
        <v>1922</v>
      </c>
      <c r="C82" s="493"/>
      <c r="D82" s="494"/>
      <c r="E82" s="990">
        <f t="shared" ref="E82:E93" si="6">G82+I82+K82+M82+O82+Q82+S82+U82</f>
        <v>0</v>
      </c>
      <c r="F82" s="985"/>
      <c r="G82" s="985"/>
      <c r="H82" s="985"/>
      <c r="I82" s="985"/>
      <c r="J82" s="985"/>
      <c r="K82" s="985"/>
      <c r="L82" s="985"/>
      <c r="M82" s="985"/>
      <c r="N82" s="985"/>
      <c r="O82" s="985"/>
      <c r="P82" s="985"/>
      <c r="Q82" s="985"/>
      <c r="R82" s="985"/>
      <c r="S82" s="985"/>
      <c r="T82" s="985"/>
      <c r="U82" s="985"/>
    </row>
    <row r="83" spans="1:21" s="495" customFormat="1" ht="12" customHeight="1">
      <c r="A83" s="491">
        <v>2</v>
      </c>
      <c r="B83" s="500" t="s">
        <v>1923</v>
      </c>
      <c r="C83" s="501"/>
      <c r="D83" s="494"/>
      <c r="E83" s="984">
        <f t="shared" si="6"/>
        <v>3145.7470000000003</v>
      </c>
      <c r="F83" s="985"/>
      <c r="G83" s="985">
        <v>349.5</v>
      </c>
      <c r="H83" s="985"/>
      <c r="I83" s="985"/>
      <c r="J83" s="985"/>
      <c r="K83" s="985"/>
      <c r="L83" s="985"/>
      <c r="M83" s="985"/>
      <c r="N83" s="985"/>
      <c r="O83" s="985">
        <v>200</v>
      </c>
      <c r="P83" s="985"/>
      <c r="Q83" s="985">
        <v>503.13</v>
      </c>
      <c r="R83" s="985"/>
      <c r="S83" s="985">
        <v>784.93499999999995</v>
      </c>
      <c r="T83" s="985"/>
      <c r="U83" s="985">
        <v>1308.182</v>
      </c>
    </row>
    <row r="84" spans="1:21" s="495" customFormat="1" ht="18" customHeight="1">
      <c r="A84" s="491">
        <v>3</v>
      </c>
      <c r="B84" s="492" t="s">
        <v>1957</v>
      </c>
      <c r="C84" s="493"/>
      <c r="D84" s="494"/>
      <c r="E84" s="984">
        <f t="shared" si="6"/>
        <v>1783.66</v>
      </c>
      <c r="F84" s="985"/>
      <c r="G84" s="985"/>
      <c r="H84" s="985"/>
      <c r="I84" s="985"/>
      <c r="J84" s="985"/>
      <c r="K84" s="985"/>
      <c r="L84" s="985"/>
      <c r="M84" s="985"/>
      <c r="N84" s="985"/>
      <c r="O84" s="985"/>
      <c r="P84" s="985"/>
      <c r="Q84" s="985">
        <v>1783.66</v>
      </c>
      <c r="R84" s="985"/>
      <c r="S84" s="985"/>
      <c r="T84" s="985"/>
      <c r="U84" s="985"/>
    </row>
    <row r="85" spans="1:21" ht="15">
      <c r="A85" s="491">
        <v>4</v>
      </c>
      <c r="B85" s="492" t="s">
        <v>1958</v>
      </c>
      <c r="C85" s="493"/>
      <c r="D85" s="494"/>
      <c r="E85" s="984">
        <f t="shared" si="6"/>
        <v>228.12103099999999</v>
      </c>
      <c r="F85" s="986"/>
      <c r="G85" s="986"/>
      <c r="H85" s="986"/>
      <c r="I85" s="986"/>
      <c r="J85" s="986"/>
      <c r="K85" s="986"/>
      <c r="L85" s="986"/>
      <c r="M85" s="986"/>
      <c r="N85" s="991"/>
      <c r="O85" s="991"/>
      <c r="P85" s="991"/>
      <c r="Q85" s="985">
        <v>30</v>
      </c>
      <c r="R85" s="986"/>
      <c r="S85" s="986"/>
      <c r="T85" s="986"/>
      <c r="U85" s="985">
        <v>198.12103099999999</v>
      </c>
    </row>
    <row r="86" spans="1:21" ht="12" customHeight="1">
      <c r="A86" s="491">
        <v>5</v>
      </c>
      <c r="B86" s="500" t="s">
        <v>1959</v>
      </c>
      <c r="C86" s="501"/>
      <c r="D86" s="494"/>
      <c r="E86" s="984">
        <f t="shared" si="6"/>
        <v>300</v>
      </c>
      <c r="F86" s="986"/>
      <c r="G86" s="986"/>
      <c r="H86" s="986"/>
      <c r="I86" s="986"/>
      <c r="J86" s="986"/>
      <c r="K86" s="986"/>
      <c r="L86" s="986"/>
      <c r="M86" s="986"/>
      <c r="N86" s="991"/>
      <c r="O86" s="991"/>
      <c r="P86" s="991"/>
      <c r="Q86" s="985">
        <v>300</v>
      </c>
      <c r="R86" s="986"/>
      <c r="S86" s="986"/>
      <c r="T86" s="986"/>
      <c r="U86" s="986"/>
    </row>
    <row r="87" spans="1:21" ht="12" customHeight="1">
      <c r="A87" s="491">
        <v>6</v>
      </c>
      <c r="B87" s="500" t="s">
        <v>1960</v>
      </c>
      <c r="C87" s="501"/>
      <c r="D87" s="494"/>
      <c r="E87" s="984">
        <f t="shared" si="6"/>
        <v>510</v>
      </c>
      <c r="F87" s="986"/>
      <c r="G87" s="986"/>
      <c r="H87" s="986"/>
      <c r="I87" s="985">
        <v>370</v>
      </c>
      <c r="J87" s="986"/>
      <c r="K87" s="985">
        <v>140</v>
      </c>
      <c r="L87" s="986"/>
      <c r="M87" s="986"/>
      <c r="N87" s="991"/>
      <c r="O87" s="991"/>
      <c r="P87" s="991"/>
      <c r="Q87" s="985"/>
      <c r="R87" s="986"/>
      <c r="S87" s="986"/>
      <c r="T87" s="986"/>
      <c r="U87" s="986"/>
    </row>
    <row r="88" spans="1:21" ht="18" customHeight="1">
      <c r="A88" s="491">
        <v>7</v>
      </c>
      <c r="B88" s="492" t="s">
        <v>1961</v>
      </c>
      <c r="C88" s="493"/>
      <c r="D88" s="494"/>
      <c r="E88" s="984">
        <f t="shared" si="6"/>
        <v>0.74615100000000001</v>
      </c>
      <c r="F88" s="986"/>
      <c r="G88" s="986"/>
      <c r="H88" s="986"/>
      <c r="I88" s="986"/>
      <c r="J88" s="986"/>
      <c r="K88" s="986"/>
      <c r="L88" s="986"/>
      <c r="M88" s="986"/>
      <c r="N88" s="991"/>
      <c r="O88" s="991"/>
      <c r="P88" s="991"/>
      <c r="Q88" s="985"/>
      <c r="R88" s="986"/>
      <c r="S88" s="986"/>
      <c r="T88" s="986"/>
      <c r="U88" s="985">
        <v>0.74615100000000001</v>
      </c>
    </row>
    <row r="89" spans="1:21" ht="12" customHeight="1">
      <c r="A89" s="491">
        <v>8</v>
      </c>
      <c r="B89" s="500" t="s">
        <v>1950</v>
      </c>
      <c r="C89" s="501"/>
      <c r="D89" s="494"/>
      <c r="E89" s="984">
        <f t="shared" si="6"/>
        <v>114.29404699999999</v>
      </c>
      <c r="F89" s="986"/>
      <c r="G89" s="986"/>
      <c r="H89" s="986"/>
      <c r="I89" s="986"/>
      <c r="J89" s="986"/>
      <c r="K89" s="986"/>
      <c r="L89" s="986"/>
      <c r="M89" s="986"/>
      <c r="N89" s="991"/>
      <c r="O89" s="991"/>
      <c r="P89" s="991"/>
      <c r="Q89" s="985"/>
      <c r="R89" s="986"/>
      <c r="S89" s="986"/>
      <c r="T89" s="986"/>
      <c r="U89" s="985">
        <v>114.29404699999999</v>
      </c>
    </row>
    <row r="90" spans="1:21" ht="18.75" customHeight="1">
      <c r="A90" s="491">
        <v>9</v>
      </c>
      <c r="B90" s="492" t="s">
        <v>1962</v>
      </c>
      <c r="C90" s="501"/>
      <c r="D90" s="494"/>
      <c r="E90" s="984">
        <f t="shared" si="6"/>
        <v>500</v>
      </c>
      <c r="F90" s="986"/>
      <c r="G90" s="986"/>
      <c r="H90" s="986"/>
      <c r="I90" s="986"/>
      <c r="J90" s="986"/>
      <c r="K90" s="986"/>
      <c r="L90" s="986"/>
      <c r="M90" s="986"/>
      <c r="N90" s="991"/>
      <c r="O90" s="991"/>
      <c r="P90" s="991"/>
      <c r="Q90" s="985"/>
      <c r="R90" s="986"/>
      <c r="S90" s="986"/>
      <c r="T90" s="986"/>
      <c r="U90" s="985">
        <v>500</v>
      </c>
    </row>
    <row r="91" spans="1:21" ht="16.5" customHeight="1">
      <c r="A91" s="491">
        <v>10</v>
      </c>
      <c r="B91" s="492" t="s">
        <v>1963</v>
      </c>
      <c r="C91" s="501"/>
      <c r="D91" s="494"/>
      <c r="E91" s="984">
        <f t="shared" si="6"/>
        <v>8.9748490000000007</v>
      </c>
      <c r="F91" s="986"/>
      <c r="G91" s="986"/>
      <c r="H91" s="986"/>
      <c r="I91" s="986"/>
      <c r="J91" s="986"/>
      <c r="K91" s="986"/>
      <c r="L91" s="986"/>
      <c r="M91" s="986"/>
      <c r="N91" s="991"/>
      <c r="O91" s="991"/>
      <c r="P91" s="991"/>
      <c r="Q91" s="985"/>
      <c r="R91" s="986"/>
      <c r="S91" s="986"/>
      <c r="T91" s="986"/>
      <c r="U91" s="985">
        <v>8.9748490000000007</v>
      </c>
    </row>
    <row r="92" spans="1:21" s="495" customFormat="1" ht="16.5">
      <c r="A92" s="491">
        <v>11</v>
      </c>
      <c r="B92" s="492" t="s">
        <v>1947</v>
      </c>
      <c r="C92" s="493"/>
      <c r="D92" s="494"/>
      <c r="E92" s="984">
        <f t="shared" si="6"/>
        <v>478.06003700000002</v>
      </c>
      <c r="F92" s="985"/>
      <c r="G92" s="985"/>
      <c r="H92" s="985"/>
      <c r="I92" s="985"/>
      <c r="J92" s="985"/>
      <c r="K92" s="985"/>
      <c r="L92" s="985"/>
      <c r="M92" s="985"/>
      <c r="N92" s="985"/>
      <c r="O92" s="985"/>
      <c r="P92" s="985"/>
      <c r="Q92" s="985"/>
      <c r="R92" s="985"/>
      <c r="S92" s="985">
        <f>50+217.983154+3.70314</f>
        <v>271.68629400000003</v>
      </c>
      <c r="T92" s="985"/>
      <c r="U92" s="985">
        <v>206.37374299999999</v>
      </c>
    </row>
    <row r="93" spans="1:21" s="495" customFormat="1" ht="18.75" customHeight="1">
      <c r="A93" s="491">
        <v>7</v>
      </c>
      <c r="B93" s="492" t="s">
        <v>1943</v>
      </c>
      <c r="C93" s="493"/>
      <c r="D93" s="494"/>
      <c r="E93" s="984">
        <f t="shared" si="6"/>
        <v>18</v>
      </c>
      <c r="F93" s="985"/>
      <c r="G93" s="985"/>
      <c r="H93" s="985"/>
      <c r="I93" s="985"/>
      <c r="J93" s="985"/>
      <c r="K93" s="985">
        <v>18</v>
      </c>
      <c r="L93" s="985"/>
      <c r="M93" s="985"/>
      <c r="N93" s="985"/>
      <c r="O93" s="985"/>
      <c r="P93" s="985"/>
      <c r="Q93" s="985"/>
      <c r="R93" s="985"/>
      <c r="S93" s="985"/>
      <c r="T93" s="985"/>
      <c r="U93" s="985"/>
    </row>
    <row r="94" spans="1:21" s="499" customFormat="1" ht="33">
      <c r="A94" s="487" t="s">
        <v>96</v>
      </c>
      <c r="B94" s="488" t="s">
        <v>1886</v>
      </c>
      <c r="C94" s="497"/>
      <c r="D94" s="498"/>
      <c r="E94" s="983"/>
      <c r="F94" s="983"/>
      <c r="G94" s="986"/>
      <c r="H94" s="986"/>
      <c r="I94" s="986"/>
      <c r="J94" s="983"/>
      <c r="K94" s="986"/>
      <c r="L94" s="986"/>
      <c r="M94" s="986"/>
      <c r="N94" s="983"/>
      <c r="O94" s="986"/>
      <c r="P94" s="986"/>
      <c r="Q94" s="986"/>
      <c r="R94" s="983"/>
      <c r="S94" s="986"/>
      <c r="T94" s="986"/>
      <c r="U94" s="986"/>
    </row>
    <row r="95" spans="1:21" ht="12" hidden="1" customHeight="1">
      <c r="A95" s="487"/>
      <c r="B95" s="500" t="s">
        <v>28</v>
      </c>
      <c r="C95" s="501"/>
      <c r="D95" s="494"/>
      <c r="E95" s="984">
        <f>G95+I95+K95+M95+O95+Q95+S95+U95</f>
        <v>0</v>
      </c>
      <c r="F95" s="986"/>
      <c r="G95" s="986"/>
      <c r="H95" s="986"/>
      <c r="I95" s="986"/>
      <c r="J95" s="986"/>
      <c r="K95" s="986"/>
      <c r="L95" s="986"/>
      <c r="M95" s="986"/>
      <c r="N95" s="986"/>
      <c r="O95" s="986"/>
      <c r="P95" s="986"/>
      <c r="Q95" s="986"/>
      <c r="R95" s="986"/>
      <c r="S95" s="986"/>
      <c r="T95" s="986"/>
      <c r="U95" s="986"/>
    </row>
    <row r="96" spans="1:21" ht="12" hidden="1" customHeight="1">
      <c r="A96" s="491">
        <v>1</v>
      </c>
      <c r="B96" s="500"/>
      <c r="C96" s="501"/>
      <c r="D96" s="494"/>
      <c r="E96" s="984">
        <f>G96+I96+K96+M96+O96+Q96+S96+U96</f>
        <v>0</v>
      </c>
      <c r="F96" s="986"/>
      <c r="G96" s="986"/>
      <c r="H96" s="986"/>
      <c r="I96" s="986"/>
      <c r="J96" s="986"/>
      <c r="K96" s="986"/>
      <c r="L96" s="986"/>
      <c r="M96" s="986"/>
      <c r="N96" s="986"/>
      <c r="O96" s="986"/>
      <c r="P96" s="986"/>
      <c r="Q96" s="986"/>
      <c r="R96" s="986"/>
      <c r="S96" s="986"/>
      <c r="T96" s="986"/>
      <c r="U96" s="986"/>
    </row>
    <row r="97" spans="1:21" ht="12" hidden="1" customHeight="1">
      <c r="A97" s="491">
        <v>2</v>
      </c>
      <c r="B97" s="500"/>
      <c r="C97" s="501"/>
      <c r="D97" s="494"/>
      <c r="E97" s="984">
        <f>G97+I97+K97+M97+O97+Q97+S97+U97</f>
        <v>0</v>
      </c>
      <c r="F97" s="986"/>
      <c r="G97" s="986"/>
      <c r="H97" s="986"/>
      <c r="I97" s="986"/>
      <c r="J97" s="986"/>
      <c r="K97" s="986"/>
      <c r="L97" s="986"/>
      <c r="M97" s="986"/>
      <c r="N97" s="986"/>
      <c r="O97" s="986"/>
      <c r="P97" s="986"/>
      <c r="Q97" s="986"/>
      <c r="R97" s="986"/>
      <c r="S97" s="986"/>
      <c r="T97" s="986"/>
      <c r="U97" s="986"/>
    </row>
    <row r="98" spans="1:21" ht="12" hidden="1" customHeight="1">
      <c r="A98" s="487"/>
      <c r="B98" s="500" t="s">
        <v>1931</v>
      </c>
      <c r="C98" s="501"/>
      <c r="D98" s="494"/>
      <c r="E98" s="984">
        <f>G98+I98+K98+M98+O98+Q98+S98+U98</f>
        <v>0</v>
      </c>
      <c r="F98" s="986"/>
      <c r="G98" s="986"/>
      <c r="H98" s="986"/>
      <c r="I98" s="986"/>
      <c r="J98" s="986"/>
      <c r="K98" s="986"/>
      <c r="L98" s="986"/>
      <c r="M98" s="986"/>
      <c r="N98" s="986"/>
      <c r="O98" s="986"/>
      <c r="P98" s="986"/>
      <c r="Q98" s="986"/>
      <c r="R98" s="986"/>
      <c r="S98" s="986"/>
      <c r="T98" s="986"/>
      <c r="U98" s="986"/>
    </row>
    <row r="99" spans="1:21" s="499" customFormat="1" ht="35.25" customHeight="1">
      <c r="A99" s="487" t="s">
        <v>139</v>
      </c>
      <c r="B99" s="488" t="s">
        <v>1949</v>
      </c>
      <c r="C99" s="497"/>
      <c r="D99" s="498"/>
      <c r="E99" s="983">
        <f>E100+E101+E102</f>
        <v>411.36</v>
      </c>
      <c r="F99" s="983"/>
      <c r="G99" s="986"/>
      <c r="H99" s="986"/>
      <c r="I99" s="999">
        <f>I101+I102</f>
        <v>0</v>
      </c>
      <c r="J99" s="983"/>
      <c r="K99" s="986"/>
      <c r="L99" s="986"/>
      <c r="M99" s="986"/>
      <c r="N99" s="983"/>
      <c r="O99" s="986"/>
      <c r="P99" s="986"/>
      <c r="Q99" s="986">
        <f>Q100</f>
        <v>411.36</v>
      </c>
      <c r="R99" s="983"/>
      <c r="S99" s="986"/>
      <c r="T99" s="986"/>
      <c r="U99" s="986"/>
    </row>
    <row r="100" spans="1:21" s="495" customFormat="1" ht="15" customHeight="1">
      <c r="A100" s="504">
        <v>1</v>
      </c>
      <c r="B100" s="505" t="s">
        <v>1964</v>
      </c>
      <c r="C100" s="506"/>
      <c r="D100" s="507"/>
      <c r="E100" s="992">
        <f>G100+I100+K100+M100+O100+Q100+S100+U100</f>
        <v>411.36</v>
      </c>
      <c r="F100" s="993"/>
      <c r="G100" s="993"/>
      <c r="H100" s="993"/>
      <c r="I100" s="993"/>
      <c r="J100" s="993"/>
      <c r="K100" s="993"/>
      <c r="L100" s="993"/>
      <c r="M100" s="993"/>
      <c r="N100" s="993"/>
      <c r="O100" s="993"/>
      <c r="P100" s="993"/>
      <c r="Q100" s="993">
        <v>411.36</v>
      </c>
      <c r="R100" s="993"/>
      <c r="S100" s="993"/>
      <c r="T100" s="993"/>
      <c r="U100" s="993"/>
    </row>
    <row r="101" spans="1:21" ht="12" hidden="1" customHeight="1">
      <c r="A101" s="508">
        <v>1</v>
      </c>
      <c r="B101" s="509" t="s">
        <v>1965</v>
      </c>
      <c r="C101" s="510"/>
      <c r="D101" s="511"/>
      <c r="E101" s="994">
        <f>G101+I101+K101+M101+O101+Q101+S101+U101</f>
        <v>0</v>
      </c>
      <c r="F101" s="995"/>
      <c r="G101" s="995"/>
      <c r="H101" s="995"/>
      <c r="I101" s="1000"/>
      <c r="J101" s="995"/>
      <c r="K101" s="995"/>
      <c r="L101" s="995"/>
      <c r="M101" s="995"/>
      <c r="N101" s="995"/>
      <c r="O101" s="995"/>
      <c r="P101" s="995"/>
      <c r="Q101" s="995"/>
      <c r="R101" s="995"/>
      <c r="S101" s="995"/>
      <c r="T101" s="995"/>
      <c r="U101" s="995"/>
    </row>
    <row r="102" spans="1:21" ht="12" hidden="1" customHeight="1">
      <c r="A102" s="491">
        <v>2</v>
      </c>
      <c r="B102" s="512" t="s">
        <v>1966</v>
      </c>
      <c r="C102" s="501"/>
      <c r="D102" s="494"/>
      <c r="E102" s="984">
        <f>G102+I102+K102+M102+O102+Q102+S102+U102</f>
        <v>0</v>
      </c>
      <c r="F102" s="986"/>
      <c r="G102" s="986"/>
      <c r="H102" s="986"/>
      <c r="I102" s="985"/>
      <c r="J102" s="986"/>
      <c r="K102" s="986"/>
      <c r="L102" s="986"/>
      <c r="M102" s="986"/>
      <c r="N102" s="986"/>
      <c r="O102" s="986"/>
      <c r="P102" s="986"/>
      <c r="Q102" s="986"/>
      <c r="R102" s="986"/>
      <c r="S102" s="986"/>
      <c r="T102" s="986"/>
      <c r="U102" s="986"/>
    </row>
    <row r="103" spans="1:21" ht="12" hidden="1" customHeight="1">
      <c r="A103" s="513"/>
      <c r="B103" s="514" t="s">
        <v>1931</v>
      </c>
      <c r="C103" s="506"/>
      <c r="D103" s="507"/>
      <c r="E103" s="992">
        <f>G103+I103+K103+M103+O103+Q103+S103+U103</f>
        <v>0</v>
      </c>
      <c r="F103" s="996"/>
      <c r="G103" s="996"/>
      <c r="H103" s="996"/>
      <c r="I103" s="996"/>
      <c r="J103" s="996"/>
      <c r="K103" s="996"/>
      <c r="L103" s="996"/>
      <c r="M103" s="996"/>
      <c r="N103" s="996"/>
      <c r="O103" s="996"/>
      <c r="P103" s="996"/>
      <c r="Q103" s="996"/>
      <c r="R103" s="996"/>
      <c r="S103" s="996"/>
      <c r="T103" s="996"/>
      <c r="U103" s="996"/>
    </row>
    <row r="104" spans="1:21">
      <c r="E104" s="517"/>
    </row>
  </sheetData>
  <autoFilter ref="B2:B103"/>
  <mergeCells count="15">
    <mergeCell ref="R1:U1"/>
    <mergeCell ref="N5:O5"/>
    <mergeCell ref="P5:Q5"/>
    <mergeCell ref="R5:S5"/>
    <mergeCell ref="T5:U5"/>
    <mergeCell ref="A2:U2"/>
    <mergeCell ref="A3:U3"/>
    <mergeCell ref="S4:U4"/>
    <mergeCell ref="A5:A6"/>
    <mergeCell ref="B5:B6"/>
    <mergeCell ref="D5:E5"/>
    <mergeCell ref="F5:G5"/>
    <mergeCell ref="H5:I5"/>
    <mergeCell ref="J5:K5"/>
    <mergeCell ref="L5:M5"/>
  </mergeCells>
  <pageMargins left="0.32" right="0.27" top="0.37" bottom="0.49" header="0.2" footer="0.28000000000000003"/>
  <pageSetup paperSize="9" firstPageNumber="74" orientation="landscape" useFirstPageNumber="1"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79"/>
  <sheetViews>
    <sheetView zoomScaleNormal="100" workbookViewId="0">
      <pane xSplit="2" ySplit="8" topLeftCell="C9" activePane="bottomRight" state="frozen"/>
      <selection pane="topRight" activeCell="C1" sqref="C1"/>
      <selection pane="bottomLeft" activeCell="A9" sqref="A9"/>
      <selection pane="bottomRight" activeCell="O12" sqref="O12"/>
    </sheetView>
  </sheetViews>
  <sheetFormatPr defaultRowHeight="15"/>
  <cols>
    <col min="1" max="1" width="4.85546875" style="948" customWidth="1"/>
    <col min="2" max="2" width="39.7109375" style="948" customWidth="1"/>
    <col min="3" max="3" width="9.42578125" style="948" customWidth="1"/>
    <col min="4" max="5" width="9.5703125" style="948" customWidth="1"/>
    <col min="6" max="6" width="8" style="948" customWidth="1"/>
    <col min="7" max="7" width="9.85546875" style="948" customWidth="1"/>
    <col min="8" max="8" width="9.42578125" style="948" customWidth="1"/>
    <col min="9" max="9" width="9.7109375" style="948" customWidth="1"/>
    <col min="10" max="10" width="8.140625" style="948" customWidth="1"/>
    <col min="11" max="11" width="10.140625" style="948" customWidth="1"/>
    <col min="12" max="12" width="9.42578125" style="948" customWidth="1"/>
    <col min="13" max="13" width="10.85546875" style="948" customWidth="1"/>
    <col min="14" max="14" width="11.7109375" style="948" customWidth="1"/>
    <col min="15" max="16384" width="9.140625" style="948"/>
  </cols>
  <sheetData>
    <row r="1" spans="1:14" s="946" customFormat="1" ht="20.25" customHeight="1">
      <c r="A1" s="1652" t="s">
        <v>221</v>
      </c>
      <c r="B1" s="1652"/>
      <c r="J1" s="1653" t="s">
        <v>1620</v>
      </c>
      <c r="K1" s="1653"/>
      <c r="L1" s="1653"/>
    </row>
    <row r="2" spans="1:14" ht="15.75">
      <c r="A2" s="947"/>
    </row>
    <row r="3" spans="1:14" ht="15.75">
      <c r="A3" s="1652" t="s">
        <v>1621</v>
      </c>
      <c r="B3" s="1652"/>
      <c r="C3" s="1652"/>
      <c r="D3" s="1652"/>
      <c r="E3" s="1652"/>
      <c r="F3" s="1652"/>
      <c r="G3" s="1652"/>
      <c r="H3" s="1652"/>
      <c r="I3" s="1652"/>
      <c r="J3" s="1652"/>
      <c r="K3" s="1652"/>
      <c r="L3" s="1652"/>
    </row>
    <row r="4" spans="1:14" ht="15.75">
      <c r="A4" s="1658" t="s">
        <v>1622</v>
      </c>
      <c r="B4" s="1658"/>
      <c r="C4" s="1658"/>
      <c r="D4" s="1658"/>
      <c r="E4" s="1658"/>
      <c r="F4" s="1658"/>
      <c r="G4" s="1658"/>
      <c r="H4" s="1658"/>
      <c r="I4" s="1658"/>
      <c r="J4" s="1658"/>
      <c r="K4" s="1658"/>
      <c r="L4" s="1658"/>
    </row>
    <row r="5" spans="1:14" ht="15.75">
      <c r="L5" s="949" t="s">
        <v>1623</v>
      </c>
    </row>
    <row r="6" spans="1:14" s="950" customFormat="1" ht="23.25" customHeight="1">
      <c r="A6" s="1659" t="s">
        <v>0</v>
      </c>
      <c r="B6" s="1659" t="s">
        <v>1</v>
      </c>
      <c r="C6" s="1659" t="s">
        <v>1263</v>
      </c>
      <c r="D6" s="1659"/>
      <c r="E6" s="1659" t="s">
        <v>1488</v>
      </c>
      <c r="F6" s="1659" t="s">
        <v>1624</v>
      </c>
      <c r="G6" s="1659"/>
      <c r="H6" s="1659"/>
      <c r="I6" s="1659"/>
      <c r="J6" s="1659"/>
      <c r="K6" s="1659" t="s">
        <v>1625</v>
      </c>
      <c r="L6" s="1659"/>
    </row>
    <row r="7" spans="1:14" s="950" customFormat="1" ht="23.25" customHeight="1">
      <c r="A7" s="1659"/>
      <c r="B7" s="1659"/>
      <c r="C7" s="1655" t="s">
        <v>1626</v>
      </c>
      <c r="D7" s="1655" t="s">
        <v>1627</v>
      </c>
      <c r="E7" s="1659"/>
      <c r="F7" s="1655" t="s">
        <v>1628</v>
      </c>
      <c r="G7" s="1655" t="s">
        <v>1629</v>
      </c>
      <c r="H7" s="1660" t="s">
        <v>33</v>
      </c>
      <c r="I7" s="1661"/>
      <c r="J7" s="1662"/>
      <c r="K7" s="1655" t="s">
        <v>1626</v>
      </c>
      <c r="L7" s="1655" t="s">
        <v>1627</v>
      </c>
    </row>
    <row r="8" spans="1:14" s="950" customFormat="1" ht="41.25" customHeight="1">
      <c r="A8" s="1659"/>
      <c r="B8" s="1659"/>
      <c r="C8" s="1656"/>
      <c r="D8" s="1656"/>
      <c r="E8" s="1659"/>
      <c r="F8" s="1656"/>
      <c r="G8" s="1656"/>
      <c r="H8" s="951" t="s">
        <v>1630</v>
      </c>
      <c r="I8" s="951" t="s">
        <v>1631</v>
      </c>
      <c r="J8" s="951" t="s">
        <v>1632</v>
      </c>
      <c r="K8" s="1656"/>
      <c r="L8" s="1656"/>
    </row>
    <row r="9" spans="1:14" s="950" customFormat="1" ht="18" customHeight="1">
      <c r="A9" s="952" t="s">
        <v>2</v>
      </c>
      <c r="B9" s="952" t="s">
        <v>3</v>
      </c>
      <c r="C9" s="952">
        <v>1</v>
      </c>
      <c r="D9" s="952">
        <v>2</v>
      </c>
      <c r="E9" s="952" t="s">
        <v>1633</v>
      </c>
      <c r="F9" s="952">
        <v>4</v>
      </c>
      <c r="G9" s="952">
        <v>5</v>
      </c>
      <c r="H9" s="952">
        <v>6</v>
      </c>
      <c r="I9" s="952">
        <v>7</v>
      </c>
      <c r="J9" s="952">
        <v>8</v>
      </c>
      <c r="K9" s="952" t="s">
        <v>1634</v>
      </c>
      <c r="L9" s="952" t="s">
        <v>1635</v>
      </c>
      <c r="M9" s="953"/>
      <c r="N9" s="953"/>
    </row>
    <row r="10" spans="1:14" s="957" customFormat="1" ht="17.25" customHeight="1">
      <c r="A10" s="954"/>
      <c r="B10" s="954" t="s">
        <v>1636</v>
      </c>
      <c r="C10" s="927">
        <f t="shared" ref="C10:J10" si="0">C11+C59+C62+C69+C70</f>
        <v>3950380</v>
      </c>
      <c r="D10" s="927">
        <f t="shared" si="0"/>
        <v>3969900</v>
      </c>
      <c r="E10" s="927">
        <f t="shared" si="0"/>
        <v>7893178</v>
      </c>
      <c r="F10" s="927">
        <f t="shared" si="0"/>
        <v>68319</v>
      </c>
      <c r="G10" s="927">
        <f>G11+G59+G62+G69+G70</f>
        <v>7824859</v>
      </c>
      <c r="H10" s="927">
        <f t="shared" si="0"/>
        <v>4545900</v>
      </c>
      <c r="I10" s="927">
        <f t="shared" si="0"/>
        <v>2562062</v>
      </c>
      <c r="J10" s="927">
        <f t="shared" si="0"/>
        <v>716897</v>
      </c>
      <c r="K10" s="955">
        <f t="shared" ref="K10:K15" si="1">E10/C10</f>
        <v>1.9980806909715014</v>
      </c>
      <c r="L10" s="955">
        <f t="shared" ref="L10:L15" si="2">E10/D10</f>
        <v>1.9882561273583716</v>
      </c>
      <c r="M10" s="956"/>
    </row>
    <row r="11" spans="1:14" s="957" customFormat="1" ht="20.25" customHeight="1">
      <c r="A11" s="958" t="s">
        <v>2</v>
      </c>
      <c r="B11" s="959" t="s">
        <v>1637</v>
      </c>
      <c r="C11" s="298">
        <f t="shared" ref="C11:J11" si="3">C12+C51+C52+C54+C55+C58</f>
        <v>586000</v>
      </c>
      <c r="D11" s="298">
        <f t="shared" si="3"/>
        <v>600000</v>
      </c>
      <c r="E11" s="298">
        <f>E12+E51+E52+E54+E55+E58</f>
        <v>617894</v>
      </c>
      <c r="F11" s="298">
        <f t="shared" si="3"/>
        <v>68319</v>
      </c>
      <c r="G11" s="298">
        <f t="shared" si="3"/>
        <v>549575</v>
      </c>
      <c r="H11" s="298">
        <f t="shared" si="3"/>
        <v>219416</v>
      </c>
      <c r="I11" s="298">
        <f t="shared" si="3"/>
        <v>303542</v>
      </c>
      <c r="J11" s="298">
        <f t="shared" si="3"/>
        <v>26617</v>
      </c>
      <c r="K11" s="960">
        <f t="shared" si="1"/>
        <v>1.0544266211604096</v>
      </c>
      <c r="L11" s="960">
        <f t="shared" si="2"/>
        <v>1.0298233333333333</v>
      </c>
      <c r="M11" s="956">
        <f>E10-I63-J63-F10</f>
        <v>5156916</v>
      </c>
    </row>
    <row r="12" spans="1:14" s="957" customFormat="1" ht="18.75" customHeight="1">
      <c r="A12" s="958" t="s">
        <v>11</v>
      </c>
      <c r="B12" s="959" t="s">
        <v>6</v>
      </c>
      <c r="C12" s="298">
        <f t="shared" ref="C12:J12" si="4">C13+C19+C26+SUM(C32:C36)+C37+C41+C42+C43+C44+C45+C46+C47+SUM(C48:C50)</f>
        <v>581000</v>
      </c>
      <c r="D12" s="298">
        <f t="shared" si="4"/>
        <v>595000</v>
      </c>
      <c r="E12" s="298">
        <f t="shared" si="4"/>
        <v>579449</v>
      </c>
      <c r="F12" s="298">
        <f t="shared" si="4"/>
        <v>66275</v>
      </c>
      <c r="G12" s="298">
        <f t="shared" si="4"/>
        <v>513174</v>
      </c>
      <c r="H12" s="298">
        <f t="shared" si="4"/>
        <v>209228</v>
      </c>
      <c r="I12" s="298">
        <f t="shared" si="4"/>
        <v>277329</v>
      </c>
      <c r="J12" s="298">
        <f t="shared" si="4"/>
        <v>26617</v>
      </c>
      <c r="K12" s="960">
        <f t="shared" si="1"/>
        <v>0.99733046471600684</v>
      </c>
      <c r="L12" s="960">
        <f t="shared" si="2"/>
        <v>0.97386386554621851</v>
      </c>
      <c r="M12" s="956">
        <f>G10-I63-J63</f>
        <v>5156916</v>
      </c>
    </row>
    <row r="13" spans="1:14" s="957" customFormat="1" ht="31.5" customHeight="1">
      <c r="A13" s="958">
        <v>1</v>
      </c>
      <c r="B13" s="959" t="s">
        <v>1638</v>
      </c>
      <c r="C13" s="298">
        <f t="shared" ref="C13:J13" si="5">C14+C15+C16+C17+C18</f>
        <v>74000</v>
      </c>
      <c r="D13" s="298">
        <f t="shared" si="5"/>
        <v>74000</v>
      </c>
      <c r="E13" s="298">
        <f t="shared" si="5"/>
        <v>65744</v>
      </c>
      <c r="F13" s="298">
        <f t="shared" si="5"/>
        <v>40</v>
      </c>
      <c r="G13" s="298">
        <f t="shared" si="5"/>
        <v>65704</v>
      </c>
      <c r="H13" s="298">
        <f t="shared" si="5"/>
        <v>43971</v>
      </c>
      <c r="I13" s="298">
        <f t="shared" si="5"/>
        <v>21733</v>
      </c>
      <c r="J13" s="298">
        <f t="shared" si="5"/>
        <v>0</v>
      </c>
      <c r="K13" s="960">
        <f t="shared" si="1"/>
        <v>0.88843243243243242</v>
      </c>
      <c r="L13" s="960">
        <f t="shared" si="2"/>
        <v>0.88843243243243242</v>
      </c>
      <c r="M13" s="956"/>
      <c r="N13" s="956"/>
    </row>
    <row r="14" spans="1:14" s="950" customFormat="1" ht="12.75">
      <c r="A14" s="961"/>
      <c r="B14" s="962" t="s">
        <v>1398</v>
      </c>
      <c r="C14" s="558">
        <f>47800+5500</f>
        <v>53300</v>
      </c>
      <c r="D14" s="558">
        <f>47800+5500</f>
        <v>53300</v>
      </c>
      <c r="E14" s="558">
        <f>F14+G14</f>
        <v>40910</v>
      </c>
      <c r="F14" s="558">
        <v>0</v>
      </c>
      <c r="G14" s="558">
        <f>H14+I14+J14</f>
        <v>40910</v>
      </c>
      <c r="H14" s="558">
        <v>40471</v>
      </c>
      <c r="I14" s="558">
        <v>439</v>
      </c>
      <c r="J14" s="558"/>
      <c r="K14" s="963">
        <f t="shared" si="1"/>
        <v>0.76754221388367727</v>
      </c>
      <c r="L14" s="963">
        <f t="shared" si="2"/>
        <v>0.76754221388367727</v>
      </c>
    </row>
    <row r="15" spans="1:14" s="950" customFormat="1" ht="12.75">
      <c r="A15" s="961"/>
      <c r="B15" s="962" t="s">
        <v>1399</v>
      </c>
      <c r="C15" s="558">
        <f>500+1700</f>
        <v>2200</v>
      </c>
      <c r="D15" s="558">
        <f>500+1700</f>
        <v>2200</v>
      </c>
      <c r="E15" s="558">
        <f>F15+G15</f>
        <v>3686</v>
      </c>
      <c r="F15" s="558">
        <v>30</v>
      </c>
      <c r="G15" s="558">
        <f>H15+I15+J15</f>
        <v>3656</v>
      </c>
      <c r="H15" s="558">
        <v>3492</v>
      </c>
      <c r="I15" s="558">
        <v>164</v>
      </c>
      <c r="J15" s="558"/>
      <c r="K15" s="963">
        <f t="shared" si="1"/>
        <v>1.6754545454545455</v>
      </c>
      <c r="L15" s="963">
        <f t="shared" si="2"/>
        <v>1.6754545454545455</v>
      </c>
    </row>
    <row r="16" spans="1:14" s="950" customFormat="1" ht="12.75">
      <c r="A16" s="961"/>
      <c r="B16" s="962" t="s">
        <v>1400</v>
      </c>
      <c r="C16" s="558">
        <v>0</v>
      </c>
      <c r="D16" s="558">
        <v>0</v>
      </c>
      <c r="E16" s="558">
        <f>F16+G16</f>
        <v>0</v>
      </c>
      <c r="F16" s="558">
        <v>0</v>
      </c>
      <c r="G16" s="558">
        <f>H16+I16+J16</f>
        <v>0</v>
      </c>
      <c r="H16" s="558">
        <v>0</v>
      </c>
      <c r="I16" s="558">
        <v>0</v>
      </c>
      <c r="J16" s="558"/>
      <c r="K16" s="963"/>
      <c r="L16" s="963"/>
    </row>
    <row r="17" spans="1:12" s="950" customFormat="1" ht="12.75">
      <c r="A17" s="961"/>
      <c r="B17" s="962" t="s">
        <v>1401</v>
      </c>
      <c r="C17" s="558">
        <f>18000+150</f>
        <v>18150</v>
      </c>
      <c r="D17" s="558">
        <f>18000+150</f>
        <v>18150</v>
      </c>
      <c r="E17" s="558">
        <f>F17+G17</f>
        <v>21130</v>
      </c>
      <c r="F17" s="558"/>
      <c r="G17" s="558">
        <f>H17+I17+J17</f>
        <v>21130</v>
      </c>
      <c r="H17" s="558">
        <v>0</v>
      </c>
      <c r="I17" s="558">
        <v>21130</v>
      </c>
      <c r="J17" s="558"/>
      <c r="K17" s="963">
        <f>E17/C17</f>
        <v>1.1641873278236914</v>
      </c>
      <c r="L17" s="963">
        <f>E17/D17</f>
        <v>1.1641873278236914</v>
      </c>
    </row>
    <row r="18" spans="1:12" s="950" customFormat="1" ht="12.75">
      <c r="A18" s="961"/>
      <c r="B18" s="962" t="s">
        <v>1402</v>
      </c>
      <c r="C18" s="558">
        <f>200+150</f>
        <v>350</v>
      </c>
      <c r="D18" s="558">
        <f>200+150</f>
        <v>350</v>
      </c>
      <c r="E18" s="558">
        <f>F18+G18</f>
        <v>18</v>
      </c>
      <c r="F18" s="558">
        <v>10</v>
      </c>
      <c r="G18" s="558">
        <f>H18+I18+J18</f>
        <v>8</v>
      </c>
      <c r="H18" s="558">
        <v>8</v>
      </c>
      <c r="I18" s="558">
        <v>0</v>
      </c>
      <c r="J18" s="558">
        <v>0</v>
      </c>
      <c r="K18" s="963">
        <f>E18/C18</f>
        <v>5.1428571428571428E-2</v>
      </c>
      <c r="L18" s="963">
        <f>E18/D18</f>
        <v>5.1428571428571428E-2</v>
      </c>
    </row>
    <row r="19" spans="1:12" s="957" customFormat="1" ht="29.25" customHeight="1">
      <c r="A19" s="958">
        <v>2</v>
      </c>
      <c r="B19" s="959" t="s">
        <v>1403</v>
      </c>
      <c r="C19" s="298">
        <f t="shared" ref="C19:J19" si="6">C20+C21+C22+C23+C24+C25</f>
        <v>5500</v>
      </c>
      <c r="D19" s="298">
        <f t="shared" si="6"/>
        <v>5500</v>
      </c>
      <c r="E19" s="298">
        <f t="shared" si="6"/>
        <v>488</v>
      </c>
      <c r="F19" s="298">
        <f t="shared" si="6"/>
        <v>0</v>
      </c>
      <c r="G19" s="298">
        <f t="shared" si="6"/>
        <v>488</v>
      </c>
      <c r="H19" s="298">
        <f t="shared" si="6"/>
        <v>376</v>
      </c>
      <c r="I19" s="298">
        <f t="shared" si="6"/>
        <v>112</v>
      </c>
      <c r="J19" s="298">
        <f t="shared" si="6"/>
        <v>0</v>
      </c>
      <c r="K19" s="960">
        <f>E19/C19</f>
        <v>8.8727272727272724E-2</v>
      </c>
      <c r="L19" s="960">
        <f>E19/D19</f>
        <v>8.8727272727272724E-2</v>
      </c>
    </row>
    <row r="20" spans="1:12" s="950" customFormat="1" ht="12.75">
      <c r="A20" s="961"/>
      <c r="B20" s="962" t="s">
        <v>1398</v>
      </c>
      <c r="C20" s="558">
        <v>57</v>
      </c>
      <c r="D20" s="558">
        <v>57</v>
      </c>
      <c r="E20" s="558">
        <f t="shared" ref="E20:E25" si="7">F20+G20</f>
        <v>100</v>
      </c>
      <c r="F20" s="558"/>
      <c r="G20" s="558">
        <f t="shared" ref="G20:G25" si="8">H20+I20+J20</f>
        <v>100</v>
      </c>
      <c r="H20" s="558">
        <v>100</v>
      </c>
      <c r="I20" s="558"/>
      <c r="J20" s="558"/>
      <c r="K20" s="963">
        <f>E20/C20</f>
        <v>1.7543859649122806</v>
      </c>
      <c r="L20" s="963">
        <f>E20/D20</f>
        <v>1.7543859649122806</v>
      </c>
    </row>
    <row r="21" spans="1:12" s="950" customFormat="1" ht="12.75">
      <c r="A21" s="961"/>
      <c r="B21" s="962" t="s">
        <v>1399</v>
      </c>
      <c r="C21" s="558">
        <v>5300</v>
      </c>
      <c r="D21" s="558">
        <v>5300</v>
      </c>
      <c r="E21" s="558">
        <f t="shared" si="7"/>
        <v>20</v>
      </c>
      <c r="F21" s="558"/>
      <c r="G21" s="558">
        <f t="shared" si="8"/>
        <v>20</v>
      </c>
      <c r="H21" s="558">
        <v>20</v>
      </c>
      <c r="I21" s="558"/>
      <c r="J21" s="558"/>
      <c r="K21" s="963">
        <f>E21/C21</f>
        <v>3.7735849056603774E-3</v>
      </c>
      <c r="L21" s="963">
        <f>E21/D21</f>
        <v>3.7735849056603774E-3</v>
      </c>
    </row>
    <row r="22" spans="1:12" s="950" customFormat="1" ht="12.75">
      <c r="A22" s="961"/>
      <c r="B22" s="962" t="s">
        <v>1400</v>
      </c>
      <c r="C22" s="558">
        <v>0</v>
      </c>
      <c r="D22" s="558">
        <v>0</v>
      </c>
      <c r="E22" s="558">
        <f t="shared" si="7"/>
        <v>0</v>
      </c>
      <c r="F22" s="558"/>
      <c r="G22" s="558">
        <f t="shared" si="8"/>
        <v>0</v>
      </c>
      <c r="H22" s="558"/>
      <c r="I22" s="558"/>
      <c r="J22" s="558"/>
      <c r="K22" s="963"/>
      <c r="L22" s="963"/>
    </row>
    <row r="23" spans="1:12" s="950" customFormat="1" ht="12.75">
      <c r="A23" s="961"/>
      <c r="B23" s="962" t="s">
        <v>1401</v>
      </c>
      <c r="C23" s="558">
        <v>0</v>
      </c>
      <c r="D23" s="558">
        <v>0</v>
      </c>
      <c r="E23" s="558">
        <f t="shared" si="7"/>
        <v>112</v>
      </c>
      <c r="F23" s="558"/>
      <c r="G23" s="558">
        <f t="shared" si="8"/>
        <v>112</v>
      </c>
      <c r="H23" s="558"/>
      <c r="I23" s="558">
        <v>112</v>
      </c>
      <c r="J23" s="558"/>
      <c r="K23" s="963"/>
      <c r="L23" s="963"/>
    </row>
    <row r="24" spans="1:12" s="950" customFormat="1" ht="12.75">
      <c r="A24" s="961"/>
      <c r="B24" s="962" t="s">
        <v>1404</v>
      </c>
      <c r="C24" s="558">
        <v>0</v>
      </c>
      <c r="D24" s="558">
        <v>0</v>
      </c>
      <c r="E24" s="558">
        <f t="shared" si="7"/>
        <v>256</v>
      </c>
      <c r="F24" s="558"/>
      <c r="G24" s="558">
        <f t="shared" si="8"/>
        <v>256</v>
      </c>
      <c r="H24" s="558">
        <v>256</v>
      </c>
      <c r="I24" s="558"/>
      <c r="J24" s="558"/>
      <c r="K24" s="963"/>
      <c r="L24" s="963"/>
    </row>
    <row r="25" spans="1:12" s="950" customFormat="1" ht="12.75">
      <c r="A25" s="961"/>
      <c r="B25" s="962" t="s">
        <v>1402</v>
      </c>
      <c r="C25" s="558">
        <v>143</v>
      </c>
      <c r="D25" s="558">
        <v>143</v>
      </c>
      <c r="E25" s="558">
        <f t="shared" si="7"/>
        <v>0</v>
      </c>
      <c r="F25" s="558"/>
      <c r="G25" s="558">
        <f t="shared" si="8"/>
        <v>0</v>
      </c>
      <c r="H25" s="558"/>
      <c r="I25" s="558"/>
      <c r="J25" s="558"/>
      <c r="K25" s="963">
        <f t="shared" ref="K25:K37" si="9">E25/C25</f>
        <v>0</v>
      </c>
      <c r="L25" s="963">
        <f t="shared" ref="L25:L37" si="10">E25/D25</f>
        <v>0</v>
      </c>
    </row>
    <row r="26" spans="1:12" s="957" customFormat="1" ht="15.75" customHeight="1">
      <c r="A26" s="958">
        <v>3</v>
      </c>
      <c r="B26" s="959" t="s">
        <v>1405</v>
      </c>
      <c r="C26" s="298">
        <f t="shared" ref="C26:J26" si="11">SUM(C27:C29)+C30+C31</f>
        <v>164000</v>
      </c>
      <c r="D26" s="298">
        <f t="shared" si="11"/>
        <v>170980</v>
      </c>
      <c r="E26" s="298">
        <f t="shared" si="11"/>
        <v>146531</v>
      </c>
      <c r="F26" s="298">
        <f t="shared" si="11"/>
        <v>365</v>
      </c>
      <c r="G26" s="298">
        <f t="shared" si="11"/>
        <v>146166</v>
      </c>
      <c r="H26" s="298">
        <f t="shared" si="11"/>
        <v>62758</v>
      </c>
      <c r="I26" s="298">
        <f t="shared" si="11"/>
        <v>83385</v>
      </c>
      <c r="J26" s="298">
        <f t="shared" si="11"/>
        <v>23</v>
      </c>
      <c r="K26" s="960">
        <f t="shared" si="9"/>
        <v>0.89348170731707321</v>
      </c>
      <c r="L26" s="960">
        <f t="shared" si="10"/>
        <v>0.85700666744648502</v>
      </c>
    </row>
    <row r="27" spans="1:12" s="950" customFormat="1" ht="12.75">
      <c r="A27" s="961"/>
      <c r="B27" s="962" t="s">
        <v>1398</v>
      </c>
      <c r="C27" s="558">
        <v>128000</v>
      </c>
      <c r="D27" s="558">
        <v>128000</v>
      </c>
      <c r="E27" s="558">
        <f t="shared" ref="E27:E50" si="12">F27+G27</f>
        <v>106206</v>
      </c>
      <c r="F27" s="558"/>
      <c r="G27" s="558">
        <f t="shared" ref="G27:G50" si="13">H27+I27+J27</f>
        <v>106206</v>
      </c>
      <c r="H27" s="558">
        <v>55602</v>
      </c>
      <c r="I27" s="558">
        <v>50596</v>
      </c>
      <c r="J27" s="558">
        <v>8</v>
      </c>
      <c r="K27" s="963">
        <f t="shared" si="9"/>
        <v>0.82973437500000002</v>
      </c>
      <c r="L27" s="963">
        <f t="shared" si="10"/>
        <v>0.82973437500000002</v>
      </c>
    </row>
    <row r="28" spans="1:12" s="950" customFormat="1" ht="12.75">
      <c r="A28" s="961"/>
      <c r="B28" s="962" t="s">
        <v>1399</v>
      </c>
      <c r="C28" s="558">
        <v>12000</v>
      </c>
      <c r="D28" s="558">
        <v>12000</v>
      </c>
      <c r="E28" s="558">
        <f t="shared" si="12"/>
        <v>7944</v>
      </c>
      <c r="F28" s="558"/>
      <c r="G28" s="558">
        <f t="shared" si="13"/>
        <v>7944</v>
      </c>
      <c r="H28" s="558">
        <v>6159</v>
      </c>
      <c r="I28" s="558">
        <v>1785</v>
      </c>
      <c r="J28" s="558"/>
      <c r="K28" s="963">
        <f t="shared" si="9"/>
        <v>0.66200000000000003</v>
      </c>
      <c r="L28" s="963">
        <f t="shared" si="10"/>
        <v>0.66200000000000003</v>
      </c>
    </row>
    <row r="29" spans="1:12" s="950" customFormat="1" ht="12.75">
      <c r="A29" s="961"/>
      <c r="B29" s="962" t="s">
        <v>1400</v>
      </c>
      <c r="C29" s="558">
        <v>120</v>
      </c>
      <c r="D29" s="558">
        <v>120</v>
      </c>
      <c r="E29" s="558">
        <f t="shared" si="12"/>
        <v>259</v>
      </c>
      <c r="F29" s="558"/>
      <c r="G29" s="558">
        <f t="shared" si="13"/>
        <v>259</v>
      </c>
      <c r="H29" s="558">
        <v>259</v>
      </c>
      <c r="I29" s="558"/>
      <c r="J29" s="558"/>
      <c r="K29" s="963">
        <f t="shared" si="9"/>
        <v>2.1583333333333332</v>
      </c>
      <c r="L29" s="963">
        <f t="shared" si="10"/>
        <v>2.1583333333333332</v>
      </c>
    </row>
    <row r="30" spans="1:12" s="950" customFormat="1" ht="12.75">
      <c r="A30" s="961"/>
      <c r="B30" s="962" t="s">
        <v>1401</v>
      </c>
      <c r="C30" s="558">
        <v>15000</v>
      </c>
      <c r="D30" s="558">
        <v>21980</v>
      </c>
      <c r="E30" s="558">
        <f t="shared" si="12"/>
        <v>31051</v>
      </c>
      <c r="F30" s="558"/>
      <c r="G30" s="558">
        <f t="shared" si="13"/>
        <v>31051</v>
      </c>
      <c r="H30" s="558">
        <v>380</v>
      </c>
      <c r="I30" s="558">
        <v>30671</v>
      </c>
      <c r="J30" s="558"/>
      <c r="K30" s="963">
        <f t="shared" si="9"/>
        <v>2.0700666666666665</v>
      </c>
      <c r="L30" s="963">
        <f t="shared" si="10"/>
        <v>1.4126933575978162</v>
      </c>
    </row>
    <row r="31" spans="1:12" s="950" customFormat="1" ht="12.75">
      <c r="A31" s="961"/>
      <c r="B31" s="962" t="s">
        <v>1402</v>
      </c>
      <c r="C31" s="558">
        <v>8880</v>
      </c>
      <c r="D31" s="558">
        <v>8880</v>
      </c>
      <c r="E31" s="558">
        <f t="shared" si="12"/>
        <v>1071</v>
      </c>
      <c r="F31" s="558">
        <f>365</f>
        <v>365</v>
      </c>
      <c r="G31" s="558">
        <f t="shared" si="13"/>
        <v>706</v>
      </c>
      <c r="H31" s="558">
        <f>29+329</f>
        <v>358</v>
      </c>
      <c r="I31" s="558">
        <f>24+309</f>
        <v>333</v>
      </c>
      <c r="J31" s="558">
        <f>7+8</f>
        <v>15</v>
      </c>
      <c r="K31" s="963">
        <f t="shared" si="9"/>
        <v>0.12060810810810811</v>
      </c>
      <c r="L31" s="963">
        <f t="shared" si="10"/>
        <v>0.12060810810810811</v>
      </c>
    </row>
    <row r="32" spans="1:12" s="957" customFormat="1" ht="15.75" customHeight="1">
      <c r="A32" s="958">
        <v>4</v>
      </c>
      <c r="B32" s="959" t="s">
        <v>98</v>
      </c>
      <c r="C32" s="298">
        <v>38000</v>
      </c>
      <c r="D32" s="298">
        <v>38000</v>
      </c>
      <c r="E32" s="298">
        <f t="shared" si="12"/>
        <v>29075</v>
      </c>
      <c r="F32" s="298"/>
      <c r="G32" s="298">
        <f t="shared" si="13"/>
        <v>29075</v>
      </c>
      <c r="H32" s="298"/>
      <c r="I32" s="298">
        <v>27178</v>
      </c>
      <c r="J32" s="298">
        <v>1897</v>
      </c>
      <c r="K32" s="960">
        <f t="shared" si="9"/>
        <v>0.76513157894736838</v>
      </c>
      <c r="L32" s="960">
        <f t="shared" si="10"/>
        <v>0.76513157894736838</v>
      </c>
    </row>
    <row r="33" spans="1:12" s="957" customFormat="1" ht="15.75" customHeight="1">
      <c r="A33" s="958">
        <v>5</v>
      </c>
      <c r="B33" s="959" t="s">
        <v>80</v>
      </c>
      <c r="C33" s="298">
        <v>2000</v>
      </c>
      <c r="D33" s="298">
        <v>2000</v>
      </c>
      <c r="E33" s="298">
        <f t="shared" si="12"/>
        <v>2622</v>
      </c>
      <c r="F33" s="298"/>
      <c r="G33" s="298">
        <f t="shared" si="13"/>
        <v>2622</v>
      </c>
      <c r="H33" s="298"/>
      <c r="I33" s="298">
        <v>64</v>
      </c>
      <c r="J33" s="298">
        <v>2558</v>
      </c>
      <c r="K33" s="960">
        <f t="shared" si="9"/>
        <v>1.3109999999999999</v>
      </c>
      <c r="L33" s="960">
        <f t="shared" si="10"/>
        <v>1.3109999999999999</v>
      </c>
    </row>
    <row r="34" spans="1:12" s="957" customFormat="1" ht="15.75" customHeight="1">
      <c r="A34" s="958">
        <v>6</v>
      </c>
      <c r="B34" s="959" t="s">
        <v>81</v>
      </c>
      <c r="C34" s="298">
        <v>300</v>
      </c>
      <c r="D34" s="298">
        <v>300</v>
      </c>
      <c r="E34" s="298">
        <f t="shared" si="12"/>
        <v>541</v>
      </c>
      <c r="F34" s="298"/>
      <c r="G34" s="298">
        <f t="shared" si="13"/>
        <v>541</v>
      </c>
      <c r="H34" s="298">
        <v>3</v>
      </c>
      <c r="I34" s="298">
        <v>105</v>
      </c>
      <c r="J34" s="298">
        <v>433</v>
      </c>
      <c r="K34" s="960">
        <f t="shared" si="9"/>
        <v>1.8033333333333332</v>
      </c>
      <c r="L34" s="960">
        <f t="shared" si="10"/>
        <v>1.8033333333333332</v>
      </c>
    </row>
    <row r="35" spans="1:12" s="957" customFormat="1" ht="15" customHeight="1">
      <c r="A35" s="958">
        <v>7</v>
      </c>
      <c r="B35" s="959" t="s">
        <v>55</v>
      </c>
      <c r="C35" s="298">
        <v>28000</v>
      </c>
      <c r="D35" s="298">
        <v>28000</v>
      </c>
      <c r="E35" s="298">
        <f t="shared" si="12"/>
        <v>21980</v>
      </c>
      <c r="F35" s="298"/>
      <c r="G35" s="298">
        <f t="shared" si="13"/>
        <v>21980</v>
      </c>
      <c r="H35" s="298">
        <v>6252</v>
      </c>
      <c r="I35" s="298">
        <v>4771</v>
      </c>
      <c r="J35" s="298">
        <v>10957</v>
      </c>
      <c r="K35" s="960">
        <f t="shared" si="9"/>
        <v>0.78500000000000003</v>
      </c>
      <c r="L35" s="960">
        <f t="shared" si="10"/>
        <v>0.78500000000000003</v>
      </c>
    </row>
    <row r="36" spans="1:12" s="957" customFormat="1" ht="14.25" customHeight="1">
      <c r="A36" s="958">
        <v>8</v>
      </c>
      <c r="B36" s="959" t="s">
        <v>56</v>
      </c>
      <c r="C36" s="298">
        <v>70000</v>
      </c>
      <c r="D36" s="298">
        <v>70000</v>
      </c>
      <c r="E36" s="298">
        <f t="shared" si="12"/>
        <v>71836</v>
      </c>
      <c r="F36" s="298">
        <v>42327</v>
      </c>
      <c r="G36" s="298">
        <f t="shared" si="13"/>
        <v>29509</v>
      </c>
      <c r="H36" s="298">
        <v>29509</v>
      </c>
      <c r="I36" s="298"/>
      <c r="J36" s="298"/>
      <c r="K36" s="960">
        <f t="shared" si="9"/>
        <v>1.0262285714285715</v>
      </c>
      <c r="L36" s="960">
        <f t="shared" si="10"/>
        <v>1.0262285714285715</v>
      </c>
    </row>
    <row r="37" spans="1:12" s="957" customFormat="1" ht="15" customHeight="1">
      <c r="A37" s="958">
        <v>9</v>
      </c>
      <c r="B37" s="959" t="s">
        <v>1639</v>
      </c>
      <c r="C37" s="298">
        <v>61200</v>
      </c>
      <c r="D37" s="298">
        <v>67220</v>
      </c>
      <c r="E37" s="298">
        <f t="shared" si="12"/>
        <v>59213</v>
      </c>
      <c r="F37" s="298">
        <v>2680</v>
      </c>
      <c r="G37" s="298">
        <f t="shared" si="13"/>
        <v>56533</v>
      </c>
      <c r="H37" s="298">
        <v>4835</v>
      </c>
      <c r="I37" s="298">
        <v>46685</v>
      </c>
      <c r="J37" s="298">
        <v>5013</v>
      </c>
      <c r="K37" s="960">
        <f t="shared" si="9"/>
        <v>0.96753267973856205</v>
      </c>
      <c r="L37" s="960">
        <f t="shared" si="10"/>
        <v>0.88088366557572151</v>
      </c>
    </row>
    <row r="38" spans="1:12" s="950" customFormat="1" ht="25.5">
      <c r="A38" s="961"/>
      <c r="B38" s="964" t="s">
        <v>1640</v>
      </c>
      <c r="C38" s="558"/>
      <c r="D38" s="558"/>
      <c r="E38" s="558">
        <f t="shared" si="12"/>
        <v>19998</v>
      </c>
      <c r="F38" s="558">
        <v>2619</v>
      </c>
      <c r="G38" s="558">
        <f t="shared" si="13"/>
        <v>17379</v>
      </c>
      <c r="H38" s="558">
        <v>147</v>
      </c>
      <c r="I38" s="558">
        <v>17232</v>
      </c>
      <c r="J38" s="558"/>
      <c r="K38" s="963"/>
      <c r="L38" s="963"/>
    </row>
    <row r="39" spans="1:12" s="950" customFormat="1" ht="16.5" customHeight="1">
      <c r="A39" s="961"/>
      <c r="B39" s="964" t="s">
        <v>1641</v>
      </c>
      <c r="C39" s="558"/>
      <c r="D39" s="558"/>
      <c r="E39" s="558">
        <f t="shared" si="12"/>
        <v>39215</v>
      </c>
      <c r="F39" s="558">
        <v>61</v>
      </c>
      <c r="G39" s="558">
        <f t="shared" si="13"/>
        <v>39154</v>
      </c>
      <c r="H39" s="558">
        <v>4688</v>
      </c>
      <c r="I39" s="558">
        <f>29415+38</f>
        <v>29453</v>
      </c>
      <c r="J39" s="558">
        <v>5013</v>
      </c>
      <c r="K39" s="963"/>
      <c r="L39" s="963"/>
    </row>
    <row r="40" spans="1:12" s="950" customFormat="1" ht="25.5">
      <c r="A40" s="961"/>
      <c r="B40" s="964" t="s">
        <v>1642</v>
      </c>
      <c r="C40" s="558"/>
      <c r="D40" s="558"/>
      <c r="E40" s="558">
        <f t="shared" si="12"/>
        <v>41968</v>
      </c>
      <c r="F40" s="558"/>
      <c r="G40" s="558">
        <f t="shared" si="13"/>
        <v>41968</v>
      </c>
      <c r="H40" s="558">
        <v>167</v>
      </c>
      <c r="I40" s="558">
        <v>41598</v>
      </c>
      <c r="J40" s="558">
        <v>203</v>
      </c>
      <c r="K40" s="963"/>
      <c r="L40" s="963"/>
    </row>
    <row r="41" spans="1:12" s="957" customFormat="1" ht="15.75" customHeight="1">
      <c r="A41" s="958">
        <v>10</v>
      </c>
      <c r="B41" s="959" t="s">
        <v>1643</v>
      </c>
      <c r="C41" s="298">
        <v>55000</v>
      </c>
      <c r="D41" s="298">
        <v>55000</v>
      </c>
      <c r="E41" s="298">
        <f t="shared" si="12"/>
        <v>97819</v>
      </c>
      <c r="F41" s="298"/>
      <c r="G41" s="298">
        <f t="shared" si="13"/>
        <v>97819</v>
      </c>
      <c r="H41" s="298">
        <v>8878</v>
      </c>
      <c r="I41" s="298">
        <v>84674</v>
      </c>
      <c r="J41" s="298">
        <v>4267</v>
      </c>
      <c r="K41" s="960">
        <f>E41/C41</f>
        <v>1.7785272727272727</v>
      </c>
      <c r="L41" s="960">
        <f>E41/D41</f>
        <v>1.7785272727272727</v>
      </c>
    </row>
    <row r="42" spans="1:12" s="957" customFormat="1" ht="14.25" customHeight="1">
      <c r="A42" s="958">
        <v>11</v>
      </c>
      <c r="B42" s="959" t="s">
        <v>1644</v>
      </c>
      <c r="C42" s="298">
        <v>10000</v>
      </c>
      <c r="D42" s="298">
        <v>10000</v>
      </c>
      <c r="E42" s="298">
        <f t="shared" si="12"/>
        <v>11473</v>
      </c>
      <c r="F42" s="298"/>
      <c r="G42" s="298">
        <f t="shared" si="13"/>
        <v>11473</v>
      </c>
      <c r="H42" s="298">
        <v>11444</v>
      </c>
      <c r="I42" s="298">
        <v>4</v>
      </c>
      <c r="J42" s="298">
        <v>25</v>
      </c>
      <c r="K42" s="960">
        <f>E42/C42</f>
        <v>1.1473</v>
      </c>
      <c r="L42" s="960">
        <f>E42/D42</f>
        <v>1.1473</v>
      </c>
    </row>
    <row r="43" spans="1:12" s="957" customFormat="1" ht="15" customHeight="1">
      <c r="A43" s="958">
        <v>12</v>
      </c>
      <c r="B43" s="959" t="s">
        <v>1645</v>
      </c>
      <c r="C43" s="298">
        <v>0</v>
      </c>
      <c r="D43" s="298">
        <v>0</v>
      </c>
      <c r="E43" s="298">
        <f t="shared" si="12"/>
        <v>0</v>
      </c>
      <c r="F43" s="298"/>
      <c r="G43" s="298">
        <f t="shared" si="13"/>
        <v>0</v>
      </c>
      <c r="H43" s="298"/>
      <c r="I43" s="298"/>
      <c r="J43" s="298"/>
      <c r="K43" s="960"/>
      <c r="L43" s="960"/>
    </row>
    <row r="44" spans="1:12" s="957" customFormat="1" ht="27.75" customHeight="1">
      <c r="A44" s="958">
        <v>13</v>
      </c>
      <c r="B44" s="959" t="s">
        <v>1646</v>
      </c>
      <c r="C44" s="298">
        <v>0</v>
      </c>
      <c r="D44" s="298">
        <v>0</v>
      </c>
      <c r="E44" s="298">
        <f t="shared" si="12"/>
        <v>0</v>
      </c>
      <c r="F44" s="298"/>
      <c r="G44" s="298">
        <f t="shared" si="13"/>
        <v>0</v>
      </c>
      <c r="H44" s="298"/>
      <c r="I44" s="298"/>
      <c r="J44" s="298"/>
      <c r="K44" s="960"/>
      <c r="L44" s="960"/>
    </row>
    <row r="45" spans="1:12" s="957" customFormat="1" ht="25.5">
      <c r="A45" s="958">
        <v>14</v>
      </c>
      <c r="B45" s="959" t="s">
        <v>1647</v>
      </c>
      <c r="C45" s="298">
        <v>0</v>
      </c>
      <c r="D45" s="298">
        <v>0</v>
      </c>
      <c r="E45" s="298">
        <f t="shared" si="12"/>
        <v>21</v>
      </c>
      <c r="F45" s="298"/>
      <c r="G45" s="298">
        <f t="shared" si="13"/>
        <v>21</v>
      </c>
      <c r="H45" s="298">
        <v>15</v>
      </c>
      <c r="I45" s="298">
        <v>6</v>
      </c>
      <c r="J45" s="298"/>
      <c r="K45" s="960"/>
      <c r="L45" s="960"/>
    </row>
    <row r="46" spans="1:12" s="957" customFormat="1" ht="14.25" customHeight="1">
      <c r="A46" s="958">
        <v>15</v>
      </c>
      <c r="B46" s="959" t="s">
        <v>85</v>
      </c>
      <c r="C46" s="298">
        <v>50000</v>
      </c>
      <c r="D46" s="298">
        <v>50000</v>
      </c>
      <c r="E46" s="298">
        <f t="shared" si="12"/>
        <v>48867</v>
      </c>
      <c r="F46" s="298">
        <v>19725</v>
      </c>
      <c r="G46" s="298">
        <f t="shared" si="13"/>
        <v>29142</v>
      </c>
      <c r="H46" s="298">
        <v>20530</v>
      </c>
      <c r="I46" s="298">
        <v>8612</v>
      </c>
      <c r="J46" s="298"/>
      <c r="K46" s="960">
        <f>E46/C46</f>
        <v>0.97733999999999999</v>
      </c>
      <c r="L46" s="960">
        <f>E46/D46</f>
        <v>0.97733999999999999</v>
      </c>
    </row>
    <row r="47" spans="1:12" s="957" customFormat="1" ht="15" customHeight="1">
      <c r="A47" s="958">
        <v>16</v>
      </c>
      <c r="B47" s="959" t="s">
        <v>84</v>
      </c>
      <c r="C47" s="298">
        <v>9000</v>
      </c>
      <c r="D47" s="298">
        <v>9000</v>
      </c>
      <c r="E47" s="298">
        <f t="shared" si="12"/>
        <v>8728</v>
      </c>
      <c r="F47" s="298">
        <v>1134</v>
      </c>
      <c r="G47" s="298">
        <f t="shared" si="13"/>
        <v>7594</v>
      </c>
      <c r="H47" s="298">
        <v>7594</v>
      </c>
      <c r="I47" s="298"/>
      <c r="J47" s="298"/>
      <c r="K47" s="960">
        <f>E47/C47</f>
        <v>0.96977777777777774</v>
      </c>
      <c r="L47" s="960">
        <f>E47/D47</f>
        <v>0.96977777777777774</v>
      </c>
    </row>
    <row r="48" spans="1:12" s="957" customFormat="1" ht="27.75" customHeight="1">
      <c r="A48" s="958">
        <v>17</v>
      </c>
      <c r="B48" s="959" t="s">
        <v>1648</v>
      </c>
      <c r="C48" s="298">
        <v>0</v>
      </c>
      <c r="D48" s="298">
        <v>0</v>
      </c>
      <c r="E48" s="298">
        <f t="shared" si="12"/>
        <v>0</v>
      </c>
      <c r="F48" s="298"/>
      <c r="G48" s="298">
        <f t="shared" si="13"/>
        <v>0</v>
      </c>
      <c r="H48" s="298"/>
      <c r="I48" s="298"/>
      <c r="J48" s="298"/>
      <c r="K48" s="960"/>
      <c r="L48" s="960"/>
    </row>
    <row r="49" spans="1:12" s="957" customFormat="1" ht="12.75">
      <c r="A49" s="958">
        <v>18</v>
      </c>
      <c r="B49" s="959" t="s">
        <v>1408</v>
      </c>
      <c r="C49" s="298">
        <v>1000</v>
      </c>
      <c r="D49" s="298">
        <v>1000</v>
      </c>
      <c r="E49" s="298">
        <f t="shared" si="12"/>
        <v>1456</v>
      </c>
      <c r="F49" s="298">
        <v>4</v>
      </c>
      <c r="G49" s="298">
        <f t="shared" si="13"/>
        <v>1452</v>
      </c>
      <c r="H49" s="298">
        <v>8</v>
      </c>
      <c r="I49" s="298"/>
      <c r="J49" s="298">
        <v>1444</v>
      </c>
      <c r="K49" s="960">
        <f>E49/C49</f>
        <v>1.456</v>
      </c>
      <c r="L49" s="960">
        <f>E49/D49</f>
        <v>1.456</v>
      </c>
    </row>
    <row r="50" spans="1:12" s="957" customFormat="1" ht="12.75">
      <c r="A50" s="958">
        <v>19</v>
      </c>
      <c r="B50" s="959" t="s">
        <v>1649</v>
      </c>
      <c r="C50" s="298">
        <v>13000</v>
      </c>
      <c r="D50" s="298">
        <v>14000</v>
      </c>
      <c r="E50" s="298">
        <f t="shared" si="12"/>
        <v>13055</v>
      </c>
      <c r="F50" s="298"/>
      <c r="G50" s="298">
        <f t="shared" si="13"/>
        <v>13055</v>
      </c>
      <c r="H50" s="298">
        <v>13055</v>
      </c>
      <c r="I50" s="298"/>
      <c r="J50" s="298"/>
      <c r="K50" s="960">
        <f>E50/C50</f>
        <v>1.0042307692307693</v>
      </c>
      <c r="L50" s="960">
        <f>E50/D50</f>
        <v>0.9325</v>
      </c>
    </row>
    <row r="51" spans="1:12" s="950" customFormat="1" ht="12.75">
      <c r="A51" s="958" t="s">
        <v>7</v>
      </c>
      <c r="B51" s="959" t="s">
        <v>1650</v>
      </c>
      <c r="C51" s="558">
        <v>0</v>
      </c>
      <c r="D51" s="558">
        <v>0</v>
      </c>
      <c r="E51" s="558"/>
      <c r="F51" s="558"/>
      <c r="G51" s="558"/>
      <c r="H51" s="558"/>
      <c r="I51" s="558"/>
      <c r="J51" s="558"/>
      <c r="K51" s="960"/>
      <c r="L51" s="960"/>
    </row>
    <row r="52" spans="1:12" s="957" customFormat="1" ht="12.75">
      <c r="A52" s="958" t="s">
        <v>8</v>
      </c>
      <c r="B52" s="959" t="s">
        <v>1651</v>
      </c>
      <c r="C52" s="298">
        <v>5000</v>
      </c>
      <c r="D52" s="298">
        <v>5000</v>
      </c>
      <c r="E52" s="298">
        <f t="shared" ref="E52:J52" si="14">E53</f>
        <v>2044</v>
      </c>
      <c r="F52" s="298">
        <f t="shared" si="14"/>
        <v>2044</v>
      </c>
      <c r="G52" s="298">
        <f t="shared" si="14"/>
        <v>0</v>
      </c>
      <c r="H52" s="298">
        <f t="shared" si="14"/>
        <v>0</v>
      </c>
      <c r="I52" s="298">
        <f t="shared" si="14"/>
        <v>0</v>
      </c>
      <c r="J52" s="298">
        <f t="shared" si="14"/>
        <v>0</v>
      </c>
      <c r="K52" s="960">
        <f>E52/C52</f>
        <v>0.4088</v>
      </c>
      <c r="L52" s="960">
        <f>E52/D52</f>
        <v>0.4088</v>
      </c>
    </row>
    <row r="53" spans="1:12" s="950" customFormat="1" ht="15" customHeight="1">
      <c r="A53" s="961">
        <v>1</v>
      </c>
      <c r="B53" s="962" t="s">
        <v>1652</v>
      </c>
      <c r="C53" s="558"/>
      <c r="D53" s="558"/>
      <c r="E53" s="558">
        <f>F53</f>
        <v>2044</v>
      </c>
      <c r="F53" s="558">
        <v>2044</v>
      </c>
      <c r="G53" s="558"/>
      <c r="H53" s="558"/>
      <c r="I53" s="558"/>
      <c r="J53" s="558"/>
      <c r="K53" s="963"/>
      <c r="L53" s="963"/>
    </row>
    <row r="54" spans="1:12" s="950" customFormat="1" ht="15" customHeight="1">
      <c r="A54" s="958" t="s">
        <v>9</v>
      </c>
      <c r="B54" s="959" t="s">
        <v>1653</v>
      </c>
      <c r="C54" s="298"/>
      <c r="D54" s="298"/>
      <c r="E54" s="298">
        <f>F54+G54</f>
        <v>0</v>
      </c>
      <c r="F54" s="298"/>
      <c r="G54" s="298">
        <f>H54+I54+J54</f>
        <v>0</v>
      </c>
      <c r="H54" s="298">
        <v>0</v>
      </c>
      <c r="I54" s="298">
        <v>0</v>
      </c>
      <c r="J54" s="298"/>
      <c r="K54" s="960"/>
      <c r="L54" s="960"/>
    </row>
    <row r="55" spans="1:12" s="957" customFormat="1" ht="15" customHeight="1">
      <c r="A55" s="958" t="s">
        <v>23</v>
      </c>
      <c r="B55" s="959" t="s">
        <v>1654</v>
      </c>
      <c r="C55" s="298"/>
      <c r="D55" s="298"/>
      <c r="E55" s="298">
        <f>E56+E57</f>
        <v>36401</v>
      </c>
      <c r="F55" s="298">
        <f t="shared" ref="F55:J55" si="15">F56+F57</f>
        <v>0</v>
      </c>
      <c r="G55" s="298">
        <f t="shared" si="15"/>
        <v>36401</v>
      </c>
      <c r="H55" s="298">
        <f t="shared" si="15"/>
        <v>10188</v>
      </c>
      <c r="I55" s="298">
        <f t="shared" si="15"/>
        <v>26213</v>
      </c>
      <c r="J55" s="298">
        <f t="shared" si="15"/>
        <v>0</v>
      </c>
      <c r="K55" s="960"/>
      <c r="L55" s="960"/>
    </row>
    <row r="56" spans="1:12" s="950" customFormat="1" ht="25.5">
      <c r="A56" s="961">
        <v>1</v>
      </c>
      <c r="B56" s="962" t="s">
        <v>1655</v>
      </c>
      <c r="C56" s="558"/>
      <c r="D56" s="558"/>
      <c r="E56" s="558">
        <f>F56+G56</f>
        <v>30178</v>
      </c>
      <c r="F56" s="558"/>
      <c r="G56" s="558">
        <f>H56+I56+J56</f>
        <v>30178</v>
      </c>
      <c r="H56" s="558">
        <v>10000</v>
      </c>
      <c r="I56" s="558">
        <f>12578+7600</f>
        <v>20178</v>
      </c>
      <c r="J56" s="558"/>
      <c r="K56" s="963"/>
      <c r="L56" s="963"/>
    </row>
    <row r="57" spans="1:12" s="950" customFormat="1" ht="16.5" customHeight="1">
      <c r="A57" s="961">
        <v>2</v>
      </c>
      <c r="B57" s="962" t="s">
        <v>1656</v>
      </c>
      <c r="C57" s="558"/>
      <c r="D57" s="558"/>
      <c r="E57" s="558">
        <f>F57+G57</f>
        <v>6223</v>
      </c>
      <c r="F57" s="558"/>
      <c r="G57" s="558">
        <f>H57+I57+J57</f>
        <v>6223</v>
      </c>
      <c r="H57" s="558">
        <v>188</v>
      </c>
      <c r="I57" s="558">
        <v>6035</v>
      </c>
      <c r="J57" s="558"/>
      <c r="K57" s="963"/>
      <c r="L57" s="963"/>
    </row>
    <row r="58" spans="1:12" s="950" customFormat="1" ht="25.5">
      <c r="A58" s="958" t="s">
        <v>96</v>
      </c>
      <c r="B58" s="959" t="s">
        <v>1657</v>
      </c>
      <c r="D58" s="558"/>
      <c r="E58" s="558"/>
      <c r="F58" s="558"/>
      <c r="G58" s="558"/>
      <c r="H58" s="558"/>
      <c r="I58" s="558"/>
      <c r="J58" s="558"/>
      <c r="K58" s="960"/>
      <c r="L58" s="960"/>
    </row>
    <row r="59" spans="1:12" s="950" customFormat="1" ht="18" customHeight="1">
      <c r="A59" s="958" t="s">
        <v>3</v>
      </c>
      <c r="B59" s="959" t="s">
        <v>1658</v>
      </c>
      <c r="C59" s="558"/>
      <c r="D59" s="558"/>
      <c r="E59" s="298">
        <f>E61</f>
        <v>3694</v>
      </c>
      <c r="F59" s="298">
        <f>F61</f>
        <v>0</v>
      </c>
      <c r="G59" s="298">
        <f>G61</f>
        <v>3694</v>
      </c>
      <c r="H59" s="298">
        <f>H61</f>
        <v>3694</v>
      </c>
      <c r="I59" s="298"/>
      <c r="J59" s="298"/>
      <c r="K59" s="960"/>
      <c r="L59" s="960"/>
    </row>
    <row r="60" spans="1:12" s="950" customFormat="1" ht="18" customHeight="1">
      <c r="A60" s="958" t="s">
        <v>11</v>
      </c>
      <c r="B60" s="959" t="s">
        <v>1659</v>
      </c>
      <c r="C60" s="558"/>
      <c r="D60" s="558"/>
      <c r="E60" s="558"/>
      <c r="F60" s="558"/>
      <c r="G60" s="558"/>
      <c r="H60" s="558"/>
      <c r="I60" s="558"/>
      <c r="J60" s="558"/>
      <c r="K60" s="960"/>
      <c r="L60" s="960"/>
    </row>
    <row r="61" spans="1:12" s="950" customFormat="1" ht="18" customHeight="1">
      <c r="A61" s="958" t="s">
        <v>7</v>
      </c>
      <c r="B61" s="959" t="s">
        <v>1660</v>
      </c>
      <c r="C61" s="558"/>
      <c r="D61" s="558"/>
      <c r="E61" s="298">
        <f>G61</f>
        <v>3694</v>
      </c>
      <c r="F61" s="298"/>
      <c r="G61" s="298">
        <f>H61</f>
        <v>3694</v>
      </c>
      <c r="H61" s="298">
        <v>3694</v>
      </c>
      <c r="I61" s="558"/>
      <c r="J61" s="558"/>
      <c r="K61" s="960"/>
      <c r="L61" s="960"/>
    </row>
    <row r="62" spans="1:12" s="957" customFormat="1" ht="18" customHeight="1">
      <c r="A62" s="958" t="s">
        <v>10</v>
      </c>
      <c r="B62" s="959" t="s">
        <v>1661</v>
      </c>
      <c r="C62" s="298">
        <f t="shared" ref="C62:J62" si="16">C63+C68</f>
        <v>3364380</v>
      </c>
      <c r="D62" s="298">
        <f t="shared" si="16"/>
        <v>3364380</v>
      </c>
      <c r="E62" s="298">
        <f t="shared" si="16"/>
        <v>6716669</v>
      </c>
      <c r="F62" s="298">
        <f t="shared" si="16"/>
        <v>0</v>
      </c>
      <c r="G62" s="298">
        <f t="shared" si="16"/>
        <v>6716669</v>
      </c>
      <c r="H62" s="298">
        <f t="shared" si="16"/>
        <v>4039676</v>
      </c>
      <c r="I62" s="298">
        <f t="shared" si="16"/>
        <v>2053641</v>
      </c>
      <c r="J62" s="298">
        <f t="shared" si="16"/>
        <v>623352</v>
      </c>
      <c r="K62" s="960">
        <f>E62/C62</f>
        <v>1.9964061729055576</v>
      </c>
      <c r="L62" s="960">
        <f>E62/D62</f>
        <v>1.9964061729055576</v>
      </c>
    </row>
    <row r="63" spans="1:12" s="957" customFormat="1" ht="18" customHeight="1">
      <c r="A63" s="958" t="s">
        <v>11</v>
      </c>
      <c r="B63" s="959" t="s">
        <v>61</v>
      </c>
      <c r="C63" s="298">
        <f t="shared" ref="C63:J63" si="17">C64+C65</f>
        <v>3364380</v>
      </c>
      <c r="D63" s="298">
        <f t="shared" si="17"/>
        <v>3364380</v>
      </c>
      <c r="E63" s="298">
        <f t="shared" si="17"/>
        <v>6688561</v>
      </c>
      <c r="F63" s="298">
        <f t="shared" si="17"/>
        <v>0</v>
      </c>
      <c r="G63" s="298">
        <f t="shared" si="17"/>
        <v>6688561</v>
      </c>
      <c r="H63" s="298">
        <f t="shared" si="17"/>
        <v>4020618</v>
      </c>
      <c r="I63" s="298">
        <f t="shared" si="17"/>
        <v>2044591</v>
      </c>
      <c r="J63" s="298">
        <f t="shared" si="17"/>
        <v>623352</v>
      </c>
      <c r="K63" s="960">
        <f>E63/C63</f>
        <v>1.9880515875138955</v>
      </c>
      <c r="L63" s="960">
        <f>E63/D63</f>
        <v>1.9880515875138955</v>
      </c>
    </row>
    <row r="64" spans="1:12" s="950" customFormat="1" ht="18" customHeight="1">
      <c r="A64" s="961" t="s">
        <v>1662</v>
      </c>
      <c r="B64" s="962" t="s">
        <v>1663</v>
      </c>
      <c r="C64" s="558">
        <v>2802252</v>
      </c>
      <c r="D64" s="558">
        <v>2802252</v>
      </c>
      <c r="E64" s="558">
        <f>F64+G64</f>
        <v>4838962</v>
      </c>
      <c r="F64" s="558"/>
      <c r="G64" s="558">
        <f t="shared" ref="G64:G70" si="18">H64+I64+J64</f>
        <v>4838962</v>
      </c>
      <c r="H64" s="558">
        <v>2802252</v>
      </c>
      <c r="I64" s="558">
        <v>1596487</v>
      </c>
      <c r="J64" s="558">
        <v>440223</v>
      </c>
      <c r="K64" s="963">
        <f>E64/C64</f>
        <v>1.7268118641721015</v>
      </c>
      <c r="L64" s="963">
        <f>E64/D64</f>
        <v>1.7268118641721015</v>
      </c>
    </row>
    <row r="65" spans="1:12" s="950" customFormat="1" ht="18" customHeight="1">
      <c r="A65" s="961" t="s">
        <v>1664</v>
      </c>
      <c r="B65" s="962" t="s">
        <v>161</v>
      </c>
      <c r="C65" s="558">
        <v>562128</v>
      </c>
      <c r="D65" s="558">
        <v>562128</v>
      </c>
      <c r="E65" s="558">
        <f>E66+E67</f>
        <v>1849599</v>
      </c>
      <c r="F65" s="558">
        <f>F66+F67</f>
        <v>0</v>
      </c>
      <c r="G65" s="558">
        <f t="shared" si="18"/>
        <v>1849599</v>
      </c>
      <c r="H65" s="1116">
        <f>H66+H67</f>
        <v>1218366</v>
      </c>
      <c r="I65" s="558">
        <f>I66+I67</f>
        <v>448104</v>
      </c>
      <c r="J65" s="558">
        <f>J66+J67</f>
        <v>183129</v>
      </c>
      <c r="K65" s="963">
        <f>E65/C65</f>
        <v>3.2903520194688753</v>
      </c>
      <c r="L65" s="963">
        <f>E65/D65</f>
        <v>3.2903520194688753</v>
      </c>
    </row>
    <row r="66" spans="1:12" s="950" customFormat="1" ht="18" customHeight="1">
      <c r="A66" s="965" t="s">
        <v>294</v>
      </c>
      <c r="B66" s="964" t="s">
        <v>1665</v>
      </c>
      <c r="C66" s="558"/>
      <c r="D66" s="558"/>
      <c r="E66" s="558">
        <f>F66+G66</f>
        <v>1742104</v>
      </c>
      <c r="F66" s="558"/>
      <c r="G66" s="558">
        <f t="shared" si="18"/>
        <v>1742104</v>
      </c>
      <c r="H66" s="1116">
        <f>1078840+32411</f>
        <v>1111251</v>
      </c>
      <c r="I66" s="558">
        <v>447914</v>
      </c>
      <c r="J66" s="558">
        <v>182939</v>
      </c>
      <c r="K66" s="963"/>
      <c r="L66" s="963"/>
    </row>
    <row r="67" spans="1:12" s="950" customFormat="1" ht="18" customHeight="1">
      <c r="A67" s="965" t="s">
        <v>1439</v>
      </c>
      <c r="B67" s="964" t="s">
        <v>1666</v>
      </c>
      <c r="C67" s="558"/>
      <c r="D67" s="558"/>
      <c r="E67" s="558">
        <f>F67+G67</f>
        <v>107495</v>
      </c>
      <c r="F67" s="558"/>
      <c r="G67" s="558">
        <f t="shared" si="18"/>
        <v>107495</v>
      </c>
      <c r="H67" s="558">
        <v>107115</v>
      </c>
      <c r="I67" s="558">
        <v>190</v>
      </c>
      <c r="J67" s="558">
        <v>190</v>
      </c>
      <c r="K67" s="963"/>
      <c r="L67" s="963"/>
    </row>
    <row r="68" spans="1:12" s="957" customFormat="1" ht="18" customHeight="1">
      <c r="A68" s="958" t="s">
        <v>7</v>
      </c>
      <c r="B68" s="959" t="s">
        <v>1395</v>
      </c>
      <c r="C68" s="298">
        <v>0</v>
      </c>
      <c r="D68" s="298">
        <v>0</v>
      </c>
      <c r="E68" s="298">
        <f>F68+G68</f>
        <v>28108</v>
      </c>
      <c r="F68" s="298"/>
      <c r="G68" s="298">
        <f t="shared" si="18"/>
        <v>28108</v>
      </c>
      <c r="H68" s="298">
        <v>19058</v>
      </c>
      <c r="I68" s="298">
        <v>9050</v>
      </c>
      <c r="J68" s="298"/>
      <c r="K68" s="960"/>
      <c r="L68" s="960"/>
    </row>
    <row r="69" spans="1:12" s="957" customFormat="1" ht="15.75" customHeight="1">
      <c r="A69" s="958" t="s">
        <v>13</v>
      </c>
      <c r="B69" s="959" t="s">
        <v>1667</v>
      </c>
      <c r="C69" s="298">
        <v>0</v>
      </c>
      <c r="D69" s="298">
        <v>5520</v>
      </c>
      <c r="E69" s="298">
        <f>F69+G69</f>
        <v>487568</v>
      </c>
      <c r="F69" s="298"/>
      <c r="G69" s="298">
        <f t="shared" si="18"/>
        <v>487568</v>
      </c>
      <c r="H69" s="298">
        <f>272464+1988</f>
        <v>274452</v>
      </c>
      <c r="I69" s="298">
        <v>168572</v>
      </c>
      <c r="J69" s="298">
        <v>44544</v>
      </c>
      <c r="K69" s="960"/>
      <c r="L69" s="960">
        <f>E69/D69</f>
        <v>88.327536231884054</v>
      </c>
    </row>
    <row r="70" spans="1:12" s="957" customFormat="1" ht="17.25" customHeight="1">
      <c r="A70" s="966" t="s">
        <v>18</v>
      </c>
      <c r="B70" s="967" t="s">
        <v>1668</v>
      </c>
      <c r="C70" s="968">
        <v>0</v>
      </c>
      <c r="D70" s="968">
        <v>0</v>
      </c>
      <c r="E70" s="968">
        <f>F70+G70</f>
        <v>67353</v>
      </c>
      <c r="F70" s="968"/>
      <c r="G70" s="968">
        <f t="shared" si="18"/>
        <v>67353</v>
      </c>
      <c r="H70" s="968">
        <v>8662</v>
      </c>
      <c r="I70" s="968">
        <v>36307</v>
      </c>
      <c r="J70" s="968">
        <v>22384</v>
      </c>
      <c r="K70" s="969"/>
      <c r="L70" s="969"/>
    </row>
    <row r="71" spans="1:12" ht="15.75">
      <c r="A71" s="970"/>
    </row>
    <row r="72" spans="1:12" ht="15.75" customHeight="1">
      <c r="A72" s="1654" t="s">
        <v>1669</v>
      </c>
      <c r="B72" s="1654"/>
      <c r="D72" s="1654" t="s">
        <v>1670</v>
      </c>
      <c r="E72" s="1654"/>
      <c r="F72" s="1654"/>
      <c r="G72" s="1654"/>
      <c r="H72" s="1654"/>
      <c r="I72" s="1654" t="s">
        <v>1671</v>
      </c>
      <c r="J72" s="1654"/>
      <c r="K72" s="1654"/>
      <c r="L72" s="1654"/>
    </row>
    <row r="73" spans="1:12" ht="15.75" customHeight="1">
      <c r="A73" s="1657" t="s">
        <v>1672</v>
      </c>
      <c r="B73" s="1657"/>
      <c r="D73" s="1657" t="s">
        <v>1673</v>
      </c>
      <c r="E73" s="1657"/>
      <c r="F73" s="1657"/>
      <c r="G73" s="1657"/>
      <c r="H73" s="1657"/>
      <c r="I73" s="1657" t="s">
        <v>1674</v>
      </c>
      <c r="J73" s="1657"/>
      <c r="K73" s="1657"/>
      <c r="L73" s="1657"/>
    </row>
    <row r="74" spans="1:12" ht="15.75" customHeight="1">
      <c r="A74" s="1654" t="s">
        <v>224</v>
      </c>
      <c r="B74" s="1654"/>
      <c r="D74" s="1654" t="s">
        <v>224</v>
      </c>
      <c r="E74" s="1654"/>
      <c r="F74" s="1654"/>
      <c r="G74" s="1654"/>
      <c r="H74" s="1654"/>
      <c r="I74" s="1654" t="s">
        <v>224</v>
      </c>
      <c r="J74" s="1654"/>
      <c r="K74" s="1654"/>
      <c r="L74" s="1654"/>
    </row>
    <row r="75" spans="1:12" ht="15.75">
      <c r="A75" s="971"/>
      <c r="B75" s="971"/>
      <c r="D75" s="971"/>
      <c r="E75" s="971"/>
      <c r="F75" s="971"/>
      <c r="G75" s="971"/>
      <c r="H75" s="971"/>
      <c r="J75" s="971"/>
      <c r="K75" s="971"/>
      <c r="L75" s="971"/>
    </row>
    <row r="76" spans="1:12" ht="15.75">
      <c r="A76" s="971"/>
      <c r="B76" s="971"/>
      <c r="D76" s="971"/>
      <c r="E76" s="971"/>
      <c r="F76" s="971"/>
      <c r="G76" s="972"/>
      <c r="H76" s="971"/>
      <c r="J76" s="971"/>
      <c r="K76" s="971"/>
      <c r="L76" s="971"/>
    </row>
    <row r="77" spans="1:12" ht="15.75">
      <c r="A77" s="971"/>
      <c r="B77" s="971"/>
      <c r="D77" s="971"/>
      <c r="E77" s="971"/>
      <c r="F77" s="971"/>
      <c r="G77" s="971"/>
      <c r="H77" s="971"/>
      <c r="J77" s="971"/>
      <c r="K77" s="971"/>
      <c r="L77" s="971"/>
    </row>
    <row r="78" spans="1:12" ht="15.75">
      <c r="A78" s="971"/>
      <c r="B78" s="971"/>
      <c r="D78" s="971"/>
      <c r="E78" s="971"/>
      <c r="F78" s="971"/>
      <c r="G78" s="971"/>
      <c r="H78" s="971"/>
      <c r="J78" s="971"/>
      <c r="K78" s="971"/>
      <c r="L78" s="971"/>
    </row>
    <row r="79" spans="1:12" ht="15.75">
      <c r="A79" s="973"/>
    </row>
  </sheetData>
  <mergeCells count="26">
    <mergeCell ref="B6:B8"/>
    <mergeCell ref="C6:D6"/>
    <mergeCell ref="E6:E8"/>
    <mergeCell ref="F6:J6"/>
    <mergeCell ref="K6:L6"/>
    <mergeCell ref="C7:C8"/>
    <mergeCell ref="D7:D8"/>
    <mergeCell ref="F7:F8"/>
    <mergeCell ref="G7:G8"/>
    <mergeCell ref="H7:J7"/>
    <mergeCell ref="A1:B1"/>
    <mergeCell ref="J1:L1"/>
    <mergeCell ref="A74:B74"/>
    <mergeCell ref="D74:H74"/>
    <mergeCell ref="I74:L74"/>
    <mergeCell ref="K7:K8"/>
    <mergeCell ref="L7:L8"/>
    <mergeCell ref="A73:B73"/>
    <mergeCell ref="D73:H73"/>
    <mergeCell ref="I73:L73"/>
    <mergeCell ref="A72:B72"/>
    <mergeCell ref="D72:H72"/>
    <mergeCell ref="I72:L72"/>
    <mergeCell ref="A3:L3"/>
    <mergeCell ref="A4:L4"/>
    <mergeCell ref="A6:A8"/>
  </mergeCells>
  <pageMargins left="0.37" right="0.38" top="0.48" bottom="0.75" header="0.3" footer="0.3"/>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J59"/>
  <sheetViews>
    <sheetView zoomScaleNormal="100" workbookViewId="0">
      <selection activeCell="M8" sqref="M8"/>
    </sheetView>
  </sheetViews>
  <sheetFormatPr defaultRowHeight="15"/>
  <cols>
    <col min="1" max="1" width="5.42578125" style="818" customWidth="1"/>
    <col min="2" max="2" width="48.42578125" style="818" customWidth="1"/>
    <col min="3" max="3" width="11.7109375" style="1015" customWidth="1"/>
    <col min="4" max="4" width="11.85546875" style="1015" customWidth="1"/>
    <col min="5" max="5" width="12" style="1015" customWidth="1"/>
    <col min="6" max="7" width="11.5703125" style="1015" customWidth="1"/>
    <col min="8" max="8" width="10" style="1015" customWidth="1"/>
    <col min="9" max="9" width="10" style="818" customWidth="1"/>
    <col min="10" max="10" width="9.28515625" style="818" customWidth="1"/>
    <col min="11" max="16384" width="9.140625" style="818"/>
  </cols>
  <sheetData>
    <row r="1" spans="1:10" s="817" customFormat="1" ht="23.25" customHeight="1">
      <c r="A1" s="816" t="s">
        <v>221</v>
      </c>
      <c r="C1" s="1014"/>
      <c r="D1" s="1014"/>
      <c r="E1" s="1014"/>
      <c r="F1" s="1014"/>
      <c r="G1" s="1014"/>
      <c r="H1" s="1668" t="s">
        <v>2056</v>
      </c>
      <c r="I1" s="1668"/>
      <c r="J1" s="1668"/>
    </row>
    <row r="2" spans="1:10" ht="15.75">
      <c r="A2" s="1013"/>
    </row>
    <row r="3" spans="1:10" ht="18.75">
      <c r="A3" s="1669" t="s">
        <v>2057</v>
      </c>
      <c r="B3" s="1669"/>
      <c r="C3" s="1669"/>
      <c r="D3" s="1669"/>
      <c r="E3" s="1669"/>
      <c r="F3" s="1669"/>
      <c r="G3" s="1669"/>
      <c r="H3" s="1669"/>
      <c r="I3" s="1669"/>
      <c r="J3" s="1669"/>
    </row>
    <row r="4" spans="1:10" ht="15.75">
      <c r="A4" s="1670" t="s">
        <v>2058</v>
      </c>
      <c r="B4" s="1670"/>
      <c r="C4" s="1670"/>
      <c r="D4" s="1670"/>
      <c r="E4" s="1670"/>
      <c r="F4" s="1670"/>
      <c r="G4" s="1670"/>
      <c r="H4" s="1670"/>
      <c r="I4" s="1670"/>
      <c r="J4" s="1670"/>
    </row>
    <row r="5" spans="1:10" ht="15.75">
      <c r="J5" s="819" t="s">
        <v>5</v>
      </c>
    </row>
    <row r="6" spans="1:10" ht="32.25" customHeight="1">
      <c r="A6" s="1671" t="s">
        <v>0</v>
      </c>
      <c r="B6" s="1671" t="s">
        <v>318</v>
      </c>
      <c r="C6" s="1672" t="s">
        <v>1418</v>
      </c>
      <c r="D6" s="1672"/>
      <c r="E6" s="1672" t="s">
        <v>2059</v>
      </c>
      <c r="F6" s="1672"/>
      <c r="G6" s="1672"/>
      <c r="H6" s="1672"/>
      <c r="I6" s="1671" t="s">
        <v>1625</v>
      </c>
      <c r="J6" s="1671"/>
    </row>
    <row r="7" spans="1:10" ht="52.5" customHeight="1">
      <c r="A7" s="1671"/>
      <c r="B7" s="1671"/>
      <c r="C7" s="1016" t="s">
        <v>1626</v>
      </c>
      <c r="D7" s="1016" t="s">
        <v>1627</v>
      </c>
      <c r="E7" s="1016" t="s">
        <v>2060</v>
      </c>
      <c r="F7" s="1016" t="s">
        <v>1987</v>
      </c>
      <c r="G7" s="1016" t="s">
        <v>1988</v>
      </c>
      <c r="H7" s="1016" t="s">
        <v>1989</v>
      </c>
      <c r="I7" s="1017" t="s">
        <v>1626</v>
      </c>
      <c r="J7" s="1017" t="s">
        <v>1627</v>
      </c>
    </row>
    <row r="8" spans="1:10" s="1022" customFormat="1" ht="16.5" customHeight="1">
      <c r="A8" s="1018" t="s">
        <v>2</v>
      </c>
      <c r="B8" s="1018" t="s">
        <v>3</v>
      </c>
      <c r="C8" s="1019">
        <v>1</v>
      </c>
      <c r="D8" s="1019">
        <v>2</v>
      </c>
      <c r="E8" s="1020" t="s">
        <v>2061</v>
      </c>
      <c r="F8" s="1019">
        <v>4</v>
      </c>
      <c r="G8" s="1019">
        <v>5</v>
      </c>
      <c r="H8" s="1019">
        <v>6</v>
      </c>
      <c r="I8" s="1021" t="s">
        <v>2062</v>
      </c>
      <c r="J8" s="1021" t="s">
        <v>2063</v>
      </c>
    </row>
    <row r="9" spans="1:10" ht="23.25" customHeight="1">
      <c r="A9" s="1023" t="s">
        <v>2</v>
      </c>
      <c r="B9" s="1024" t="s">
        <v>2064</v>
      </c>
      <c r="C9" s="1061">
        <f>C10+C27+C28+C42+C43+C44</f>
        <v>3737890</v>
      </c>
      <c r="D9" s="1061">
        <f>D10+D27+D28+D42+D43+D44</f>
        <v>3757409.5</v>
      </c>
      <c r="E9" s="1025">
        <f t="shared" ref="E9:H9" si="0">E10+E27+E28+E42+E44</f>
        <v>4734982</v>
      </c>
      <c r="F9" s="1025">
        <f t="shared" si="0"/>
        <v>2262443</v>
      </c>
      <c r="G9" s="1025">
        <f t="shared" si="0"/>
        <v>1809834</v>
      </c>
      <c r="H9" s="1025">
        <f t="shared" si="0"/>
        <v>662705</v>
      </c>
      <c r="I9" s="1026">
        <f>E9/C9%</f>
        <v>126.67526331700505</v>
      </c>
      <c r="J9" s="1026">
        <f>E9/D9%</f>
        <v>126.01719349461378</v>
      </c>
    </row>
    <row r="10" spans="1:10" ht="18.75" customHeight="1">
      <c r="A10" s="1027" t="s">
        <v>11</v>
      </c>
      <c r="B10" s="1028" t="s">
        <v>73</v>
      </c>
      <c r="C10" s="1029">
        <f>320470+105521+176863+205555-1800</f>
        <v>806609</v>
      </c>
      <c r="D10" s="1029">
        <f>D11+D25+D26</f>
        <v>807608.5</v>
      </c>
      <c r="E10" s="1060">
        <f t="shared" ref="E10:E26" si="1">F10+G10+H10</f>
        <v>986183</v>
      </c>
      <c r="F10" s="1029">
        <f>F11+F25+F26</f>
        <v>584918</v>
      </c>
      <c r="G10" s="1029">
        <f t="shared" ref="G10:H10" si="2">G11+G25+G26</f>
        <v>304893</v>
      </c>
      <c r="H10" s="1029">
        <f t="shared" si="2"/>
        <v>96372</v>
      </c>
      <c r="I10" s="1030">
        <f t="shared" ref="I10:I51" si="3">E10/C10%</f>
        <v>122.26283118586576</v>
      </c>
      <c r="J10" s="1030">
        <f>E10/D10%</f>
        <v>122.11151814276349</v>
      </c>
    </row>
    <row r="11" spans="1:10" ht="34.5" customHeight="1">
      <c r="A11" s="1031">
        <v>1</v>
      </c>
      <c r="B11" s="1032" t="s">
        <v>2065</v>
      </c>
      <c r="C11" s="1033"/>
      <c r="D11" s="1033">
        <f>SUM(D12:D24)</f>
        <v>801108.5</v>
      </c>
      <c r="E11" s="1034">
        <f t="shared" si="1"/>
        <v>974683</v>
      </c>
      <c r="F11" s="1034">
        <f>SUM(F12:F24)</f>
        <v>573418</v>
      </c>
      <c r="G11" s="1035">
        <f>SUM(G12:G24)</f>
        <v>304893</v>
      </c>
      <c r="H11" s="1035">
        <f>SUM(H12:H24)</f>
        <v>96372</v>
      </c>
      <c r="I11" s="1030"/>
      <c r="J11" s="1036">
        <f>E11/D11%</f>
        <v>121.6667904534779</v>
      </c>
    </row>
    <row r="12" spans="1:10" ht="15.75">
      <c r="A12" s="1037" t="s">
        <v>308</v>
      </c>
      <c r="B12" s="1038" t="s">
        <v>110</v>
      </c>
      <c r="C12" s="1039"/>
      <c r="D12" s="1039">
        <v>49525</v>
      </c>
      <c r="E12" s="1039">
        <f t="shared" si="1"/>
        <v>52100</v>
      </c>
      <c r="F12" s="1039">
        <v>40133</v>
      </c>
      <c r="G12" s="1039">
        <v>11967</v>
      </c>
      <c r="H12" s="1039">
        <v>0</v>
      </c>
      <c r="I12" s="1030"/>
      <c r="J12" s="1030">
        <f>E12/D12%</f>
        <v>105.19939424533064</v>
      </c>
    </row>
    <row r="13" spans="1:10" ht="15.75">
      <c r="A13" s="1037" t="s">
        <v>305</v>
      </c>
      <c r="B13" s="1038" t="s">
        <v>111</v>
      </c>
      <c r="C13" s="1039"/>
      <c r="D13" s="1039">
        <v>0</v>
      </c>
      <c r="E13" s="1039">
        <f t="shared" si="1"/>
        <v>0</v>
      </c>
      <c r="F13" s="1039">
        <v>0</v>
      </c>
      <c r="G13" s="1039">
        <v>0</v>
      </c>
      <c r="H13" s="1039">
        <v>0</v>
      </c>
      <c r="I13" s="1030"/>
      <c r="J13" s="1037"/>
    </row>
    <row r="14" spans="1:10" ht="15.75">
      <c r="A14" s="1037" t="s">
        <v>300</v>
      </c>
      <c r="B14" s="1038" t="s">
        <v>2066</v>
      </c>
      <c r="C14" s="1039"/>
      <c r="D14" s="1039">
        <v>125250</v>
      </c>
      <c r="E14" s="1039">
        <f t="shared" si="1"/>
        <v>165986</v>
      </c>
      <c r="F14" s="1039">
        <v>79524</v>
      </c>
      <c r="G14" s="1039">
        <v>82868</v>
      </c>
      <c r="H14" s="1039">
        <v>3594</v>
      </c>
      <c r="I14" s="1030"/>
      <c r="J14" s="1040">
        <f t="shared" ref="J14:J25" si="4">E14/D14%</f>
        <v>132.52375249500997</v>
      </c>
    </row>
    <row r="15" spans="1:10" ht="15.75">
      <c r="A15" s="1037" t="s">
        <v>1432</v>
      </c>
      <c r="B15" s="1038" t="s">
        <v>2067</v>
      </c>
      <c r="C15" s="1039"/>
      <c r="D15" s="1039">
        <v>18118</v>
      </c>
      <c r="E15" s="1039">
        <f t="shared" si="1"/>
        <v>18119</v>
      </c>
      <c r="F15" s="1039">
        <v>18119</v>
      </c>
      <c r="G15" s="1039">
        <v>0</v>
      </c>
      <c r="H15" s="1039">
        <v>0</v>
      </c>
      <c r="I15" s="1030"/>
      <c r="J15" s="1040">
        <f t="shared" si="4"/>
        <v>100.00551937299922</v>
      </c>
    </row>
    <row r="16" spans="1:10" ht="15.75">
      <c r="A16" s="1037" t="s">
        <v>1433</v>
      </c>
      <c r="B16" s="1038" t="s">
        <v>2068</v>
      </c>
      <c r="C16" s="1039"/>
      <c r="D16" s="1039">
        <v>48438</v>
      </c>
      <c r="E16" s="1039">
        <f t="shared" si="1"/>
        <v>50738</v>
      </c>
      <c r="F16" s="1039">
        <v>45722</v>
      </c>
      <c r="G16" s="1039">
        <v>4816</v>
      </c>
      <c r="H16" s="1039">
        <v>200</v>
      </c>
      <c r="I16" s="1030"/>
      <c r="J16" s="1040">
        <f t="shared" si="4"/>
        <v>104.74833808167142</v>
      </c>
    </row>
    <row r="17" spans="1:10" ht="15.75">
      <c r="A17" s="1037" t="s">
        <v>1434</v>
      </c>
      <c r="B17" s="1038" t="s">
        <v>2069</v>
      </c>
      <c r="C17" s="1039"/>
      <c r="D17" s="1039">
        <v>17672</v>
      </c>
      <c r="E17" s="1039">
        <f t="shared" si="1"/>
        <v>9675</v>
      </c>
      <c r="F17" s="1039">
        <v>1394</v>
      </c>
      <c r="G17" s="1039">
        <v>1886</v>
      </c>
      <c r="H17" s="1039">
        <v>6395</v>
      </c>
      <c r="I17" s="1030"/>
      <c r="J17" s="1040">
        <f t="shared" si="4"/>
        <v>54.747623358985969</v>
      </c>
    </row>
    <row r="18" spans="1:10" ht="15.75">
      <c r="A18" s="1037" t="s">
        <v>1436</v>
      </c>
      <c r="B18" s="1038" t="s">
        <v>2070</v>
      </c>
      <c r="C18" s="1039"/>
      <c r="D18" s="1039">
        <v>1095</v>
      </c>
      <c r="E18" s="1039">
        <f t="shared" si="1"/>
        <v>1075</v>
      </c>
      <c r="F18" s="1039">
        <v>1075</v>
      </c>
      <c r="G18" s="1039">
        <v>0</v>
      </c>
      <c r="H18" s="1039">
        <v>0</v>
      </c>
      <c r="I18" s="1030"/>
      <c r="J18" s="1040">
        <f t="shared" si="4"/>
        <v>98.173515981735164</v>
      </c>
    </row>
    <row r="19" spans="1:10" ht="15.75">
      <c r="A19" s="1037" t="s">
        <v>1479</v>
      </c>
      <c r="B19" s="1038" t="s">
        <v>2071</v>
      </c>
      <c r="C19" s="1039"/>
      <c r="D19" s="1039">
        <v>305</v>
      </c>
      <c r="E19" s="1039">
        <f t="shared" si="1"/>
        <v>647</v>
      </c>
      <c r="F19" s="1039">
        <v>0</v>
      </c>
      <c r="G19" s="1059">
        <v>170</v>
      </c>
      <c r="H19" s="1039">
        <v>477</v>
      </c>
      <c r="I19" s="1030"/>
      <c r="J19" s="1040">
        <f t="shared" si="4"/>
        <v>212.13114754098362</v>
      </c>
    </row>
    <row r="20" spans="1:10" ht="16.5" customHeight="1">
      <c r="A20" s="1037" t="s">
        <v>1481</v>
      </c>
      <c r="B20" s="1038" t="s">
        <v>2072</v>
      </c>
      <c r="C20" s="1039"/>
      <c r="D20" s="1039">
        <v>11995</v>
      </c>
      <c r="E20" s="1039">
        <f t="shared" si="1"/>
        <v>8428</v>
      </c>
      <c r="F20" s="1039">
        <v>2400</v>
      </c>
      <c r="G20" s="1039">
        <v>5602</v>
      </c>
      <c r="H20" s="1039">
        <v>426</v>
      </c>
      <c r="I20" s="1030"/>
      <c r="J20" s="1040">
        <f t="shared" si="4"/>
        <v>70.262609420591914</v>
      </c>
    </row>
    <row r="21" spans="1:10" ht="15.75">
      <c r="A21" s="1037" t="s">
        <v>1483</v>
      </c>
      <c r="B21" s="1038" t="s">
        <v>117</v>
      </c>
      <c r="C21" s="1039"/>
      <c r="D21" s="1039">
        <v>400970.5</v>
      </c>
      <c r="E21" s="1039">
        <f t="shared" si="1"/>
        <v>537749</v>
      </c>
      <c r="F21" s="1039">
        <v>291483</v>
      </c>
      <c r="G21" s="1039">
        <v>161469</v>
      </c>
      <c r="H21" s="1039">
        <v>84797</v>
      </c>
      <c r="I21" s="1030"/>
      <c r="J21" s="1040">
        <f t="shared" si="4"/>
        <v>134.11186109701336</v>
      </c>
    </row>
    <row r="22" spans="1:10" ht="31.5">
      <c r="A22" s="1037" t="s">
        <v>1526</v>
      </c>
      <c r="B22" s="1038" t="s">
        <v>2073</v>
      </c>
      <c r="C22" s="1039"/>
      <c r="D22" s="1039">
        <v>58603</v>
      </c>
      <c r="E22" s="1039">
        <f t="shared" si="1"/>
        <v>62199</v>
      </c>
      <c r="F22" s="1039">
        <v>25921</v>
      </c>
      <c r="G22" s="1039">
        <v>35795</v>
      </c>
      <c r="H22" s="1039">
        <v>483</v>
      </c>
      <c r="I22" s="1030"/>
      <c r="J22" s="1040">
        <f t="shared" si="4"/>
        <v>106.13620463116223</v>
      </c>
    </row>
    <row r="23" spans="1:10" ht="18.75" customHeight="1">
      <c r="A23" s="1037" t="s">
        <v>1527</v>
      </c>
      <c r="B23" s="1038" t="s">
        <v>2074</v>
      </c>
      <c r="C23" s="1039"/>
      <c r="D23" s="1039">
        <v>0</v>
      </c>
      <c r="E23" s="1039">
        <f t="shared" si="1"/>
        <v>320</v>
      </c>
      <c r="F23" s="1039">
        <v>0</v>
      </c>
      <c r="G23" s="1039">
        <v>320</v>
      </c>
      <c r="H23" s="1039">
        <v>0</v>
      </c>
      <c r="I23" s="1030"/>
      <c r="J23" s="1040"/>
    </row>
    <row r="24" spans="1:10" ht="18.75" customHeight="1">
      <c r="A24" s="1037" t="s">
        <v>1528</v>
      </c>
      <c r="B24" s="1038" t="s">
        <v>2075</v>
      </c>
      <c r="C24" s="1039"/>
      <c r="D24" s="1039">
        <v>69137</v>
      </c>
      <c r="E24" s="1039">
        <f t="shared" si="1"/>
        <v>67647</v>
      </c>
      <c r="F24" s="1039">
        <v>67647</v>
      </c>
      <c r="G24" s="1039">
        <v>0</v>
      </c>
      <c r="H24" s="1039">
        <v>0</v>
      </c>
      <c r="I24" s="1030"/>
      <c r="J24" s="1040">
        <f t="shared" si="4"/>
        <v>97.844858758696503</v>
      </c>
    </row>
    <row r="25" spans="1:10" ht="35.25" customHeight="1">
      <c r="A25" s="1031">
        <v>2</v>
      </c>
      <c r="B25" s="1032" t="s">
        <v>2076</v>
      </c>
      <c r="C25" s="1033">
        <v>0</v>
      </c>
      <c r="D25" s="1033">
        <v>5500</v>
      </c>
      <c r="E25" s="1033">
        <f t="shared" si="1"/>
        <v>11500</v>
      </c>
      <c r="F25" s="1033">
        <v>11500</v>
      </c>
      <c r="G25" s="1033">
        <v>0</v>
      </c>
      <c r="H25" s="1033">
        <v>0</v>
      </c>
      <c r="I25" s="1030"/>
      <c r="J25" s="1036">
        <f t="shared" si="4"/>
        <v>209.09090909090909</v>
      </c>
    </row>
    <row r="26" spans="1:10" ht="20.25" customHeight="1">
      <c r="A26" s="1031">
        <v>3</v>
      </c>
      <c r="B26" s="1041" t="s">
        <v>95</v>
      </c>
      <c r="C26" s="1042">
        <v>0</v>
      </c>
      <c r="D26" s="1033">
        <v>1000</v>
      </c>
      <c r="E26" s="1042">
        <f t="shared" si="1"/>
        <v>0</v>
      </c>
      <c r="F26" s="1042">
        <v>0</v>
      </c>
      <c r="G26" s="1042">
        <v>0</v>
      </c>
      <c r="H26" s="1042">
        <v>0</v>
      </c>
      <c r="I26" s="1030"/>
      <c r="J26" s="1043"/>
    </row>
    <row r="27" spans="1:10" ht="17.25" customHeight="1">
      <c r="A27" s="1027" t="s">
        <v>7</v>
      </c>
      <c r="B27" s="1028" t="s">
        <v>2077</v>
      </c>
      <c r="C27" s="1029">
        <v>1800</v>
      </c>
      <c r="D27" s="1029">
        <v>1800</v>
      </c>
      <c r="E27" s="1029">
        <f>F27</f>
        <v>1735</v>
      </c>
      <c r="F27" s="1029">
        <v>1735</v>
      </c>
      <c r="G27" s="1029">
        <v>0</v>
      </c>
      <c r="H27" s="1029">
        <v>0</v>
      </c>
      <c r="I27" s="1030">
        <f t="shared" si="3"/>
        <v>96.388888888888886</v>
      </c>
      <c r="J27" s="1030">
        <f>E27/D27%</f>
        <v>96.388888888888886</v>
      </c>
    </row>
    <row r="28" spans="1:10" ht="19.5" customHeight="1">
      <c r="A28" s="1027" t="s">
        <v>8</v>
      </c>
      <c r="B28" s="1028" t="s">
        <v>15</v>
      </c>
      <c r="C28" s="1029">
        <v>2862011</v>
      </c>
      <c r="D28" s="1029">
        <f>SUM(D29:D41)</f>
        <v>2880531</v>
      </c>
      <c r="E28" s="1029">
        <f t="shared" ref="E28:H28" si="5">SUM(E29:E41)</f>
        <v>3042899</v>
      </c>
      <c r="F28" s="1029">
        <f t="shared" si="5"/>
        <v>1142059</v>
      </c>
      <c r="G28" s="1029">
        <f t="shared" si="5"/>
        <v>1368531</v>
      </c>
      <c r="H28" s="1029">
        <f t="shared" si="5"/>
        <v>532309</v>
      </c>
      <c r="I28" s="1030">
        <f t="shared" si="3"/>
        <v>106.32031113786775</v>
      </c>
      <c r="J28" s="1030">
        <f>E28/D28%</f>
        <v>105.63673850411608</v>
      </c>
    </row>
    <row r="29" spans="1:10" ht="15.75">
      <c r="A29" s="1037">
        <v>1</v>
      </c>
      <c r="B29" s="1038" t="s">
        <v>110</v>
      </c>
      <c r="C29" s="1039">
        <v>0</v>
      </c>
      <c r="D29" s="1039">
        <v>57525</v>
      </c>
      <c r="E29" s="1039">
        <f>F29+G29+H29</f>
        <v>78158</v>
      </c>
      <c r="F29" s="1039">
        <v>19642</v>
      </c>
      <c r="G29" s="1039">
        <v>19321</v>
      </c>
      <c r="H29" s="1039">
        <v>39195</v>
      </c>
      <c r="I29" s="1030"/>
      <c r="J29" s="1040">
        <f t="shared" ref="J29:J41" si="6">E29/D29%</f>
        <v>135.86788352890048</v>
      </c>
    </row>
    <row r="30" spans="1:10" ht="15.75">
      <c r="A30" s="1037">
        <v>2</v>
      </c>
      <c r="B30" s="1038" t="s">
        <v>111</v>
      </c>
      <c r="C30" s="1039">
        <v>0</v>
      </c>
      <c r="D30" s="1039">
        <v>13828</v>
      </c>
      <c r="E30" s="1039">
        <f t="shared" ref="E30:E41" si="7">F30+G30+H30</f>
        <v>38888</v>
      </c>
      <c r="F30" s="1039">
        <v>12889</v>
      </c>
      <c r="G30" s="1039">
        <v>5132</v>
      </c>
      <c r="H30" s="1039">
        <v>20867</v>
      </c>
      <c r="I30" s="1030"/>
      <c r="J30" s="1040">
        <f t="shared" si="6"/>
        <v>281.22649696268439</v>
      </c>
    </row>
    <row r="31" spans="1:10" ht="15.75">
      <c r="A31" s="1037">
        <v>3</v>
      </c>
      <c r="B31" s="1038" t="s">
        <v>2066</v>
      </c>
      <c r="C31" s="1039">
        <v>1109976</v>
      </c>
      <c r="D31" s="1039">
        <v>1112889</v>
      </c>
      <c r="E31" s="1039">
        <f t="shared" si="7"/>
        <v>1157474</v>
      </c>
      <c r="F31" s="1039">
        <v>238846</v>
      </c>
      <c r="G31" s="1059">
        <v>916215</v>
      </c>
      <c r="H31" s="1039">
        <v>2413</v>
      </c>
      <c r="I31" s="1040">
        <f>E31/C31%</f>
        <v>104.27919162216119</v>
      </c>
      <c r="J31" s="1040">
        <f t="shared" si="6"/>
        <v>104.00623961599045</v>
      </c>
    </row>
    <row r="32" spans="1:10" ht="15.75">
      <c r="A32" s="1037">
        <v>4</v>
      </c>
      <c r="B32" s="1038" t="s">
        <v>2067</v>
      </c>
      <c r="C32" s="1039">
        <v>11580</v>
      </c>
      <c r="D32" s="1039">
        <v>12580</v>
      </c>
      <c r="E32" s="1039">
        <f t="shared" si="7"/>
        <v>11966</v>
      </c>
      <c r="F32" s="1039">
        <v>11767</v>
      </c>
      <c r="G32" s="1059">
        <v>199</v>
      </c>
      <c r="H32" s="1039">
        <v>0</v>
      </c>
      <c r="I32" s="1040">
        <f t="shared" si="3"/>
        <v>103.33333333333334</v>
      </c>
      <c r="J32" s="1040">
        <f t="shared" si="6"/>
        <v>95.119236883942762</v>
      </c>
    </row>
    <row r="33" spans="1:10" ht="15.75">
      <c r="A33" s="1037">
        <v>5</v>
      </c>
      <c r="B33" s="1038" t="s">
        <v>2068</v>
      </c>
      <c r="C33" s="1039">
        <v>0</v>
      </c>
      <c r="D33" s="1039">
        <v>327823</v>
      </c>
      <c r="E33" s="1039">
        <f t="shared" si="7"/>
        <v>318593</v>
      </c>
      <c r="F33" s="1039">
        <v>318182</v>
      </c>
      <c r="G33" s="1039">
        <v>330</v>
      </c>
      <c r="H33" s="1039">
        <v>81</v>
      </c>
      <c r="I33" s="1030"/>
      <c r="J33" s="1040">
        <f t="shared" si="6"/>
        <v>97.184456246206025</v>
      </c>
    </row>
    <row r="34" spans="1:10" ht="15.75">
      <c r="A34" s="1037">
        <v>6</v>
      </c>
      <c r="B34" s="1038" t="s">
        <v>2069</v>
      </c>
      <c r="C34" s="1039">
        <v>0</v>
      </c>
      <c r="D34" s="1039">
        <v>27084</v>
      </c>
      <c r="E34" s="1039">
        <f t="shared" si="7"/>
        <v>35412</v>
      </c>
      <c r="F34" s="1039">
        <v>21562</v>
      </c>
      <c r="G34" s="1039">
        <v>8079</v>
      </c>
      <c r="H34" s="1039">
        <v>5771</v>
      </c>
      <c r="I34" s="1030"/>
      <c r="J34" s="1040">
        <f t="shared" si="6"/>
        <v>130.74878156845372</v>
      </c>
    </row>
    <row r="35" spans="1:10" ht="15.75">
      <c r="A35" s="1037">
        <v>7</v>
      </c>
      <c r="B35" s="1038" t="s">
        <v>2070</v>
      </c>
      <c r="C35" s="1039">
        <v>0</v>
      </c>
      <c r="D35" s="1039">
        <v>26716</v>
      </c>
      <c r="E35" s="1039">
        <f t="shared" si="7"/>
        <v>24834</v>
      </c>
      <c r="F35" s="1039">
        <v>16621</v>
      </c>
      <c r="G35" s="1039">
        <v>7805</v>
      </c>
      <c r="H35" s="1039">
        <v>408</v>
      </c>
      <c r="I35" s="1030"/>
      <c r="J35" s="1040">
        <f t="shared" si="6"/>
        <v>92.955532265309174</v>
      </c>
    </row>
    <row r="36" spans="1:10" ht="15.75">
      <c r="A36" s="1037">
        <v>8</v>
      </c>
      <c r="B36" s="1038" t="s">
        <v>2071</v>
      </c>
      <c r="C36" s="1039">
        <v>0</v>
      </c>
      <c r="D36" s="1039">
        <v>5145</v>
      </c>
      <c r="E36" s="1039">
        <f t="shared" si="7"/>
        <v>10329</v>
      </c>
      <c r="F36" s="1039">
        <v>4521</v>
      </c>
      <c r="G36" s="1039">
        <v>4076</v>
      </c>
      <c r="H36" s="1039">
        <v>1732</v>
      </c>
      <c r="I36" s="1030"/>
      <c r="J36" s="1040">
        <f t="shared" si="6"/>
        <v>200.75801749271136</v>
      </c>
    </row>
    <row r="37" spans="1:10" ht="15.75">
      <c r="A37" s="1037">
        <v>9</v>
      </c>
      <c r="B37" s="1038" t="s">
        <v>2072</v>
      </c>
      <c r="C37" s="1039">
        <v>35870</v>
      </c>
      <c r="D37" s="1039">
        <v>26458</v>
      </c>
      <c r="E37" s="1039">
        <f t="shared" si="7"/>
        <v>40877</v>
      </c>
      <c r="F37" s="1039">
        <v>37242</v>
      </c>
      <c r="G37" s="1039">
        <v>2712</v>
      </c>
      <c r="H37" s="1039">
        <v>923</v>
      </c>
      <c r="I37" s="1040">
        <f t="shared" si="3"/>
        <v>113.95873989406189</v>
      </c>
      <c r="J37" s="1040">
        <f t="shared" si="6"/>
        <v>154.49769445914279</v>
      </c>
    </row>
    <row r="38" spans="1:10" ht="18" customHeight="1">
      <c r="A38" s="1037">
        <v>10</v>
      </c>
      <c r="B38" s="1038" t="s">
        <v>117</v>
      </c>
      <c r="C38" s="1039">
        <v>0</v>
      </c>
      <c r="D38" s="1039">
        <v>346247</v>
      </c>
      <c r="E38" s="1039">
        <f>F38+G38+H38</f>
        <v>338269</v>
      </c>
      <c r="F38" s="1059">
        <v>181863</v>
      </c>
      <c r="G38" s="1039">
        <v>108778</v>
      </c>
      <c r="H38" s="1039">
        <v>47628</v>
      </c>
      <c r="I38" s="1030"/>
      <c r="J38" s="1040">
        <f t="shared" si="6"/>
        <v>97.69586451290553</v>
      </c>
    </row>
    <row r="39" spans="1:10" ht="33.75" customHeight="1">
      <c r="A39" s="1037">
        <v>11</v>
      </c>
      <c r="B39" s="1038" t="s">
        <v>2073</v>
      </c>
      <c r="C39" s="1039">
        <v>0</v>
      </c>
      <c r="D39" s="1039">
        <v>841416</v>
      </c>
      <c r="E39" s="1039">
        <f t="shared" si="7"/>
        <v>878898</v>
      </c>
      <c r="F39" s="1039">
        <v>263255</v>
      </c>
      <c r="G39" s="1039">
        <v>215468</v>
      </c>
      <c r="H39" s="1059">
        <v>400175</v>
      </c>
      <c r="I39" s="1030"/>
      <c r="J39" s="1040">
        <f t="shared" si="6"/>
        <v>104.45463361761603</v>
      </c>
    </row>
    <row r="40" spans="1:10" ht="18" customHeight="1">
      <c r="A40" s="1037">
        <v>12</v>
      </c>
      <c r="B40" s="1038" t="s">
        <v>2074</v>
      </c>
      <c r="C40" s="1039">
        <v>0</v>
      </c>
      <c r="D40" s="1039">
        <v>74157</v>
      </c>
      <c r="E40" s="1039">
        <f t="shared" si="7"/>
        <v>90831</v>
      </c>
      <c r="F40" s="1039">
        <v>9758</v>
      </c>
      <c r="G40" s="1039">
        <v>70920</v>
      </c>
      <c r="H40" s="1039">
        <v>10153</v>
      </c>
      <c r="I40" s="1030"/>
      <c r="J40" s="1040">
        <f t="shared" si="6"/>
        <v>122.48472834661595</v>
      </c>
    </row>
    <row r="41" spans="1:10" ht="18" customHeight="1">
      <c r="A41" s="1037">
        <v>13</v>
      </c>
      <c r="B41" s="1038" t="s">
        <v>1700</v>
      </c>
      <c r="C41" s="1039">
        <v>0</v>
      </c>
      <c r="D41" s="1039">
        <v>8663</v>
      </c>
      <c r="E41" s="1039">
        <f t="shared" si="7"/>
        <v>18370</v>
      </c>
      <c r="F41" s="1039">
        <v>5911</v>
      </c>
      <c r="G41" s="1039">
        <v>9496</v>
      </c>
      <c r="H41" s="1039">
        <v>2963</v>
      </c>
      <c r="I41" s="1030"/>
      <c r="J41" s="1040">
        <f t="shared" si="6"/>
        <v>212.05125245296088</v>
      </c>
    </row>
    <row r="42" spans="1:10" ht="18.75" customHeight="1">
      <c r="A42" s="1027" t="s">
        <v>9</v>
      </c>
      <c r="B42" s="1028" t="s">
        <v>47</v>
      </c>
      <c r="C42" s="1029">
        <v>1000</v>
      </c>
      <c r="D42" s="1029">
        <v>1000</v>
      </c>
      <c r="E42" s="1029">
        <f>F42+G42+H42</f>
        <v>1000</v>
      </c>
      <c r="F42" s="1029">
        <v>1000</v>
      </c>
      <c r="G42" s="1029">
        <v>0</v>
      </c>
      <c r="H42" s="1029">
        <v>0</v>
      </c>
      <c r="I42" s="1044">
        <f t="shared" si="3"/>
        <v>100</v>
      </c>
      <c r="J42" s="1044">
        <f>E42/D42%</f>
        <v>100</v>
      </c>
    </row>
    <row r="43" spans="1:10" ht="18.75" customHeight="1">
      <c r="A43" s="1027" t="s">
        <v>23</v>
      </c>
      <c r="B43" s="1028" t="s">
        <v>48</v>
      </c>
      <c r="C43" s="1029">
        <v>66470</v>
      </c>
      <c r="D43" s="1029">
        <v>66470</v>
      </c>
      <c r="E43" s="1029">
        <v>0</v>
      </c>
      <c r="F43" s="1029">
        <v>0</v>
      </c>
      <c r="G43" s="1029"/>
      <c r="H43" s="1029"/>
      <c r="I43" s="1044"/>
      <c r="J43" s="1044"/>
    </row>
    <row r="44" spans="1:10" ht="18.75" customHeight="1">
      <c r="A44" s="1027" t="s">
        <v>23</v>
      </c>
      <c r="B44" s="1028" t="s">
        <v>2078</v>
      </c>
      <c r="C44" s="1039">
        <v>0</v>
      </c>
      <c r="D44" s="1039">
        <v>0</v>
      </c>
      <c r="E44" s="1029">
        <f>F44+G44+H44</f>
        <v>703165</v>
      </c>
      <c r="F44" s="1045">
        <f>500320+32411</f>
        <v>532731</v>
      </c>
      <c r="G44" s="1029">
        <v>136410</v>
      </c>
      <c r="H44" s="1029">
        <v>34024</v>
      </c>
      <c r="I44" s="1030"/>
      <c r="J44" s="1027"/>
    </row>
    <row r="45" spans="1:10" ht="20.25" customHeight="1">
      <c r="A45" s="1027" t="s">
        <v>3</v>
      </c>
      <c r="B45" s="1028" t="s">
        <v>2079</v>
      </c>
      <c r="C45" s="1029">
        <v>0</v>
      </c>
      <c r="D45" s="1029">
        <v>0</v>
      </c>
      <c r="E45" s="1029">
        <f>E46+E47</f>
        <v>2667943</v>
      </c>
      <c r="F45" s="1029">
        <f t="shared" ref="F45:H45" si="8">F46+F47</f>
        <v>2044591</v>
      </c>
      <c r="G45" s="1029">
        <f t="shared" si="8"/>
        <v>623352</v>
      </c>
      <c r="H45" s="1029">
        <f t="shared" si="8"/>
        <v>0</v>
      </c>
      <c r="I45" s="1030"/>
      <c r="J45" s="1027"/>
    </row>
    <row r="46" spans="1:10" ht="15.75">
      <c r="A46" s="1037">
        <v>1</v>
      </c>
      <c r="B46" s="1038" t="s">
        <v>2080</v>
      </c>
      <c r="C46" s="1046"/>
      <c r="D46" s="1046"/>
      <c r="E46" s="1039">
        <f>F46+G46+H46</f>
        <v>2036710</v>
      </c>
      <c r="F46" s="1039">
        <v>1596487</v>
      </c>
      <c r="G46" s="1039">
        <v>440223</v>
      </c>
      <c r="H46" s="1039">
        <v>0</v>
      </c>
      <c r="I46" s="1030"/>
      <c r="J46" s="1037"/>
    </row>
    <row r="47" spans="1:10" ht="15.75">
      <c r="A47" s="1037">
        <v>2</v>
      </c>
      <c r="B47" s="1038" t="s">
        <v>161</v>
      </c>
      <c r="C47" s="1046"/>
      <c r="D47" s="1046"/>
      <c r="E47" s="1039">
        <f>F47+G47+H47</f>
        <v>631233</v>
      </c>
      <c r="F47" s="1039">
        <f>F48+F49</f>
        <v>448104</v>
      </c>
      <c r="G47" s="1039">
        <f>G48+G49</f>
        <v>183129</v>
      </c>
      <c r="H47" s="1039">
        <v>0</v>
      </c>
      <c r="I47" s="1030"/>
      <c r="J47" s="1037"/>
    </row>
    <row r="48" spans="1:10" ht="15.75">
      <c r="A48" s="1665"/>
      <c r="B48" s="1047" t="s">
        <v>2081</v>
      </c>
      <c r="C48" s="1048"/>
      <c r="D48" s="1048"/>
      <c r="E48" s="1049"/>
      <c r="F48" s="1050">
        <v>447914</v>
      </c>
      <c r="G48" s="1050">
        <v>183079</v>
      </c>
      <c r="H48" s="1049"/>
      <c r="I48" s="1030"/>
      <c r="J48" s="1038"/>
    </row>
    <row r="49" spans="1:10" ht="15.75">
      <c r="A49" s="1665"/>
      <c r="B49" s="1047" t="s">
        <v>2082</v>
      </c>
      <c r="C49" s="1048"/>
      <c r="D49" s="1048"/>
      <c r="E49" s="1049"/>
      <c r="F49" s="1050">
        <v>190</v>
      </c>
      <c r="G49" s="1050">
        <v>50</v>
      </c>
      <c r="H49" s="1049"/>
      <c r="I49" s="1030"/>
      <c r="J49" s="1038"/>
    </row>
    <row r="50" spans="1:10" ht="20.25" customHeight="1">
      <c r="A50" s="1051" t="s">
        <v>10</v>
      </c>
      <c r="B50" s="1052" t="s">
        <v>2083</v>
      </c>
      <c r="C50" s="1053">
        <v>0</v>
      </c>
      <c r="D50" s="1053">
        <v>0</v>
      </c>
      <c r="E50" s="1053">
        <f>F50+G50+H50</f>
        <v>35765</v>
      </c>
      <c r="F50" s="1053">
        <v>7650</v>
      </c>
      <c r="G50" s="1053">
        <v>19065</v>
      </c>
      <c r="H50" s="1053">
        <v>9050</v>
      </c>
      <c r="I50" s="1054"/>
      <c r="J50" s="1051"/>
    </row>
    <row r="51" spans="1:10" ht="24" customHeight="1">
      <c r="A51" s="1055"/>
      <c r="B51" s="1017" t="s">
        <v>2084</v>
      </c>
      <c r="C51" s="1016">
        <f>C9+C45+C50</f>
        <v>3737890</v>
      </c>
      <c r="D51" s="1016">
        <f t="shared" ref="D51:H51" si="9">D9+D45+D50</f>
        <v>3757409.5</v>
      </c>
      <c r="E51" s="1016">
        <f t="shared" si="9"/>
        <v>7438690</v>
      </c>
      <c r="F51" s="1016">
        <f t="shared" si="9"/>
        <v>4314684</v>
      </c>
      <c r="G51" s="1016">
        <f t="shared" si="9"/>
        <v>2452251</v>
      </c>
      <c r="H51" s="1016">
        <f t="shared" si="9"/>
        <v>671755</v>
      </c>
      <c r="I51" s="1056">
        <f t="shared" si="3"/>
        <v>199.00772895938616</v>
      </c>
      <c r="J51" s="1056">
        <f>E51/D51%</f>
        <v>197.97389664341881</v>
      </c>
    </row>
    <row r="52" spans="1:10" ht="15.75">
      <c r="A52" s="1057"/>
    </row>
    <row r="53" spans="1:10" ht="15.75" customHeight="1">
      <c r="A53" s="1663" t="s">
        <v>2085</v>
      </c>
      <c r="B53" s="1663"/>
      <c r="C53" s="1664" t="s">
        <v>2086</v>
      </c>
      <c r="D53" s="1664"/>
      <c r="E53" s="1664"/>
      <c r="F53" s="1664"/>
      <c r="G53" s="1663" t="s">
        <v>2087</v>
      </c>
      <c r="H53" s="1663"/>
      <c r="I53" s="1663"/>
      <c r="J53" s="1663"/>
    </row>
    <row r="54" spans="1:10" ht="15.75" customHeight="1">
      <c r="A54" s="1666" t="s">
        <v>2016</v>
      </c>
      <c r="B54" s="1666"/>
      <c r="C54" s="1667" t="s">
        <v>1673</v>
      </c>
      <c r="D54" s="1667"/>
      <c r="E54" s="1667"/>
      <c r="F54" s="1667"/>
      <c r="G54" s="1666" t="s">
        <v>1674</v>
      </c>
      <c r="H54" s="1666"/>
      <c r="I54" s="1666"/>
      <c r="J54" s="1666"/>
    </row>
    <row r="55" spans="1:10" ht="15.75" customHeight="1">
      <c r="A55" s="1663" t="s">
        <v>224</v>
      </c>
      <c r="B55" s="1663"/>
      <c r="C55" s="1664" t="s">
        <v>224</v>
      </c>
      <c r="D55" s="1664"/>
      <c r="E55" s="1664"/>
      <c r="F55" s="1664"/>
      <c r="G55" s="1663" t="s">
        <v>224</v>
      </c>
      <c r="H55" s="1663"/>
      <c r="I55" s="1663"/>
      <c r="J55" s="1663"/>
    </row>
    <row r="56" spans="1:10" ht="15.75">
      <c r="A56" s="1012"/>
      <c r="B56" s="1012"/>
      <c r="D56" s="1058"/>
      <c r="E56" s="1058"/>
      <c r="F56" s="1058"/>
      <c r="H56" s="1058"/>
      <c r="I56" s="1012"/>
      <c r="J56" s="1012"/>
    </row>
    <row r="57" spans="1:10" ht="15.75">
      <c r="A57" s="1012"/>
      <c r="B57" s="1012"/>
      <c r="D57" s="1058"/>
      <c r="E57" s="1058"/>
      <c r="F57" s="1058"/>
      <c r="H57" s="1058"/>
      <c r="I57" s="1012"/>
      <c r="J57" s="1012"/>
    </row>
    <row r="58" spans="1:10" ht="15.75">
      <c r="A58" s="1012"/>
      <c r="B58" s="1012"/>
      <c r="D58" s="1058"/>
      <c r="E58" s="1058"/>
      <c r="F58" s="1058"/>
      <c r="H58" s="1058"/>
      <c r="I58" s="1012"/>
      <c r="J58" s="1012"/>
    </row>
    <row r="59" spans="1:10" ht="15.75">
      <c r="A59" s="1012"/>
      <c r="B59" s="1012"/>
      <c r="D59" s="1058"/>
      <c r="E59" s="1058"/>
      <c r="F59" s="1058"/>
      <c r="H59" s="1058"/>
      <c r="I59" s="1012"/>
      <c r="J59" s="1012"/>
    </row>
  </sheetData>
  <mergeCells count="18">
    <mergeCell ref="H1:J1"/>
    <mergeCell ref="A3:J3"/>
    <mergeCell ref="A4:J4"/>
    <mergeCell ref="A6:A7"/>
    <mergeCell ref="B6:B7"/>
    <mergeCell ref="C6:D6"/>
    <mergeCell ref="E6:H6"/>
    <mergeCell ref="I6:J6"/>
    <mergeCell ref="A55:B55"/>
    <mergeCell ref="C55:F55"/>
    <mergeCell ref="G55:J55"/>
    <mergeCell ref="A48:A49"/>
    <mergeCell ref="A53:B53"/>
    <mergeCell ref="C53:F53"/>
    <mergeCell ref="G53:J53"/>
    <mergeCell ref="A54:B54"/>
    <mergeCell ref="C54:F54"/>
    <mergeCell ref="G54:J54"/>
  </mergeCells>
  <pageMargins left="0.3" right="0.24" top="0.44" bottom="0.4" header="0.3" footer="0.3"/>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W42"/>
  <sheetViews>
    <sheetView zoomScale="110" zoomScaleNormal="110" workbookViewId="0">
      <selection sqref="A1:XFD1048576"/>
    </sheetView>
  </sheetViews>
  <sheetFormatPr defaultRowHeight="15"/>
  <cols>
    <col min="1" max="1" width="6.28515625" style="216" customWidth="1"/>
    <col min="2" max="2" width="48" style="216" customWidth="1"/>
    <col min="3" max="3" width="11.140625" style="216" customWidth="1"/>
    <col min="4" max="4" width="11.5703125" style="216" customWidth="1"/>
    <col min="5" max="5" width="10.42578125" style="216" customWidth="1"/>
    <col min="6" max="6" width="9.7109375" style="216" customWidth="1"/>
    <col min="7" max="7" width="18.140625" style="216" customWidth="1"/>
    <col min="8" max="8" width="4.140625" style="216" customWidth="1"/>
    <col min="9" max="9" width="12.5703125" style="216" customWidth="1"/>
    <col min="10" max="256" width="9.140625" style="216"/>
    <col min="257" max="257" width="6.28515625" style="216" customWidth="1"/>
    <col min="258" max="258" width="48" style="216" customWidth="1"/>
    <col min="259" max="259" width="11.140625" style="216" customWidth="1"/>
    <col min="260" max="260" width="11.5703125" style="216" customWidth="1"/>
    <col min="261" max="261" width="10.42578125" style="216" customWidth="1"/>
    <col min="262" max="262" width="9.7109375" style="216" customWidth="1"/>
    <col min="263" max="263" width="18.140625" style="216" customWidth="1"/>
    <col min="264" max="264" width="4.140625" style="216" customWidth="1"/>
    <col min="265" max="265" width="12.5703125" style="216" customWidth="1"/>
    <col min="266" max="512" width="9.140625" style="216"/>
    <col min="513" max="513" width="6.28515625" style="216" customWidth="1"/>
    <col min="514" max="514" width="48" style="216" customWidth="1"/>
    <col min="515" max="515" width="11.140625" style="216" customWidth="1"/>
    <col min="516" max="516" width="11.5703125" style="216" customWidth="1"/>
    <col min="517" max="517" width="10.42578125" style="216" customWidth="1"/>
    <col min="518" max="518" width="9.7109375" style="216" customWidth="1"/>
    <col min="519" max="519" width="18.140625" style="216" customWidth="1"/>
    <col min="520" max="520" width="4.140625" style="216" customWidth="1"/>
    <col min="521" max="521" width="12.5703125" style="216" customWidth="1"/>
    <col min="522" max="768" width="9.140625" style="216"/>
    <col min="769" max="769" width="6.28515625" style="216" customWidth="1"/>
    <col min="770" max="770" width="48" style="216" customWidth="1"/>
    <col min="771" max="771" width="11.140625" style="216" customWidth="1"/>
    <col min="772" max="772" width="11.5703125" style="216" customWidth="1"/>
    <col min="773" max="773" width="10.42578125" style="216" customWidth="1"/>
    <col min="774" max="774" width="9.7109375" style="216" customWidth="1"/>
    <col min="775" max="775" width="18.140625" style="216" customWidth="1"/>
    <col min="776" max="776" width="4.140625" style="216" customWidth="1"/>
    <col min="777" max="777" width="12.5703125" style="216" customWidth="1"/>
    <col min="778" max="1024" width="9.140625" style="216"/>
    <col min="1025" max="1025" width="6.28515625" style="216" customWidth="1"/>
    <col min="1026" max="1026" width="48" style="216" customWidth="1"/>
    <col min="1027" max="1027" width="11.140625" style="216" customWidth="1"/>
    <col min="1028" max="1028" width="11.5703125" style="216" customWidth="1"/>
    <col min="1029" max="1029" width="10.42578125" style="216" customWidth="1"/>
    <col min="1030" max="1030" width="9.7109375" style="216" customWidth="1"/>
    <col min="1031" max="1031" width="18.140625" style="216" customWidth="1"/>
    <col min="1032" max="1032" width="4.140625" style="216" customWidth="1"/>
    <col min="1033" max="1033" width="12.5703125" style="216" customWidth="1"/>
    <col min="1034" max="1280" width="9.140625" style="216"/>
    <col min="1281" max="1281" width="6.28515625" style="216" customWidth="1"/>
    <col min="1282" max="1282" width="48" style="216" customWidth="1"/>
    <col min="1283" max="1283" width="11.140625" style="216" customWidth="1"/>
    <col min="1284" max="1284" width="11.5703125" style="216" customWidth="1"/>
    <col min="1285" max="1285" width="10.42578125" style="216" customWidth="1"/>
    <col min="1286" max="1286" width="9.7109375" style="216" customWidth="1"/>
    <col min="1287" max="1287" width="18.140625" style="216" customWidth="1"/>
    <col min="1288" max="1288" width="4.140625" style="216" customWidth="1"/>
    <col min="1289" max="1289" width="12.5703125" style="216" customWidth="1"/>
    <col min="1290" max="1536" width="9.140625" style="216"/>
    <col min="1537" max="1537" width="6.28515625" style="216" customWidth="1"/>
    <col min="1538" max="1538" width="48" style="216" customWidth="1"/>
    <col min="1539" max="1539" width="11.140625" style="216" customWidth="1"/>
    <col min="1540" max="1540" width="11.5703125" style="216" customWidth="1"/>
    <col min="1541" max="1541" width="10.42578125" style="216" customWidth="1"/>
    <col min="1542" max="1542" width="9.7109375" style="216" customWidth="1"/>
    <col min="1543" max="1543" width="18.140625" style="216" customWidth="1"/>
    <col min="1544" max="1544" width="4.140625" style="216" customWidth="1"/>
    <col min="1545" max="1545" width="12.5703125" style="216" customWidth="1"/>
    <col min="1546" max="1792" width="9.140625" style="216"/>
    <col min="1793" max="1793" width="6.28515625" style="216" customWidth="1"/>
    <col min="1794" max="1794" width="48" style="216" customWidth="1"/>
    <col min="1795" max="1795" width="11.140625" style="216" customWidth="1"/>
    <col min="1796" max="1796" width="11.5703125" style="216" customWidth="1"/>
    <col min="1797" max="1797" width="10.42578125" style="216" customWidth="1"/>
    <col min="1798" max="1798" width="9.7109375" style="216" customWidth="1"/>
    <col min="1799" max="1799" width="18.140625" style="216" customWidth="1"/>
    <col min="1800" max="1800" width="4.140625" style="216" customWidth="1"/>
    <col min="1801" max="1801" width="12.5703125" style="216" customWidth="1"/>
    <col min="1802" max="2048" width="9.140625" style="216"/>
    <col min="2049" max="2049" width="6.28515625" style="216" customWidth="1"/>
    <col min="2050" max="2050" width="48" style="216" customWidth="1"/>
    <col min="2051" max="2051" width="11.140625" style="216" customWidth="1"/>
    <col min="2052" max="2052" width="11.5703125" style="216" customWidth="1"/>
    <col min="2053" max="2053" width="10.42578125" style="216" customWidth="1"/>
    <col min="2054" max="2054" width="9.7109375" style="216" customWidth="1"/>
    <col min="2055" max="2055" width="18.140625" style="216" customWidth="1"/>
    <col min="2056" max="2056" width="4.140625" style="216" customWidth="1"/>
    <col min="2057" max="2057" width="12.5703125" style="216" customWidth="1"/>
    <col min="2058" max="2304" width="9.140625" style="216"/>
    <col min="2305" max="2305" width="6.28515625" style="216" customWidth="1"/>
    <col min="2306" max="2306" width="48" style="216" customWidth="1"/>
    <col min="2307" max="2307" width="11.140625" style="216" customWidth="1"/>
    <col min="2308" max="2308" width="11.5703125" style="216" customWidth="1"/>
    <col min="2309" max="2309" width="10.42578125" style="216" customWidth="1"/>
    <col min="2310" max="2310" width="9.7109375" style="216" customWidth="1"/>
    <col min="2311" max="2311" width="18.140625" style="216" customWidth="1"/>
    <col min="2312" max="2312" width="4.140625" style="216" customWidth="1"/>
    <col min="2313" max="2313" width="12.5703125" style="216" customWidth="1"/>
    <col min="2314" max="2560" width="9.140625" style="216"/>
    <col min="2561" max="2561" width="6.28515625" style="216" customWidth="1"/>
    <col min="2562" max="2562" width="48" style="216" customWidth="1"/>
    <col min="2563" max="2563" width="11.140625" style="216" customWidth="1"/>
    <col min="2564" max="2564" width="11.5703125" style="216" customWidth="1"/>
    <col min="2565" max="2565" width="10.42578125" style="216" customWidth="1"/>
    <col min="2566" max="2566" width="9.7109375" style="216" customWidth="1"/>
    <col min="2567" max="2567" width="18.140625" style="216" customWidth="1"/>
    <col min="2568" max="2568" width="4.140625" style="216" customWidth="1"/>
    <col min="2569" max="2569" width="12.5703125" style="216" customWidth="1"/>
    <col min="2570" max="2816" width="9.140625" style="216"/>
    <col min="2817" max="2817" width="6.28515625" style="216" customWidth="1"/>
    <col min="2818" max="2818" width="48" style="216" customWidth="1"/>
    <col min="2819" max="2819" width="11.140625" style="216" customWidth="1"/>
    <col min="2820" max="2820" width="11.5703125" style="216" customWidth="1"/>
    <col min="2821" max="2821" width="10.42578125" style="216" customWidth="1"/>
    <col min="2822" max="2822" width="9.7109375" style="216" customWidth="1"/>
    <col min="2823" max="2823" width="18.140625" style="216" customWidth="1"/>
    <col min="2824" max="2824" width="4.140625" style="216" customWidth="1"/>
    <col min="2825" max="2825" width="12.5703125" style="216" customWidth="1"/>
    <col min="2826" max="3072" width="9.140625" style="216"/>
    <col min="3073" max="3073" width="6.28515625" style="216" customWidth="1"/>
    <col min="3074" max="3074" width="48" style="216" customWidth="1"/>
    <col min="3075" max="3075" width="11.140625" style="216" customWidth="1"/>
    <col min="3076" max="3076" width="11.5703125" style="216" customWidth="1"/>
    <col min="3077" max="3077" width="10.42578125" style="216" customWidth="1"/>
    <col min="3078" max="3078" width="9.7109375" style="216" customWidth="1"/>
    <col min="3079" max="3079" width="18.140625" style="216" customWidth="1"/>
    <col min="3080" max="3080" width="4.140625" style="216" customWidth="1"/>
    <col min="3081" max="3081" width="12.5703125" style="216" customWidth="1"/>
    <col min="3082" max="3328" width="9.140625" style="216"/>
    <col min="3329" max="3329" width="6.28515625" style="216" customWidth="1"/>
    <col min="3330" max="3330" width="48" style="216" customWidth="1"/>
    <col min="3331" max="3331" width="11.140625" style="216" customWidth="1"/>
    <col min="3332" max="3332" width="11.5703125" style="216" customWidth="1"/>
    <col min="3333" max="3333" width="10.42578125" style="216" customWidth="1"/>
    <col min="3334" max="3334" width="9.7109375" style="216" customWidth="1"/>
    <col min="3335" max="3335" width="18.140625" style="216" customWidth="1"/>
    <col min="3336" max="3336" width="4.140625" style="216" customWidth="1"/>
    <col min="3337" max="3337" width="12.5703125" style="216" customWidth="1"/>
    <col min="3338" max="3584" width="9.140625" style="216"/>
    <col min="3585" max="3585" width="6.28515625" style="216" customWidth="1"/>
    <col min="3586" max="3586" width="48" style="216" customWidth="1"/>
    <col min="3587" max="3587" width="11.140625" style="216" customWidth="1"/>
    <col min="3588" max="3588" width="11.5703125" style="216" customWidth="1"/>
    <col min="3589" max="3589" width="10.42578125" style="216" customWidth="1"/>
    <col min="3590" max="3590" width="9.7109375" style="216" customWidth="1"/>
    <col min="3591" max="3591" width="18.140625" style="216" customWidth="1"/>
    <col min="3592" max="3592" width="4.140625" style="216" customWidth="1"/>
    <col min="3593" max="3593" width="12.5703125" style="216" customWidth="1"/>
    <col min="3594" max="3840" width="9.140625" style="216"/>
    <col min="3841" max="3841" width="6.28515625" style="216" customWidth="1"/>
    <col min="3842" max="3842" width="48" style="216" customWidth="1"/>
    <col min="3843" max="3843" width="11.140625" style="216" customWidth="1"/>
    <col min="3844" max="3844" width="11.5703125" style="216" customWidth="1"/>
    <col min="3845" max="3845" width="10.42578125" style="216" customWidth="1"/>
    <col min="3846" max="3846" width="9.7109375" style="216" customWidth="1"/>
    <col min="3847" max="3847" width="18.140625" style="216" customWidth="1"/>
    <col min="3848" max="3848" width="4.140625" style="216" customWidth="1"/>
    <col min="3849" max="3849" width="12.5703125" style="216" customWidth="1"/>
    <col min="3850" max="4096" width="9.140625" style="216"/>
    <col min="4097" max="4097" width="6.28515625" style="216" customWidth="1"/>
    <col min="4098" max="4098" width="48" style="216" customWidth="1"/>
    <col min="4099" max="4099" width="11.140625" style="216" customWidth="1"/>
    <col min="4100" max="4100" width="11.5703125" style="216" customWidth="1"/>
    <col min="4101" max="4101" width="10.42578125" style="216" customWidth="1"/>
    <col min="4102" max="4102" width="9.7109375" style="216" customWidth="1"/>
    <col min="4103" max="4103" width="18.140625" style="216" customWidth="1"/>
    <col min="4104" max="4104" width="4.140625" style="216" customWidth="1"/>
    <col min="4105" max="4105" width="12.5703125" style="216" customWidth="1"/>
    <col min="4106" max="4352" width="9.140625" style="216"/>
    <col min="4353" max="4353" width="6.28515625" style="216" customWidth="1"/>
    <col min="4354" max="4354" width="48" style="216" customWidth="1"/>
    <col min="4355" max="4355" width="11.140625" style="216" customWidth="1"/>
    <col min="4356" max="4356" width="11.5703125" style="216" customWidth="1"/>
    <col min="4357" max="4357" width="10.42578125" style="216" customWidth="1"/>
    <col min="4358" max="4358" width="9.7109375" style="216" customWidth="1"/>
    <col min="4359" max="4359" width="18.140625" style="216" customWidth="1"/>
    <col min="4360" max="4360" width="4.140625" style="216" customWidth="1"/>
    <col min="4361" max="4361" width="12.5703125" style="216" customWidth="1"/>
    <col min="4362" max="4608" width="9.140625" style="216"/>
    <col min="4609" max="4609" width="6.28515625" style="216" customWidth="1"/>
    <col min="4610" max="4610" width="48" style="216" customWidth="1"/>
    <col min="4611" max="4611" width="11.140625" style="216" customWidth="1"/>
    <col min="4612" max="4612" width="11.5703125" style="216" customWidth="1"/>
    <col min="4613" max="4613" width="10.42578125" style="216" customWidth="1"/>
    <col min="4614" max="4614" width="9.7109375" style="216" customWidth="1"/>
    <col min="4615" max="4615" width="18.140625" style="216" customWidth="1"/>
    <col min="4616" max="4616" width="4.140625" style="216" customWidth="1"/>
    <col min="4617" max="4617" width="12.5703125" style="216" customWidth="1"/>
    <col min="4618" max="4864" width="9.140625" style="216"/>
    <col min="4865" max="4865" width="6.28515625" style="216" customWidth="1"/>
    <col min="4866" max="4866" width="48" style="216" customWidth="1"/>
    <col min="4867" max="4867" width="11.140625" style="216" customWidth="1"/>
    <col min="4868" max="4868" width="11.5703125" style="216" customWidth="1"/>
    <col min="4869" max="4869" width="10.42578125" style="216" customWidth="1"/>
    <col min="4870" max="4870" width="9.7109375" style="216" customWidth="1"/>
    <col min="4871" max="4871" width="18.140625" style="216" customWidth="1"/>
    <col min="4872" max="4872" width="4.140625" style="216" customWidth="1"/>
    <col min="4873" max="4873" width="12.5703125" style="216" customWidth="1"/>
    <col min="4874" max="5120" width="9.140625" style="216"/>
    <col min="5121" max="5121" width="6.28515625" style="216" customWidth="1"/>
    <col min="5122" max="5122" width="48" style="216" customWidth="1"/>
    <col min="5123" max="5123" width="11.140625" style="216" customWidth="1"/>
    <col min="5124" max="5124" width="11.5703125" style="216" customWidth="1"/>
    <col min="5125" max="5125" width="10.42578125" style="216" customWidth="1"/>
    <col min="5126" max="5126" width="9.7109375" style="216" customWidth="1"/>
    <col min="5127" max="5127" width="18.140625" style="216" customWidth="1"/>
    <col min="5128" max="5128" width="4.140625" style="216" customWidth="1"/>
    <col min="5129" max="5129" width="12.5703125" style="216" customWidth="1"/>
    <col min="5130" max="5376" width="9.140625" style="216"/>
    <col min="5377" max="5377" width="6.28515625" style="216" customWidth="1"/>
    <col min="5378" max="5378" width="48" style="216" customWidth="1"/>
    <col min="5379" max="5379" width="11.140625" style="216" customWidth="1"/>
    <col min="5380" max="5380" width="11.5703125" style="216" customWidth="1"/>
    <col min="5381" max="5381" width="10.42578125" style="216" customWidth="1"/>
    <col min="5382" max="5382" width="9.7109375" style="216" customWidth="1"/>
    <col min="5383" max="5383" width="18.140625" style="216" customWidth="1"/>
    <col min="5384" max="5384" width="4.140625" style="216" customWidth="1"/>
    <col min="5385" max="5385" width="12.5703125" style="216" customWidth="1"/>
    <col min="5386" max="5632" width="9.140625" style="216"/>
    <col min="5633" max="5633" width="6.28515625" style="216" customWidth="1"/>
    <col min="5634" max="5634" width="48" style="216" customWidth="1"/>
    <col min="5635" max="5635" width="11.140625" style="216" customWidth="1"/>
    <col min="5636" max="5636" width="11.5703125" style="216" customWidth="1"/>
    <col min="5637" max="5637" width="10.42578125" style="216" customWidth="1"/>
    <col min="5638" max="5638" width="9.7109375" style="216" customWidth="1"/>
    <col min="5639" max="5639" width="18.140625" style="216" customWidth="1"/>
    <col min="5640" max="5640" width="4.140625" style="216" customWidth="1"/>
    <col min="5641" max="5641" width="12.5703125" style="216" customWidth="1"/>
    <col min="5642" max="5888" width="9.140625" style="216"/>
    <col min="5889" max="5889" width="6.28515625" style="216" customWidth="1"/>
    <col min="5890" max="5890" width="48" style="216" customWidth="1"/>
    <col min="5891" max="5891" width="11.140625" style="216" customWidth="1"/>
    <col min="5892" max="5892" width="11.5703125" style="216" customWidth="1"/>
    <col min="5893" max="5893" width="10.42578125" style="216" customWidth="1"/>
    <col min="5894" max="5894" width="9.7109375" style="216" customWidth="1"/>
    <col min="5895" max="5895" width="18.140625" style="216" customWidth="1"/>
    <col min="5896" max="5896" width="4.140625" style="216" customWidth="1"/>
    <col min="5897" max="5897" width="12.5703125" style="216" customWidth="1"/>
    <col min="5898" max="6144" width="9.140625" style="216"/>
    <col min="6145" max="6145" width="6.28515625" style="216" customWidth="1"/>
    <col min="6146" max="6146" width="48" style="216" customWidth="1"/>
    <col min="6147" max="6147" width="11.140625" style="216" customWidth="1"/>
    <col min="6148" max="6148" width="11.5703125" style="216" customWidth="1"/>
    <col min="6149" max="6149" width="10.42578125" style="216" customWidth="1"/>
    <col min="6150" max="6150" width="9.7109375" style="216" customWidth="1"/>
    <col min="6151" max="6151" width="18.140625" style="216" customWidth="1"/>
    <col min="6152" max="6152" width="4.140625" style="216" customWidth="1"/>
    <col min="6153" max="6153" width="12.5703125" style="216" customWidth="1"/>
    <col min="6154" max="6400" width="9.140625" style="216"/>
    <col min="6401" max="6401" width="6.28515625" style="216" customWidth="1"/>
    <col min="6402" max="6402" width="48" style="216" customWidth="1"/>
    <col min="6403" max="6403" width="11.140625" style="216" customWidth="1"/>
    <col min="6404" max="6404" width="11.5703125" style="216" customWidth="1"/>
    <col min="6405" max="6405" width="10.42578125" style="216" customWidth="1"/>
    <col min="6406" max="6406" width="9.7109375" style="216" customWidth="1"/>
    <col min="6407" max="6407" width="18.140625" style="216" customWidth="1"/>
    <col min="6408" max="6408" width="4.140625" style="216" customWidth="1"/>
    <col min="6409" max="6409" width="12.5703125" style="216" customWidth="1"/>
    <col min="6410" max="6656" width="9.140625" style="216"/>
    <col min="6657" max="6657" width="6.28515625" style="216" customWidth="1"/>
    <col min="6658" max="6658" width="48" style="216" customWidth="1"/>
    <col min="6659" max="6659" width="11.140625" style="216" customWidth="1"/>
    <col min="6660" max="6660" width="11.5703125" style="216" customWidth="1"/>
    <col min="6661" max="6661" width="10.42578125" style="216" customWidth="1"/>
    <col min="6662" max="6662" width="9.7109375" style="216" customWidth="1"/>
    <col min="6663" max="6663" width="18.140625" style="216" customWidth="1"/>
    <col min="6664" max="6664" width="4.140625" style="216" customWidth="1"/>
    <col min="6665" max="6665" width="12.5703125" style="216" customWidth="1"/>
    <col min="6666" max="6912" width="9.140625" style="216"/>
    <col min="6913" max="6913" width="6.28515625" style="216" customWidth="1"/>
    <col min="6914" max="6914" width="48" style="216" customWidth="1"/>
    <col min="6915" max="6915" width="11.140625" style="216" customWidth="1"/>
    <col min="6916" max="6916" width="11.5703125" style="216" customWidth="1"/>
    <col min="6917" max="6917" width="10.42578125" style="216" customWidth="1"/>
    <col min="6918" max="6918" width="9.7109375" style="216" customWidth="1"/>
    <col min="6919" max="6919" width="18.140625" style="216" customWidth="1"/>
    <col min="6920" max="6920" width="4.140625" style="216" customWidth="1"/>
    <col min="6921" max="6921" width="12.5703125" style="216" customWidth="1"/>
    <col min="6922" max="7168" width="9.140625" style="216"/>
    <col min="7169" max="7169" width="6.28515625" style="216" customWidth="1"/>
    <col min="7170" max="7170" width="48" style="216" customWidth="1"/>
    <col min="7171" max="7171" width="11.140625" style="216" customWidth="1"/>
    <col min="7172" max="7172" width="11.5703125" style="216" customWidth="1"/>
    <col min="7173" max="7173" width="10.42578125" style="216" customWidth="1"/>
    <col min="7174" max="7174" width="9.7109375" style="216" customWidth="1"/>
    <col min="7175" max="7175" width="18.140625" style="216" customWidth="1"/>
    <col min="7176" max="7176" width="4.140625" style="216" customWidth="1"/>
    <col min="7177" max="7177" width="12.5703125" style="216" customWidth="1"/>
    <col min="7178" max="7424" width="9.140625" style="216"/>
    <col min="7425" max="7425" width="6.28515625" style="216" customWidth="1"/>
    <col min="7426" max="7426" width="48" style="216" customWidth="1"/>
    <col min="7427" max="7427" width="11.140625" style="216" customWidth="1"/>
    <col min="7428" max="7428" width="11.5703125" style="216" customWidth="1"/>
    <col min="7429" max="7429" width="10.42578125" style="216" customWidth="1"/>
    <col min="7430" max="7430" width="9.7109375" style="216" customWidth="1"/>
    <col min="7431" max="7431" width="18.140625" style="216" customWidth="1"/>
    <col min="7432" max="7432" width="4.140625" style="216" customWidth="1"/>
    <col min="7433" max="7433" width="12.5703125" style="216" customWidth="1"/>
    <col min="7434" max="7680" width="9.140625" style="216"/>
    <col min="7681" max="7681" width="6.28515625" style="216" customWidth="1"/>
    <col min="7682" max="7682" width="48" style="216" customWidth="1"/>
    <col min="7683" max="7683" width="11.140625" style="216" customWidth="1"/>
    <col min="7684" max="7684" width="11.5703125" style="216" customWidth="1"/>
    <col min="7685" max="7685" width="10.42578125" style="216" customWidth="1"/>
    <col min="7686" max="7686" width="9.7109375" style="216" customWidth="1"/>
    <col min="7687" max="7687" width="18.140625" style="216" customWidth="1"/>
    <col min="7688" max="7688" width="4.140625" style="216" customWidth="1"/>
    <col min="7689" max="7689" width="12.5703125" style="216" customWidth="1"/>
    <col min="7690" max="7936" width="9.140625" style="216"/>
    <col min="7937" max="7937" width="6.28515625" style="216" customWidth="1"/>
    <col min="7938" max="7938" width="48" style="216" customWidth="1"/>
    <col min="7939" max="7939" width="11.140625" style="216" customWidth="1"/>
    <col min="7940" max="7940" width="11.5703125" style="216" customWidth="1"/>
    <col min="7941" max="7941" width="10.42578125" style="216" customWidth="1"/>
    <col min="7942" max="7942" width="9.7109375" style="216" customWidth="1"/>
    <col min="7943" max="7943" width="18.140625" style="216" customWidth="1"/>
    <col min="7944" max="7944" width="4.140625" style="216" customWidth="1"/>
    <col min="7945" max="7945" width="12.5703125" style="216" customWidth="1"/>
    <col min="7946" max="8192" width="9.140625" style="216"/>
    <col min="8193" max="8193" width="6.28515625" style="216" customWidth="1"/>
    <col min="8194" max="8194" width="48" style="216" customWidth="1"/>
    <col min="8195" max="8195" width="11.140625" style="216" customWidth="1"/>
    <col min="8196" max="8196" width="11.5703125" style="216" customWidth="1"/>
    <col min="8197" max="8197" width="10.42578125" style="216" customWidth="1"/>
    <col min="8198" max="8198" width="9.7109375" style="216" customWidth="1"/>
    <col min="8199" max="8199" width="18.140625" style="216" customWidth="1"/>
    <col min="8200" max="8200" width="4.140625" style="216" customWidth="1"/>
    <col min="8201" max="8201" width="12.5703125" style="216" customWidth="1"/>
    <col min="8202" max="8448" width="9.140625" style="216"/>
    <col min="8449" max="8449" width="6.28515625" style="216" customWidth="1"/>
    <col min="8450" max="8450" width="48" style="216" customWidth="1"/>
    <col min="8451" max="8451" width="11.140625" style="216" customWidth="1"/>
    <col min="8452" max="8452" width="11.5703125" style="216" customWidth="1"/>
    <col min="8453" max="8453" width="10.42578125" style="216" customWidth="1"/>
    <col min="8454" max="8454" width="9.7109375" style="216" customWidth="1"/>
    <col min="8455" max="8455" width="18.140625" style="216" customWidth="1"/>
    <col min="8456" max="8456" width="4.140625" style="216" customWidth="1"/>
    <col min="8457" max="8457" width="12.5703125" style="216" customWidth="1"/>
    <col min="8458" max="8704" width="9.140625" style="216"/>
    <col min="8705" max="8705" width="6.28515625" style="216" customWidth="1"/>
    <col min="8706" max="8706" width="48" style="216" customWidth="1"/>
    <col min="8707" max="8707" width="11.140625" style="216" customWidth="1"/>
    <col min="8708" max="8708" width="11.5703125" style="216" customWidth="1"/>
    <col min="8709" max="8709" width="10.42578125" style="216" customWidth="1"/>
    <col min="8710" max="8710" width="9.7109375" style="216" customWidth="1"/>
    <col min="8711" max="8711" width="18.140625" style="216" customWidth="1"/>
    <col min="8712" max="8712" width="4.140625" style="216" customWidth="1"/>
    <col min="8713" max="8713" width="12.5703125" style="216" customWidth="1"/>
    <col min="8714" max="8960" width="9.140625" style="216"/>
    <col min="8961" max="8961" width="6.28515625" style="216" customWidth="1"/>
    <col min="8962" max="8962" width="48" style="216" customWidth="1"/>
    <col min="8963" max="8963" width="11.140625" style="216" customWidth="1"/>
    <col min="8964" max="8964" width="11.5703125" style="216" customWidth="1"/>
    <col min="8965" max="8965" width="10.42578125" style="216" customWidth="1"/>
    <col min="8966" max="8966" width="9.7109375" style="216" customWidth="1"/>
    <col min="8967" max="8967" width="18.140625" style="216" customWidth="1"/>
    <col min="8968" max="8968" width="4.140625" style="216" customWidth="1"/>
    <col min="8969" max="8969" width="12.5703125" style="216" customWidth="1"/>
    <col min="8970" max="9216" width="9.140625" style="216"/>
    <col min="9217" max="9217" width="6.28515625" style="216" customWidth="1"/>
    <col min="9218" max="9218" width="48" style="216" customWidth="1"/>
    <col min="9219" max="9219" width="11.140625" style="216" customWidth="1"/>
    <col min="9220" max="9220" width="11.5703125" style="216" customWidth="1"/>
    <col min="9221" max="9221" width="10.42578125" style="216" customWidth="1"/>
    <col min="9222" max="9222" width="9.7109375" style="216" customWidth="1"/>
    <col min="9223" max="9223" width="18.140625" style="216" customWidth="1"/>
    <col min="9224" max="9224" width="4.140625" style="216" customWidth="1"/>
    <col min="9225" max="9225" width="12.5703125" style="216" customWidth="1"/>
    <col min="9226" max="9472" width="9.140625" style="216"/>
    <col min="9473" max="9473" width="6.28515625" style="216" customWidth="1"/>
    <col min="9474" max="9474" width="48" style="216" customWidth="1"/>
    <col min="9475" max="9475" width="11.140625" style="216" customWidth="1"/>
    <col min="9476" max="9476" width="11.5703125" style="216" customWidth="1"/>
    <col min="9477" max="9477" width="10.42578125" style="216" customWidth="1"/>
    <col min="9478" max="9478" width="9.7109375" style="216" customWidth="1"/>
    <col min="9479" max="9479" width="18.140625" style="216" customWidth="1"/>
    <col min="9480" max="9480" width="4.140625" style="216" customWidth="1"/>
    <col min="9481" max="9481" width="12.5703125" style="216" customWidth="1"/>
    <col min="9482" max="9728" width="9.140625" style="216"/>
    <col min="9729" max="9729" width="6.28515625" style="216" customWidth="1"/>
    <col min="9730" max="9730" width="48" style="216" customWidth="1"/>
    <col min="9731" max="9731" width="11.140625" style="216" customWidth="1"/>
    <col min="9732" max="9732" width="11.5703125" style="216" customWidth="1"/>
    <col min="9733" max="9733" width="10.42578125" style="216" customWidth="1"/>
    <col min="9734" max="9734" width="9.7109375" style="216" customWidth="1"/>
    <col min="9735" max="9735" width="18.140625" style="216" customWidth="1"/>
    <col min="9736" max="9736" width="4.140625" style="216" customWidth="1"/>
    <col min="9737" max="9737" width="12.5703125" style="216" customWidth="1"/>
    <col min="9738" max="9984" width="9.140625" style="216"/>
    <col min="9985" max="9985" width="6.28515625" style="216" customWidth="1"/>
    <col min="9986" max="9986" width="48" style="216" customWidth="1"/>
    <col min="9987" max="9987" width="11.140625" style="216" customWidth="1"/>
    <col min="9988" max="9988" width="11.5703125" style="216" customWidth="1"/>
    <col min="9989" max="9989" width="10.42578125" style="216" customWidth="1"/>
    <col min="9990" max="9990" width="9.7109375" style="216" customWidth="1"/>
    <col min="9991" max="9991" width="18.140625" style="216" customWidth="1"/>
    <col min="9992" max="9992" width="4.140625" style="216" customWidth="1"/>
    <col min="9993" max="9993" width="12.5703125" style="216" customWidth="1"/>
    <col min="9994" max="10240" width="9.140625" style="216"/>
    <col min="10241" max="10241" width="6.28515625" style="216" customWidth="1"/>
    <col min="10242" max="10242" width="48" style="216" customWidth="1"/>
    <col min="10243" max="10243" width="11.140625" style="216" customWidth="1"/>
    <col min="10244" max="10244" width="11.5703125" style="216" customWidth="1"/>
    <col min="10245" max="10245" width="10.42578125" style="216" customWidth="1"/>
    <col min="10246" max="10246" width="9.7109375" style="216" customWidth="1"/>
    <col min="10247" max="10247" width="18.140625" style="216" customWidth="1"/>
    <col min="10248" max="10248" width="4.140625" style="216" customWidth="1"/>
    <col min="10249" max="10249" width="12.5703125" style="216" customWidth="1"/>
    <col min="10250" max="10496" width="9.140625" style="216"/>
    <col min="10497" max="10497" width="6.28515625" style="216" customWidth="1"/>
    <col min="10498" max="10498" width="48" style="216" customWidth="1"/>
    <col min="10499" max="10499" width="11.140625" style="216" customWidth="1"/>
    <col min="10500" max="10500" width="11.5703125" style="216" customWidth="1"/>
    <col min="10501" max="10501" width="10.42578125" style="216" customWidth="1"/>
    <col min="10502" max="10502" width="9.7109375" style="216" customWidth="1"/>
    <col min="10503" max="10503" width="18.140625" style="216" customWidth="1"/>
    <col min="10504" max="10504" width="4.140625" style="216" customWidth="1"/>
    <col min="10505" max="10505" width="12.5703125" style="216" customWidth="1"/>
    <col min="10506" max="10752" width="9.140625" style="216"/>
    <col min="10753" max="10753" width="6.28515625" style="216" customWidth="1"/>
    <col min="10754" max="10754" width="48" style="216" customWidth="1"/>
    <col min="10755" max="10755" width="11.140625" style="216" customWidth="1"/>
    <col min="10756" max="10756" width="11.5703125" style="216" customWidth="1"/>
    <col min="10757" max="10757" width="10.42578125" style="216" customWidth="1"/>
    <col min="10758" max="10758" width="9.7109375" style="216" customWidth="1"/>
    <col min="10759" max="10759" width="18.140625" style="216" customWidth="1"/>
    <col min="10760" max="10760" width="4.140625" style="216" customWidth="1"/>
    <col min="10761" max="10761" width="12.5703125" style="216" customWidth="1"/>
    <col min="10762" max="11008" width="9.140625" style="216"/>
    <col min="11009" max="11009" width="6.28515625" style="216" customWidth="1"/>
    <col min="11010" max="11010" width="48" style="216" customWidth="1"/>
    <col min="11011" max="11011" width="11.140625" style="216" customWidth="1"/>
    <col min="11012" max="11012" width="11.5703125" style="216" customWidth="1"/>
    <col min="11013" max="11013" width="10.42578125" style="216" customWidth="1"/>
    <col min="11014" max="11014" width="9.7109375" style="216" customWidth="1"/>
    <col min="11015" max="11015" width="18.140625" style="216" customWidth="1"/>
    <col min="11016" max="11016" width="4.140625" style="216" customWidth="1"/>
    <col min="11017" max="11017" width="12.5703125" style="216" customWidth="1"/>
    <col min="11018" max="11264" width="9.140625" style="216"/>
    <col min="11265" max="11265" width="6.28515625" style="216" customWidth="1"/>
    <col min="11266" max="11266" width="48" style="216" customWidth="1"/>
    <col min="11267" max="11267" width="11.140625" style="216" customWidth="1"/>
    <col min="11268" max="11268" width="11.5703125" style="216" customWidth="1"/>
    <col min="11269" max="11269" width="10.42578125" style="216" customWidth="1"/>
    <col min="11270" max="11270" width="9.7109375" style="216" customWidth="1"/>
    <col min="11271" max="11271" width="18.140625" style="216" customWidth="1"/>
    <col min="11272" max="11272" width="4.140625" style="216" customWidth="1"/>
    <col min="11273" max="11273" width="12.5703125" style="216" customWidth="1"/>
    <col min="11274" max="11520" width="9.140625" style="216"/>
    <col min="11521" max="11521" width="6.28515625" style="216" customWidth="1"/>
    <col min="11522" max="11522" width="48" style="216" customWidth="1"/>
    <col min="11523" max="11523" width="11.140625" style="216" customWidth="1"/>
    <col min="11524" max="11524" width="11.5703125" style="216" customWidth="1"/>
    <col min="11525" max="11525" width="10.42578125" style="216" customWidth="1"/>
    <col min="11526" max="11526" width="9.7109375" style="216" customWidth="1"/>
    <col min="11527" max="11527" width="18.140625" style="216" customWidth="1"/>
    <col min="11528" max="11528" width="4.140625" style="216" customWidth="1"/>
    <col min="11529" max="11529" width="12.5703125" style="216" customWidth="1"/>
    <col min="11530" max="11776" width="9.140625" style="216"/>
    <col min="11777" max="11777" width="6.28515625" style="216" customWidth="1"/>
    <col min="11778" max="11778" width="48" style="216" customWidth="1"/>
    <col min="11779" max="11779" width="11.140625" style="216" customWidth="1"/>
    <col min="11780" max="11780" width="11.5703125" style="216" customWidth="1"/>
    <col min="11781" max="11781" width="10.42578125" style="216" customWidth="1"/>
    <col min="11782" max="11782" width="9.7109375" style="216" customWidth="1"/>
    <col min="11783" max="11783" width="18.140625" style="216" customWidth="1"/>
    <col min="11784" max="11784" width="4.140625" style="216" customWidth="1"/>
    <col min="11785" max="11785" width="12.5703125" style="216" customWidth="1"/>
    <col min="11786" max="12032" width="9.140625" style="216"/>
    <col min="12033" max="12033" width="6.28515625" style="216" customWidth="1"/>
    <col min="12034" max="12034" width="48" style="216" customWidth="1"/>
    <col min="12035" max="12035" width="11.140625" style="216" customWidth="1"/>
    <col min="12036" max="12036" width="11.5703125" style="216" customWidth="1"/>
    <col min="12037" max="12037" width="10.42578125" style="216" customWidth="1"/>
    <col min="12038" max="12038" width="9.7109375" style="216" customWidth="1"/>
    <col min="12039" max="12039" width="18.140625" style="216" customWidth="1"/>
    <col min="12040" max="12040" width="4.140625" style="216" customWidth="1"/>
    <col min="12041" max="12041" width="12.5703125" style="216" customWidth="1"/>
    <col min="12042" max="12288" width="9.140625" style="216"/>
    <col min="12289" max="12289" width="6.28515625" style="216" customWidth="1"/>
    <col min="12290" max="12290" width="48" style="216" customWidth="1"/>
    <col min="12291" max="12291" width="11.140625" style="216" customWidth="1"/>
    <col min="12292" max="12292" width="11.5703125" style="216" customWidth="1"/>
    <col min="12293" max="12293" width="10.42578125" style="216" customWidth="1"/>
    <col min="12294" max="12294" width="9.7109375" style="216" customWidth="1"/>
    <col min="12295" max="12295" width="18.140625" style="216" customWidth="1"/>
    <col min="12296" max="12296" width="4.140625" style="216" customWidth="1"/>
    <col min="12297" max="12297" width="12.5703125" style="216" customWidth="1"/>
    <col min="12298" max="12544" width="9.140625" style="216"/>
    <col min="12545" max="12545" width="6.28515625" style="216" customWidth="1"/>
    <col min="12546" max="12546" width="48" style="216" customWidth="1"/>
    <col min="12547" max="12547" width="11.140625" style="216" customWidth="1"/>
    <col min="12548" max="12548" width="11.5703125" style="216" customWidth="1"/>
    <col min="12549" max="12549" width="10.42578125" style="216" customWidth="1"/>
    <col min="12550" max="12550" width="9.7109375" style="216" customWidth="1"/>
    <col min="12551" max="12551" width="18.140625" style="216" customWidth="1"/>
    <col min="12552" max="12552" width="4.140625" style="216" customWidth="1"/>
    <col min="12553" max="12553" width="12.5703125" style="216" customWidth="1"/>
    <col min="12554" max="12800" width="9.140625" style="216"/>
    <col min="12801" max="12801" width="6.28515625" style="216" customWidth="1"/>
    <col min="12802" max="12802" width="48" style="216" customWidth="1"/>
    <col min="12803" max="12803" width="11.140625" style="216" customWidth="1"/>
    <col min="12804" max="12804" width="11.5703125" style="216" customWidth="1"/>
    <col min="12805" max="12805" width="10.42578125" style="216" customWidth="1"/>
    <col min="12806" max="12806" width="9.7109375" style="216" customWidth="1"/>
    <col min="12807" max="12807" width="18.140625" style="216" customWidth="1"/>
    <col min="12808" max="12808" width="4.140625" style="216" customWidth="1"/>
    <col min="12809" max="12809" width="12.5703125" style="216" customWidth="1"/>
    <col min="12810" max="13056" width="9.140625" style="216"/>
    <col min="13057" max="13057" width="6.28515625" style="216" customWidth="1"/>
    <col min="13058" max="13058" width="48" style="216" customWidth="1"/>
    <col min="13059" max="13059" width="11.140625" style="216" customWidth="1"/>
    <col min="13060" max="13060" width="11.5703125" style="216" customWidth="1"/>
    <col min="13061" max="13061" width="10.42578125" style="216" customWidth="1"/>
    <col min="13062" max="13062" width="9.7109375" style="216" customWidth="1"/>
    <col min="13063" max="13063" width="18.140625" style="216" customWidth="1"/>
    <col min="13064" max="13064" width="4.140625" style="216" customWidth="1"/>
    <col min="13065" max="13065" width="12.5703125" style="216" customWidth="1"/>
    <col min="13066" max="13312" width="9.140625" style="216"/>
    <col min="13313" max="13313" width="6.28515625" style="216" customWidth="1"/>
    <col min="13314" max="13314" width="48" style="216" customWidth="1"/>
    <col min="13315" max="13315" width="11.140625" style="216" customWidth="1"/>
    <col min="13316" max="13316" width="11.5703125" style="216" customWidth="1"/>
    <col min="13317" max="13317" width="10.42578125" style="216" customWidth="1"/>
    <col min="13318" max="13318" width="9.7109375" style="216" customWidth="1"/>
    <col min="13319" max="13319" width="18.140625" style="216" customWidth="1"/>
    <col min="13320" max="13320" width="4.140625" style="216" customWidth="1"/>
    <col min="13321" max="13321" width="12.5703125" style="216" customWidth="1"/>
    <col min="13322" max="13568" width="9.140625" style="216"/>
    <col min="13569" max="13569" width="6.28515625" style="216" customWidth="1"/>
    <col min="13570" max="13570" width="48" style="216" customWidth="1"/>
    <col min="13571" max="13571" width="11.140625" style="216" customWidth="1"/>
    <col min="13572" max="13572" width="11.5703125" style="216" customWidth="1"/>
    <col min="13573" max="13573" width="10.42578125" style="216" customWidth="1"/>
    <col min="13574" max="13574" width="9.7109375" style="216" customWidth="1"/>
    <col min="13575" max="13575" width="18.140625" style="216" customWidth="1"/>
    <col min="13576" max="13576" width="4.140625" style="216" customWidth="1"/>
    <col min="13577" max="13577" width="12.5703125" style="216" customWidth="1"/>
    <col min="13578" max="13824" width="9.140625" style="216"/>
    <col min="13825" max="13825" width="6.28515625" style="216" customWidth="1"/>
    <col min="13826" max="13826" width="48" style="216" customWidth="1"/>
    <col min="13827" max="13827" width="11.140625" style="216" customWidth="1"/>
    <col min="13828" max="13828" width="11.5703125" style="216" customWidth="1"/>
    <col min="13829" max="13829" width="10.42578125" style="216" customWidth="1"/>
    <col min="13830" max="13830" width="9.7109375" style="216" customWidth="1"/>
    <col min="13831" max="13831" width="18.140625" style="216" customWidth="1"/>
    <col min="13832" max="13832" width="4.140625" style="216" customWidth="1"/>
    <col min="13833" max="13833" width="12.5703125" style="216" customWidth="1"/>
    <col min="13834" max="14080" width="9.140625" style="216"/>
    <col min="14081" max="14081" width="6.28515625" style="216" customWidth="1"/>
    <col min="14082" max="14082" width="48" style="216" customWidth="1"/>
    <col min="14083" max="14083" width="11.140625" style="216" customWidth="1"/>
    <col min="14084" max="14084" width="11.5703125" style="216" customWidth="1"/>
    <col min="14085" max="14085" width="10.42578125" style="216" customWidth="1"/>
    <col min="14086" max="14086" width="9.7109375" style="216" customWidth="1"/>
    <col min="14087" max="14087" width="18.140625" style="216" customWidth="1"/>
    <col min="14088" max="14088" width="4.140625" style="216" customWidth="1"/>
    <col min="14089" max="14089" width="12.5703125" style="216" customWidth="1"/>
    <col min="14090" max="14336" width="9.140625" style="216"/>
    <col min="14337" max="14337" width="6.28515625" style="216" customWidth="1"/>
    <col min="14338" max="14338" width="48" style="216" customWidth="1"/>
    <col min="14339" max="14339" width="11.140625" style="216" customWidth="1"/>
    <col min="14340" max="14340" width="11.5703125" style="216" customWidth="1"/>
    <col min="14341" max="14341" width="10.42578125" style="216" customWidth="1"/>
    <col min="14342" max="14342" width="9.7109375" style="216" customWidth="1"/>
    <col min="14343" max="14343" width="18.140625" style="216" customWidth="1"/>
    <col min="14344" max="14344" width="4.140625" style="216" customWidth="1"/>
    <col min="14345" max="14345" width="12.5703125" style="216" customWidth="1"/>
    <col min="14346" max="14592" width="9.140625" style="216"/>
    <col min="14593" max="14593" width="6.28515625" style="216" customWidth="1"/>
    <col min="14594" max="14594" width="48" style="216" customWidth="1"/>
    <col min="14595" max="14595" width="11.140625" style="216" customWidth="1"/>
    <col min="14596" max="14596" width="11.5703125" style="216" customWidth="1"/>
    <col min="14597" max="14597" width="10.42578125" style="216" customWidth="1"/>
    <col min="14598" max="14598" width="9.7109375" style="216" customWidth="1"/>
    <col min="14599" max="14599" width="18.140625" style="216" customWidth="1"/>
    <col min="14600" max="14600" width="4.140625" style="216" customWidth="1"/>
    <col min="14601" max="14601" width="12.5703125" style="216" customWidth="1"/>
    <col min="14602" max="14848" width="9.140625" style="216"/>
    <col min="14849" max="14849" width="6.28515625" style="216" customWidth="1"/>
    <col min="14850" max="14850" width="48" style="216" customWidth="1"/>
    <col min="14851" max="14851" width="11.140625" style="216" customWidth="1"/>
    <col min="14852" max="14852" width="11.5703125" style="216" customWidth="1"/>
    <col min="14853" max="14853" width="10.42578125" style="216" customWidth="1"/>
    <col min="14854" max="14854" width="9.7109375" style="216" customWidth="1"/>
    <col min="14855" max="14855" width="18.140625" style="216" customWidth="1"/>
    <col min="14856" max="14856" width="4.140625" style="216" customWidth="1"/>
    <col min="14857" max="14857" width="12.5703125" style="216" customWidth="1"/>
    <col min="14858" max="15104" width="9.140625" style="216"/>
    <col min="15105" max="15105" width="6.28515625" style="216" customWidth="1"/>
    <col min="15106" max="15106" width="48" style="216" customWidth="1"/>
    <col min="15107" max="15107" width="11.140625" style="216" customWidth="1"/>
    <col min="15108" max="15108" width="11.5703125" style="216" customWidth="1"/>
    <col min="15109" max="15109" width="10.42578125" style="216" customWidth="1"/>
    <col min="15110" max="15110" width="9.7109375" style="216" customWidth="1"/>
    <col min="15111" max="15111" width="18.140625" style="216" customWidth="1"/>
    <col min="15112" max="15112" width="4.140625" style="216" customWidth="1"/>
    <col min="15113" max="15113" width="12.5703125" style="216" customWidth="1"/>
    <col min="15114" max="15360" width="9.140625" style="216"/>
    <col min="15361" max="15361" width="6.28515625" style="216" customWidth="1"/>
    <col min="15362" max="15362" width="48" style="216" customWidth="1"/>
    <col min="15363" max="15363" width="11.140625" style="216" customWidth="1"/>
    <col min="15364" max="15364" width="11.5703125" style="216" customWidth="1"/>
    <col min="15365" max="15365" width="10.42578125" style="216" customWidth="1"/>
    <col min="15366" max="15366" width="9.7109375" style="216" customWidth="1"/>
    <col min="15367" max="15367" width="18.140625" style="216" customWidth="1"/>
    <col min="15368" max="15368" width="4.140625" style="216" customWidth="1"/>
    <col min="15369" max="15369" width="12.5703125" style="216" customWidth="1"/>
    <col min="15370" max="15616" width="9.140625" style="216"/>
    <col min="15617" max="15617" width="6.28515625" style="216" customWidth="1"/>
    <col min="15618" max="15618" width="48" style="216" customWidth="1"/>
    <col min="15619" max="15619" width="11.140625" style="216" customWidth="1"/>
    <col min="15620" max="15620" width="11.5703125" style="216" customWidth="1"/>
    <col min="15621" max="15621" width="10.42578125" style="216" customWidth="1"/>
    <col min="15622" max="15622" width="9.7109375" style="216" customWidth="1"/>
    <col min="15623" max="15623" width="18.140625" style="216" customWidth="1"/>
    <col min="15624" max="15624" width="4.140625" style="216" customWidth="1"/>
    <col min="15625" max="15625" width="12.5703125" style="216" customWidth="1"/>
    <col min="15626" max="15872" width="9.140625" style="216"/>
    <col min="15873" max="15873" width="6.28515625" style="216" customWidth="1"/>
    <col min="15874" max="15874" width="48" style="216" customWidth="1"/>
    <col min="15875" max="15875" width="11.140625" style="216" customWidth="1"/>
    <col min="15876" max="15876" width="11.5703125" style="216" customWidth="1"/>
    <col min="15877" max="15877" width="10.42578125" style="216" customWidth="1"/>
    <col min="15878" max="15878" width="9.7109375" style="216" customWidth="1"/>
    <col min="15879" max="15879" width="18.140625" style="216" customWidth="1"/>
    <col min="15880" max="15880" width="4.140625" style="216" customWidth="1"/>
    <col min="15881" max="15881" width="12.5703125" style="216" customWidth="1"/>
    <col min="15882" max="16128" width="9.140625" style="216"/>
    <col min="16129" max="16129" width="6.28515625" style="216" customWidth="1"/>
    <col min="16130" max="16130" width="48" style="216" customWidth="1"/>
    <col min="16131" max="16131" width="11.140625" style="216" customWidth="1"/>
    <col min="16132" max="16132" width="11.5703125" style="216" customWidth="1"/>
    <col min="16133" max="16133" width="10.42578125" style="216" customWidth="1"/>
    <col min="16134" max="16134" width="9.7109375" style="216" customWidth="1"/>
    <col min="16135" max="16135" width="18.140625" style="216" customWidth="1"/>
    <col min="16136" max="16136" width="4.140625" style="216" customWidth="1"/>
    <col min="16137" max="16137" width="12.5703125" style="216" customWidth="1"/>
    <col min="16138" max="16384" width="9.140625" style="216"/>
  </cols>
  <sheetData>
    <row r="1" spans="1:9" ht="20.25" customHeight="1">
      <c r="A1" s="1675" t="s">
        <v>221</v>
      </c>
      <c r="B1" s="1675"/>
      <c r="C1" s="1234"/>
      <c r="D1" s="1681" t="s">
        <v>2225</v>
      </c>
      <c r="E1" s="1681"/>
      <c r="F1" s="1681"/>
    </row>
    <row r="2" spans="1:9" ht="23.25" customHeight="1">
      <c r="A2" s="1674" t="s">
        <v>2120</v>
      </c>
      <c r="B2" s="1674"/>
      <c r="C2" s="1674"/>
      <c r="D2" s="1674"/>
      <c r="E2" s="1674"/>
      <c r="F2" s="1674"/>
    </row>
    <row r="3" spans="1:9" ht="15.75" customHeight="1">
      <c r="A3" s="1674" t="s">
        <v>2122</v>
      </c>
      <c r="B3" s="1674"/>
      <c r="C3" s="1674"/>
      <c r="D3" s="1674"/>
      <c r="E3" s="1674"/>
      <c r="F3" s="1674"/>
    </row>
    <row r="4" spans="1:9" ht="15.75" customHeight="1">
      <c r="A4" s="1676" t="s">
        <v>2232</v>
      </c>
      <c r="B4" s="1676"/>
      <c r="C4" s="1676"/>
      <c r="D4" s="1676"/>
      <c r="E4" s="1676"/>
      <c r="F4" s="1676"/>
    </row>
    <row r="5" spans="1:9" ht="15" customHeight="1">
      <c r="A5" s="524"/>
      <c r="B5" s="524"/>
      <c r="C5" s="524"/>
      <c r="D5" s="524"/>
      <c r="E5" s="1677" t="s">
        <v>5</v>
      </c>
      <c r="F5" s="1677"/>
    </row>
    <row r="6" spans="1:9" s="218" customFormat="1" ht="15.75">
      <c r="A6" s="1678" t="s">
        <v>0</v>
      </c>
      <c r="B6" s="1678" t="s">
        <v>1970</v>
      </c>
      <c r="C6" s="1678" t="s">
        <v>136</v>
      </c>
      <c r="D6" s="1678" t="s">
        <v>155</v>
      </c>
      <c r="E6" s="1679" t="s">
        <v>41</v>
      </c>
      <c r="F6" s="1680"/>
    </row>
    <row r="7" spans="1:9" s="218" customFormat="1" ht="31.5">
      <c r="A7" s="1678"/>
      <c r="B7" s="1678"/>
      <c r="C7" s="1678"/>
      <c r="D7" s="1678"/>
      <c r="E7" s="531" t="s">
        <v>42</v>
      </c>
      <c r="F7" s="531" t="s">
        <v>86</v>
      </c>
    </row>
    <row r="8" spans="1:9" s="218" customFormat="1">
      <c r="A8" s="1193" t="s">
        <v>2</v>
      </c>
      <c r="B8" s="1193" t="s">
        <v>3</v>
      </c>
      <c r="C8" s="1193">
        <v>1</v>
      </c>
      <c r="D8" s="1193">
        <v>2</v>
      </c>
      <c r="E8" s="1193" t="s">
        <v>68</v>
      </c>
      <c r="F8" s="1193" t="s">
        <v>69</v>
      </c>
    </row>
    <row r="9" spans="1:9" s="226" customFormat="1" ht="17.25" customHeight="1">
      <c r="A9" s="1194" t="s">
        <v>2</v>
      </c>
      <c r="B9" s="1195" t="s">
        <v>43</v>
      </c>
      <c r="C9" s="555">
        <f>C10+C13+C16+C17+C18+C19+C20+C21</f>
        <v>5173837</v>
      </c>
      <c r="D9" s="555">
        <f>D10+D13+D16+D17+D18+D19+D20+D21</f>
        <v>6194907.9429129986</v>
      </c>
      <c r="E9" s="1196">
        <f t="shared" ref="E9:E15" si="0">D9-C9</f>
        <v>1021070.9429129986</v>
      </c>
      <c r="F9" s="1197">
        <f t="shared" ref="F9:F15" si="1">D9/C9</f>
        <v>1.1973527466970835</v>
      </c>
      <c r="G9" s="225"/>
    </row>
    <row r="10" spans="1:9" s="226" customFormat="1">
      <c r="A10" s="1198" t="s">
        <v>11</v>
      </c>
      <c r="B10" s="1199" t="s">
        <v>70</v>
      </c>
      <c r="C10" s="556">
        <f>C11+C12</f>
        <v>545010</v>
      </c>
      <c r="D10" s="556">
        <f>D11+D12</f>
        <v>572271.51394699991</v>
      </c>
      <c r="E10" s="1200">
        <f t="shared" si="0"/>
        <v>27261.513946999912</v>
      </c>
      <c r="F10" s="1201">
        <f t="shared" si="1"/>
        <v>1.050020208706262</v>
      </c>
    </row>
    <row r="11" spans="1:9" s="227" customFormat="1">
      <c r="A11" s="526">
        <v>1</v>
      </c>
      <c r="B11" s="522" t="s">
        <v>71</v>
      </c>
      <c r="C11" s="521">
        <v>210730</v>
      </c>
      <c r="D11" s="527">
        <f>'[2]61-TT342'!G16+'[2]61-TT342'!G22+'[2]61-TT342'!G28+'[2]61-TT342'!G30+'[2]61-TT342'!G23+'[2]61-TT342'!G17+'[2]61-TT342'!G35+'[2]61-TT342'!G34+'[2]61-TT342'!G41+'[2]61-TT342'!G42+'[2]61-TT342'!G51+'[2]61-TT342'!G52+'[2]61-TT342'!G53+'[2]61-TT342'!G54+'[2]61-TT342'!G55</f>
        <v>198086.470722</v>
      </c>
      <c r="E11" s="1202">
        <f t="shared" si="0"/>
        <v>-12643.529278000002</v>
      </c>
      <c r="F11" s="1203">
        <f t="shared" si="1"/>
        <v>0.94000128468656574</v>
      </c>
      <c r="G11" s="1204"/>
    </row>
    <row r="12" spans="1:9" s="227" customFormat="1">
      <c r="A12" s="526">
        <v>2</v>
      </c>
      <c r="B12" s="522" t="s">
        <v>72</v>
      </c>
      <c r="C12" s="521">
        <v>334280</v>
      </c>
      <c r="D12" s="527">
        <v>374185.04322499991</v>
      </c>
      <c r="E12" s="1202">
        <f t="shared" si="0"/>
        <v>39905.043224999914</v>
      </c>
      <c r="F12" s="1203">
        <f t="shared" si="1"/>
        <v>1.1193761015466073</v>
      </c>
      <c r="G12" s="1204"/>
    </row>
    <row r="13" spans="1:9" s="226" customFormat="1">
      <c r="A13" s="1205" t="s">
        <v>7</v>
      </c>
      <c r="B13" s="1206" t="s">
        <v>156</v>
      </c>
      <c r="C13" s="560">
        <f>C14+C15</f>
        <v>4628827</v>
      </c>
      <c r="D13" s="560">
        <f>D14+D15</f>
        <v>4644170.6553659998</v>
      </c>
      <c r="E13" s="1207">
        <f t="shared" si="0"/>
        <v>15343.655365999788</v>
      </c>
      <c r="F13" s="1208">
        <f t="shared" si="1"/>
        <v>1.0033148042400375</v>
      </c>
    </row>
    <row r="14" spans="1:9" s="227" customFormat="1">
      <c r="A14" s="526">
        <v>1</v>
      </c>
      <c r="B14" s="522" t="s">
        <v>44</v>
      </c>
      <c r="C14" s="527">
        <f>'[2]61-TT342'!D71</f>
        <v>2916788</v>
      </c>
      <c r="D14" s="527">
        <f>'[2]61-TT342'!H71</f>
        <v>2916788</v>
      </c>
      <c r="E14" s="1202">
        <f t="shared" si="0"/>
        <v>0</v>
      </c>
      <c r="F14" s="1203">
        <f t="shared" si="1"/>
        <v>1</v>
      </c>
    </row>
    <row r="15" spans="1:9" s="227" customFormat="1">
      <c r="A15" s="526">
        <v>2</v>
      </c>
      <c r="B15" s="522" t="s">
        <v>12</v>
      </c>
      <c r="C15" s="527">
        <f>'[2]61-TT342'!D72</f>
        <v>1712039</v>
      </c>
      <c r="D15" s="527">
        <f>'[2]61-TT342'!H72</f>
        <v>1727382.655366</v>
      </c>
      <c r="E15" s="1202">
        <f t="shared" si="0"/>
        <v>15343.655366000021</v>
      </c>
      <c r="F15" s="1203">
        <f t="shared" si="1"/>
        <v>1.0089622113549983</v>
      </c>
      <c r="G15" s="1673"/>
      <c r="H15" s="1673"/>
      <c r="I15" s="1209"/>
    </row>
    <row r="16" spans="1:9" s="226" customFormat="1">
      <c r="A16" s="1205" t="s">
        <v>8</v>
      </c>
      <c r="B16" s="1206" t="s">
        <v>45</v>
      </c>
      <c r="C16" s="560">
        <v>0</v>
      </c>
      <c r="D16" s="560">
        <v>0</v>
      </c>
      <c r="E16" s="1207"/>
      <c r="F16" s="1208"/>
      <c r="G16" s="1673"/>
      <c r="H16" s="1673"/>
      <c r="I16" s="1209"/>
    </row>
    <row r="17" spans="1:9" s="226" customFormat="1">
      <c r="A17" s="1205" t="s">
        <v>9</v>
      </c>
      <c r="B17" s="1206" t="s">
        <v>62</v>
      </c>
      <c r="C17" s="560">
        <v>0</v>
      </c>
      <c r="D17" s="560">
        <f>'[2]61-TT342'!E77</f>
        <v>218832.949972</v>
      </c>
      <c r="E17" s="1207"/>
      <c r="F17" s="1208"/>
      <c r="G17" s="1673"/>
      <c r="H17" s="1673"/>
      <c r="I17" s="1209"/>
    </row>
    <row r="18" spans="1:9" s="226" customFormat="1">
      <c r="A18" s="1205" t="s">
        <v>23</v>
      </c>
      <c r="B18" s="1206" t="s">
        <v>46</v>
      </c>
      <c r="C18" s="560">
        <v>0</v>
      </c>
      <c r="D18" s="560">
        <f>'[2]61-TT342'!E76</f>
        <v>703165.28634700004</v>
      </c>
      <c r="E18" s="1207"/>
      <c r="F18" s="1208"/>
      <c r="G18" s="1673"/>
      <c r="H18" s="1673"/>
      <c r="I18" s="1209"/>
    </row>
    <row r="19" spans="1:9" s="226" customFormat="1">
      <c r="A19" s="1205" t="s">
        <v>96</v>
      </c>
      <c r="B19" s="1206" t="s">
        <v>1395</v>
      </c>
      <c r="C19" s="560">
        <v>0</v>
      </c>
      <c r="D19" s="560">
        <f>'[2]61-TT342'!G75</f>
        <v>38753.298008999998</v>
      </c>
      <c r="E19" s="1207"/>
      <c r="F19" s="1208"/>
      <c r="G19" s="1673"/>
      <c r="H19" s="1673"/>
      <c r="I19" s="1209"/>
    </row>
    <row r="20" spans="1:9" s="226" customFormat="1">
      <c r="A20" s="1205" t="s">
        <v>139</v>
      </c>
      <c r="B20" s="1206" t="s">
        <v>1409</v>
      </c>
      <c r="C20" s="560">
        <v>0</v>
      </c>
      <c r="D20" s="560">
        <f>'[2]61-TT342'!E62+'[2]61-TT342'!E61</f>
        <v>7103.235772</v>
      </c>
      <c r="E20" s="1207"/>
      <c r="F20" s="1208"/>
    </row>
    <row r="21" spans="1:9" s="226" customFormat="1">
      <c r="A21" s="1210" t="s">
        <v>504</v>
      </c>
      <c r="B21" s="1211" t="s">
        <v>1676</v>
      </c>
      <c r="C21" s="561">
        <v>0</v>
      </c>
      <c r="D21" s="561">
        <f>'[2]61-TT342'!E68</f>
        <v>10611.003499999999</v>
      </c>
      <c r="E21" s="1212"/>
      <c r="F21" s="1213"/>
    </row>
    <row r="22" spans="1:9" s="218" customFormat="1" ht="17.25" customHeight="1">
      <c r="A22" s="1194" t="s">
        <v>3</v>
      </c>
      <c r="B22" s="1195" t="s">
        <v>14</v>
      </c>
      <c r="C22" s="1214">
        <f>C23+C31+C34</f>
        <v>5190937</v>
      </c>
      <c r="D22" s="1214">
        <f>D23+D31+D34</f>
        <v>5891156.5712330006</v>
      </c>
      <c r="E22" s="1215">
        <f t="shared" ref="E22:E27" si="2">D22-C22</f>
        <v>700219.57123300061</v>
      </c>
      <c r="F22" s="1197">
        <f t="shared" ref="F22:F27" si="3">D22/C22</f>
        <v>1.13489271228547</v>
      </c>
      <c r="G22" s="1216"/>
      <c r="I22" s="1217"/>
    </row>
    <row r="23" spans="1:9" s="218" customFormat="1">
      <c r="A23" s="1218" t="s">
        <v>11</v>
      </c>
      <c r="B23" s="1219" t="s">
        <v>157</v>
      </c>
      <c r="C23" s="1220">
        <f>C24+C25+C26+C27+C28+C29+C30</f>
        <v>3478898</v>
      </c>
      <c r="D23" s="1220">
        <f>D24+D25+D26+D27+D28+D29+D30</f>
        <v>3527030.8254370005</v>
      </c>
      <c r="E23" s="1221">
        <f t="shared" si="2"/>
        <v>48132.825437000487</v>
      </c>
      <c r="F23" s="1222">
        <f t="shared" si="3"/>
        <v>1.0138356529674053</v>
      </c>
    </row>
    <row r="24" spans="1:9" s="218" customFormat="1">
      <c r="A24" s="526">
        <v>1</v>
      </c>
      <c r="B24" s="522" t="s">
        <v>73</v>
      </c>
      <c r="C24" s="523">
        <f>[2]B53!C10</f>
        <v>493390</v>
      </c>
      <c r="D24" s="523">
        <f>[2]B53!F10</f>
        <v>475971.23489599995</v>
      </c>
      <c r="E24" s="1202">
        <f t="shared" si="2"/>
        <v>-17418.765104000049</v>
      </c>
      <c r="F24" s="1203">
        <f t="shared" si="3"/>
        <v>0.96469574757494059</v>
      </c>
    </row>
    <row r="25" spans="1:9" s="218" customFormat="1">
      <c r="A25" s="526">
        <v>2</v>
      </c>
      <c r="B25" s="522" t="s">
        <v>15</v>
      </c>
      <c r="C25" s="523">
        <f>[2]B53!C20</f>
        <v>2906780</v>
      </c>
      <c r="D25" s="523">
        <f>[2]B53!F20</f>
        <v>2951832.3929520007</v>
      </c>
      <c r="E25" s="1202">
        <f t="shared" si="2"/>
        <v>45052.392952000722</v>
      </c>
      <c r="F25" s="1203">
        <f t="shared" si="3"/>
        <v>1.0154990721526915</v>
      </c>
    </row>
    <row r="26" spans="1:9" s="218" customFormat="1" ht="17.25" customHeight="1">
      <c r="A26" s="526">
        <v>3</v>
      </c>
      <c r="B26" s="522" t="s">
        <v>16</v>
      </c>
      <c r="C26" s="523">
        <f>[2]B53!C24</f>
        <v>548</v>
      </c>
      <c r="D26" s="523">
        <f>[2]B53!F24</f>
        <v>376.38898399999999</v>
      </c>
      <c r="E26" s="1202">
        <f t="shared" si="2"/>
        <v>-171.61101600000001</v>
      </c>
      <c r="F26" s="1203">
        <f t="shared" si="3"/>
        <v>0.68684121167883205</v>
      </c>
    </row>
    <row r="27" spans="1:9" s="218" customFormat="1">
      <c r="A27" s="526">
        <v>4</v>
      </c>
      <c r="B27" s="522" t="s">
        <v>47</v>
      </c>
      <c r="C27" s="523">
        <f>[2]B53!C25</f>
        <v>1000</v>
      </c>
      <c r="D27" s="523">
        <f>[2]B53!F25</f>
        <v>1000</v>
      </c>
      <c r="E27" s="1202">
        <f t="shared" si="2"/>
        <v>0</v>
      </c>
      <c r="F27" s="1223">
        <f t="shared" si="3"/>
        <v>1</v>
      </c>
    </row>
    <row r="28" spans="1:9" s="218" customFormat="1">
      <c r="A28" s="526">
        <v>5</v>
      </c>
      <c r="B28" s="522" t="s">
        <v>48</v>
      </c>
      <c r="C28" s="523">
        <f>[2]B53!C26</f>
        <v>77180</v>
      </c>
      <c r="D28" s="523">
        <f>[2]B53!F26</f>
        <v>0</v>
      </c>
      <c r="E28" s="1202"/>
      <c r="F28" s="1224"/>
    </row>
    <row r="29" spans="1:9" s="218" customFormat="1">
      <c r="A29" s="526">
        <v>6</v>
      </c>
      <c r="B29" s="522" t="s">
        <v>17</v>
      </c>
      <c r="C29" s="523">
        <f>[2]B53!C27</f>
        <v>0</v>
      </c>
      <c r="D29" s="523">
        <f>[2]B53!F27</f>
        <v>0</v>
      </c>
      <c r="E29" s="1225"/>
      <c r="F29" s="1224"/>
    </row>
    <row r="30" spans="1:9" s="218" customFormat="1">
      <c r="A30" s="526">
        <v>7</v>
      </c>
      <c r="B30" s="1069" t="s">
        <v>229</v>
      </c>
      <c r="C30" s="528">
        <f>[2]B53!C28</f>
        <v>0</v>
      </c>
      <c r="D30" s="523">
        <f>[2]B53!F28</f>
        <v>97850.808604999998</v>
      </c>
      <c r="E30" s="1202"/>
      <c r="F30" s="1224"/>
    </row>
    <row r="31" spans="1:9" s="218" customFormat="1">
      <c r="A31" s="1205" t="s">
        <v>7</v>
      </c>
      <c r="B31" s="1206" t="s">
        <v>49</v>
      </c>
      <c r="C31" s="1226">
        <f>C32+C33</f>
        <v>1712039</v>
      </c>
      <c r="D31" s="1226">
        <f>D32+D33</f>
        <v>1333464.7648489999</v>
      </c>
      <c r="E31" s="1207">
        <f>D31-C31</f>
        <v>-378574.23515100009</v>
      </c>
      <c r="F31" s="1208">
        <f>D31/C31</f>
        <v>0.77887522705323886</v>
      </c>
    </row>
    <row r="32" spans="1:9" s="218" customFormat="1">
      <c r="A32" s="526">
        <v>1</v>
      </c>
      <c r="B32" s="522" t="s">
        <v>50</v>
      </c>
      <c r="C32" s="523">
        <f>[2]B53!C30</f>
        <v>338109</v>
      </c>
      <c r="D32" s="523">
        <f>[2]B53!F30</f>
        <v>395396.299039</v>
      </c>
      <c r="E32" s="1202">
        <f>D32-C32</f>
        <v>57287.299039000005</v>
      </c>
      <c r="F32" s="1203">
        <f>D32/C32</f>
        <v>1.1694344103203405</v>
      </c>
    </row>
    <row r="33" spans="1:23" s="218" customFormat="1" ht="16.5" customHeight="1">
      <c r="A33" s="526">
        <v>2</v>
      </c>
      <c r="B33" s="522" t="s">
        <v>51</v>
      </c>
      <c r="C33" s="523">
        <f>[2]B53!C37</f>
        <v>1373930</v>
      </c>
      <c r="D33" s="523">
        <f>[2]B53!F37</f>
        <v>938068.46580999997</v>
      </c>
      <c r="E33" s="1202">
        <f>D33-C33</f>
        <v>-435861.53419000003</v>
      </c>
      <c r="F33" s="1203">
        <f>D33/C33</f>
        <v>0.68276292519269544</v>
      </c>
    </row>
    <row r="34" spans="1:23" s="218" customFormat="1" ht="16.5" customHeight="1">
      <c r="A34" s="1210" t="s">
        <v>8</v>
      </c>
      <c r="B34" s="1211" t="s">
        <v>52</v>
      </c>
      <c r="C34" s="1227">
        <f>[2]B53!C104</f>
        <v>0</v>
      </c>
      <c r="D34" s="1227">
        <f>[2]B53!F104</f>
        <v>1030660.9809470002</v>
      </c>
      <c r="E34" s="1212"/>
      <c r="F34" s="1213"/>
    </row>
    <row r="35" spans="1:23" s="218" customFormat="1" ht="16.5" customHeight="1">
      <c r="A35" s="1194" t="s">
        <v>10</v>
      </c>
      <c r="B35" s="1195" t="s">
        <v>2121</v>
      </c>
      <c r="C35" s="1214">
        <v>0</v>
      </c>
      <c r="D35" s="1214">
        <f>D9-D22-D36</f>
        <v>267051.371679998</v>
      </c>
      <c r="E35" s="1215"/>
      <c r="F35" s="1197"/>
    </row>
    <row r="36" spans="1:23" s="218" customFormat="1" ht="17.25" customHeight="1">
      <c r="A36" s="1194" t="s">
        <v>13</v>
      </c>
      <c r="B36" s="1195" t="s">
        <v>158</v>
      </c>
      <c r="C36" s="1214">
        <f>C37+C38</f>
        <v>36700</v>
      </c>
      <c r="D36" s="1214">
        <f>D37+D38</f>
        <v>36700</v>
      </c>
      <c r="E36" s="1215">
        <f>D36-C36</f>
        <v>0</v>
      </c>
      <c r="F36" s="1197">
        <f>D36/C36</f>
        <v>1</v>
      </c>
    </row>
    <row r="37" spans="1:23" s="218" customFormat="1" ht="18.75" customHeight="1">
      <c r="A37" s="1198" t="s">
        <v>11</v>
      </c>
      <c r="B37" s="1199" t="s">
        <v>20</v>
      </c>
      <c r="C37" s="1228">
        <v>36700</v>
      </c>
      <c r="D37" s="1228">
        <f>'[2]60 - TT342'!H21</f>
        <v>10611.003499999999</v>
      </c>
      <c r="E37" s="1200">
        <f>D37-C37</f>
        <v>-26088.996500000001</v>
      </c>
      <c r="F37" s="1201">
        <f>D37/C37</f>
        <v>0.28912816076294273</v>
      </c>
      <c r="G37" s="1229"/>
    </row>
    <row r="38" spans="1:23" s="218" customFormat="1" ht="30.75" customHeight="1">
      <c r="A38" s="1210" t="s">
        <v>7</v>
      </c>
      <c r="B38" s="1230" t="s">
        <v>53</v>
      </c>
      <c r="C38" s="1227">
        <v>0</v>
      </c>
      <c r="D38" s="1227">
        <f>'[2]60 - TT342'!H22</f>
        <v>26088.996500000001</v>
      </c>
      <c r="E38" s="1212"/>
      <c r="F38" s="1213"/>
    </row>
    <row r="39" spans="1:23" s="220" customFormat="1" ht="17.25" customHeight="1">
      <c r="A39" s="1194" t="s">
        <v>18</v>
      </c>
      <c r="B39" s="1195" t="s">
        <v>74</v>
      </c>
      <c r="C39" s="1214">
        <f>C40+C41</f>
        <v>53800</v>
      </c>
      <c r="D39" s="1214">
        <f>D40+D41</f>
        <v>10611.003499999999</v>
      </c>
      <c r="E39" s="1215">
        <f>D39-C39</f>
        <v>-43188.996500000001</v>
      </c>
      <c r="F39" s="1197">
        <f>D39/C39</f>
        <v>0.19723054832713752</v>
      </c>
      <c r="G39" s="227"/>
      <c r="H39" s="227"/>
      <c r="I39" s="227"/>
      <c r="J39" s="227"/>
      <c r="K39" s="227"/>
      <c r="L39" s="227"/>
      <c r="M39" s="227"/>
      <c r="N39" s="227"/>
      <c r="O39" s="227"/>
      <c r="P39" s="227"/>
      <c r="Q39" s="227"/>
      <c r="R39" s="227"/>
      <c r="S39" s="227"/>
      <c r="T39" s="227"/>
      <c r="U39" s="227"/>
      <c r="V39" s="227"/>
      <c r="W39" s="227"/>
    </row>
    <row r="40" spans="1:23" s="220" customFormat="1">
      <c r="A40" s="1198" t="s">
        <v>11</v>
      </c>
      <c r="B40" s="1199" t="s">
        <v>21</v>
      </c>
      <c r="C40" s="1228">
        <v>17100</v>
      </c>
      <c r="D40" s="1228">
        <v>0</v>
      </c>
      <c r="E40" s="1200">
        <f>D40-C40</f>
        <v>-17100</v>
      </c>
      <c r="F40" s="1201">
        <f>D40/C40</f>
        <v>0</v>
      </c>
      <c r="G40" s="227"/>
      <c r="H40" s="227"/>
      <c r="I40" s="227"/>
      <c r="J40" s="227"/>
      <c r="K40" s="227"/>
      <c r="L40" s="227"/>
      <c r="M40" s="227"/>
      <c r="N40" s="227"/>
      <c r="O40" s="227"/>
      <c r="P40" s="227"/>
      <c r="Q40" s="227"/>
      <c r="R40" s="227"/>
      <c r="S40" s="227"/>
      <c r="T40" s="227"/>
      <c r="U40" s="227"/>
      <c r="V40" s="227"/>
      <c r="W40" s="227"/>
    </row>
    <row r="41" spans="1:23" s="219" customFormat="1" ht="18" customHeight="1">
      <c r="A41" s="1210" t="s">
        <v>7</v>
      </c>
      <c r="B41" s="1211" t="s">
        <v>22</v>
      </c>
      <c r="C41" s="1227">
        <v>36700</v>
      </c>
      <c r="D41" s="1228">
        <v>10611.003499999999</v>
      </c>
      <c r="E41" s="1212">
        <f>D41-C41</f>
        <v>-26088.996500000001</v>
      </c>
      <c r="F41" s="1231">
        <f>D41/C41</f>
        <v>0.28912816076294273</v>
      </c>
      <c r="G41" s="226"/>
      <c r="H41" s="226"/>
      <c r="I41" s="226"/>
      <c r="J41" s="226"/>
      <c r="K41" s="226"/>
      <c r="L41" s="226"/>
      <c r="M41" s="226"/>
      <c r="N41" s="226"/>
      <c r="O41" s="226"/>
      <c r="P41" s="226"/>
      <c r="Q41" s="226"/>
      <c r="R41" s="226"/>
      <c r="S41" s="226"/>
      <c r="T41" s="226"/>
      <c r="U41" s="226"/>
      <c r="V41" s="226"/>
      <c r="W41" s="226"/>
    </row>
    <row r="42" spans="1:23" s="218" customFormat="1" ht="17.25" customHeight="1">
      <c r="A42" s="1194" t="s">
        <v>19</v>
      </c>
      <c r="B42" s="1195" t="s">
        <v>159</v>
      </c>
      <c r="C42" s="1232">
        <v>0</v>
      </c>
      <c r="D42" s="1214">
        <v>61616</v>
      </c>
      <c r="E42" s="1215"/>
      <c r="F42" s="1197"/>
    </row>
  </sheetData>
  <mergeCells count="16">
    <mergeCell ref="G19:H19"/>
    <mergeCell ref="A3:F3"/>
    <mergeCell ref="A1:B1"/>
    <mergeCell ref="A2:F2"/>
    <mergeCell ref="A4:F4"/>
    <mergeCell ref="E5:F5"/>
    <mergeCell ref="A6:A7"/>
    <mergeCell ref="B6:B7"/>
    <mergeCell ref="C6:C7"/>
    <mergeCell ref="D6:D7"/>
    <mergeCell ref="E6:F6"/>
    <mergeCell ref="D1:F1"/>
    <mergeCell ref="G15:H15"/>
    <mergeCell ref="G16:H16"/>
    <mergeCell ref="G17:H17"/>
    <mergeCell ref="G18:H18"/>
  </mergeCells>
  <pageMargins left="0.37" right="0.17" top="0.52" bottom="0.41" header="0.3" footer="0.21"/>
  <pageSetup paperSize="9" orientation="portrait" useFirstPageNumber="1" r:id="rId1"/>
  <headerFooter>
    <oddFooter>&amp;R&amp;P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J52"/>
  <sheetViews>
    <sheetView zoomScale="110" zoomScaleNormal="110" workbookViewId="0">
      <selection activeCell="A3" sqref="A3:E3"/>
    </sheetView>
  </sheetViews>
  <sheetFormatPr defaultRowHeight="15"/>
  <cols>
    <col min="1" max="1" width="6.42578125" style="216" customWidth="1"/>
    <col min="2" max="2" width="44.85546875" style="216" customWidth="1"/>
    <col min="3" max="3" width="15.42578125" style="216" customWidth="1"/>
    <col min="4" max="4" width="15" style="216" customWidth="1"/>
    <col min="5" max="5" width="11.7109375" style="216" customWidth="1"/>
    <col min="6" max="6" width="11.28515625" style="216" customWidth="1"/>
    <col min="7" max="7" width="11.140625" style="216" customWidth="1"/>
    <col min="8" max="8" width="11.28515625" style="216" customWidth="1"/>
    <col min="9" max="9" width="9.140625" style="216"/>
    <col min="10" max="10" width="11.28515625" style="216" customWidth="1"/>
    <col min="11" max="16384" width="9.140625" style="216"/>
  </cols>
  <sheetData>
    <row r="1" spans="1:10" ht="23.25" customHeight="1">
      <c r="A1" s="1683" t="s">
        <v>221</v>
      </c>
      <c r="B1" s="1683"/>
      <c r="C1" s="313"/>
      <c r="D1" s="1684" t="s">
        <v>1411</v>
      </c>
      <c r="E1" s="1684"/>
      <c r="F1" s="524"/>
      <c r="G1" s="524"/>
      <c r="H1" s="524"/>
      <c r="I1" s="524"/>
      <c r="J1" s="524"/>
    </row>
    <row r="2" spans="1:10" ht="40.5" customHeight="1">
      <c r="A2" s="1674" t="s">
        <v>1414</v>
      </c>
      <c r="B2" s="1674"/>
      <c r="C2" s="1674"/>
      <c r="D2" s="1674"/>
      <c r="E2" s="1674"/>
      <c r="F2" s="524"/>
      <c r="G2" s="524"/>
      <c r="H2" s="524"/>
      <c r="I2" s="524"/>
      <c r="J2" s="524"/>
    </row>
    <row r="3" spans="1:10" ht="15.75">
      <c r="A3" s="1674" t="s">
        <v>100</v>
      </c>
      <c r="B3" s="1674"/>
      <c r="C3" s="1674"/>
      <c r="D3" s="1674"/>
      <c r="E3" s="1674"/>
      <c r="F3" s="524"/>
      <c r="G3" s="524"/>
      <c r="H3" s="524"/>
      <c r="I3" s="524"/>
      <c r="J3" s="524"/>
    </row>
    <row r="4" spans="1:10" ht="15.75">
      <c r="A4" s="1676" t="e">
        <f>#REF!</f>
        <v>#REF!</v>
      </c>
      <c r="B4" s="1676"/>
      <c r="C4" s="1676"/>
      <c r="D4" s="1676"/>
      <c r="E4" s="1676"/>
      <c r="F4" s="524"/>
      <c r="G4" s="524"/>
      <c r="H4" s="524"/>
      <c r="I4" s="524"/>
      <c r="J4" s="524"/>
    </row>
    <row r="5" spans="1:10" ht="15.75">
      <c r="A5" s="524"/>
      <c r="B5" s="524"/>
      <c r="C5" s="524"/>
      <c r="D5" s="524"/>
      <c r="E5" s="525" t="s">
        <v>5</v>
      </c>
      <c r="F5" s="524"/>
      <c r="G5" s="524"/>
      <c r="H5" s="524"/>
      <c r="I5" s="524"/>
      <c r="J5" s="524"/>
    </row>
    <row r="6" spans="1:10" ht="31.5">
      <c r="A6" s="531" t="s">
        <v>0</v>
      </c>
      <c r="B6" s="531" t="s">
        <v>1</v>
      </c>
      <c r="C6" s="531" t="s">
        <v>136</v>
      </c>
      <c r="D6" s="531" t="s">
        <v>155</v>
      </c>
      <c r="E6" s="531" t="s">
        <v>75</v>
      </c>
      <c r="F6" s="524"/>
      <c r="G6" s="524"/>
      <c r="H6" s="524"/>
      <c r="I6" s="524"/>
      <c r="J6" s="524"/>
    </row>
    <row r="7" spans="1:10" ht="15.75">
      <c r="A7" s="531" t="s">
        <v>2</v>
      </c>
      <c r="B7" s="531" t="s">
        <v>3</v>
      </c>
      <c r="C7" s="531">
        <v>1</v>
      </c>
      <c r="D7" s="531">
        <v>2</v>
      </c>
      <c r="E7" s="531">
        <v>3</v>
      </c>
      <c r="F7" s="524"/>
      <c r="G7" s="524"/>
      <c r="H7" s="524"/>
      <c r="I7" s="524"/>
      <c r="J7" s="524"/>
    </row>
    <row r="8" spans="1:10" ht="18.75" customHeight="1">
      <c r="A8" s="532" t="s">
        <v>2</v>
      </c>
      <c r="B8" s="533" t="s">
        <v>1410</v>
      </c>
      <c r="C8" s="534"/>
      <c r="D8" s="534"/>
      <c r="E8" s="535"/>
      <c r="F8" s="524"/>
      <c r="G8" s="524"/>
      <c r="H8" s="524"/>
      <c r="I8" s="524"/>
      <c r="J8" s="524"/>
    </row>
    <row r="9" spans="1:10" s="217" customFormat="1" ht="18.75" customHeight="1">
      <c r="A9" s="536" t="s">
        <v>11</v>
      </c>
      <c r="B9" s="537" t="s">
        <v>59</v>
      </c>
      <c r="C9" s="538">
        <f>C10+C11+C14+C15+C16+C17</f>
        <v>3606843</v>
      </c>
      <c r="D9" s="538">
        <f>D10+D11+D14+D15+D16+D17+D18+D19</f>
        <v>4545900</v>
      </c>
      <c r="E9" s="539">
        <f>D9/C9</f>
        <v>1.260354276579269</v>
      </c>
      <c r="F9" s="540">
        <f>C9+C30-C32</f>
        <v>3905230</v>
      </c>
      <c r="G9" s="540">
        <f>G10+G11+G15+G16+G17+G18</f>
        <v>5153222</v>
      </c>
      <c r="H9" s="540">
        <f>D9+D30-D32</f>
        <v>5156916</v>
      </c>
      <c r="I9" s="540">
        <f>G9-'[3]48-NĐ31'!D8</f>
        <v>31680</v>
      </c>
      <c r="J9" s="540">
        <f>D9+D30-D32</f>
        <v>5156916</v>
      </c>
    </row>
    <row r="10" spans="1:10" s="217" customFormat="1" ht="18" customHeight="1">
      <c r="A10" s="541">
        <v>1</v>
      </c>
      <c r="B10" s="530" t="s">
        <v>60</v>
      </c>
      <c r="C10" s="299">
        <f>535330-C31</f>
        <v>236943</v>
      </c>
      <c r="D10" s="299">
        <f>'61-TT342'!H12</f>
        <v>209228</v>
      </c>
      <c r="E10" s="542">
        <f t="shared" ref="E10:E16" si="0">D10/C10</f>
        <v>0.88303093993070059</v>
      </c>
      <c r="F10" s="524"/>
      <c r="G10" s="540">
        <f>D10+D31</f>
        <v>513174</v>
      </c>
      <c r="H10" s="524"/>
      <c r="I10" s="524"/>
      <c r="J10" s="524"/>
    </row>
    <row r="11" spans="1:10" s="217" customFormat="1" ht="18.75" customHeight="1">
      <c r="A11" s="541">
        <v>2</v>
      </c>
      <c r="B11" s="530" t="s">
        <v>61</v>
      </c>
      <c r="C11" s="299">
        <f>C12+C13</f>
        <v>3364380</v>
      </c>
      <c r="D11" s="299">
        <f>D12+D13</f>
        <v>4020618</v>
      </c>
      <c r="E11" s="542">
        <f t="shared" si="0"/>
        <v>1.1950546608884847</v>
      </c>
      <c r="F11" s="524"/>
      <c r="G11" s="540">
        <f>D11</f>
        <v>4020618</v>
      </c>
      <c r="H11" s="524"/>
      <c r="I11" s="524"/>
      <c r="J11" s="524"/>
    </row>
    <row r="12" spans="1:10" s="217" customFormat="1" ht="19.5" customHeight="1">
      <c r="A12" s="541" t="s">
        <v>4</v>
      </c>
      <c r="B12" s="530" t="s">
        <v>160</v>
      </c>
      <c r="C12" s="299">
        <f>'61-TT342'!D64</f>
        <v>2802252</v>
      </c>
      <c r="D12" s="299">
        <f>'61-TT342'!H64</f>
        <v>2802252</v>
      </c>
      <c r="E12" s="542">
        <f t="shared" si="0"/>
        <v>1</v>
      </c>
      <c r="F12" s="524"/>
      <c r="G12" s="540">
        <f>D12</f>
        <v>2802252</v>
      </c>
      <c r="H12" s="524"/>
      <c r="I12" s="524"/>
      <c r="J12" s="524"/>
    </row>
    <row r="13" spans="1:10" s="217" customFormat="1" ht="20.25" customHeight="1">
      <c r="A13" s="541" t="s">
        <v>4</v>
      </c>
      <c r="B13" s="530" t="s">
        <v>161</v>
      </c>
      <c r="C13" s="299">
        <f>'61-TT342'!D65</f>
        <v>562128</v>
      </c>
      <c r="D13" s="299">
        <f>'61-TT342'!H65</f>
        <v>1218366</v>
      </c>
      <c r="E13" s="542">
        <f t="shared" si="0"/>
        <v>2.1674173853641876</v>
      </c>
      <c r="F13" s="524"/>
      <c r="G13" s="540">
        <f>D13</f>
        <v>1218366</v>
      </c>
      <c r="H13" s="524"/>
      <c r="I13" s="524"/>
      <c r="J13" s="524"/>
    </row>
    <row r="14" spans="1:10" s="217" customFormat="1" ht="19.5" customHeight="1">
      <c r="A14" s="541">
        <v>3</v>
      </c>
      <c r="B14" s="530" t="s">
        <v>45</v>
      </c>
      <c r="C14" s="299">
        <v>0</v>
      </c>
      <c r="D14" s="299">
        <v>0</v>
      </c>
      <c r="E14" s="542"/>
      <c r="F14" s="524"/>
      <c r="G14" s="524"/>
      <c r="H14" s="524"/>
      <c r="I14" s="524"/>
      <c r="J14" s="524"/>
    </row>
    <row r="15" spans="1:10" s="217" customFormat="1" ht="17.25" customHeight="1">
      <c r="A15" s="541">
        <v>4</v>
      </c>
      <c r="B15" s="530" t="s">
        <v>62</v>
      </c>
      <c r="C15" s="299">
        <v>0</v>
      </c>
      <c r="D15" s="299">
        <f>'61-TT342'!H70</f>
        <v>8662</v>
      </c>
      <c r="E15" s="542"/>
      <c r="F15" s="524"/>
      <c r="G15" s="540">
        <f>D15+D35</f>
        <v>67353</v>
      </c>
      <c r="H15" s="524"/>
      <c r="I15" s="524"/>
      <c r="J15" s="524"/>
    </row>
    <row r="16" spans="1:10" s="217" customFormat="1" ht="18" customHeight="1">
      <c r="A16" s="541">
        <v>5</v>
      </c>
      <c r="B16" s="530" t="s">
        <v>46</v>
      </c>
      <c r="C16" s="299">
        <f>'61-TT342'!D69</f>
        <v>5520</v>
      </c>
      <c r="D16" s="299">
        <f>'61-TT342'!H69</f>
        <v>274452</v>
      </c>
      <c r="E16" s="542">
        <f t="shared" si="0"/>
        <v>49.719565217391306</v>
      </c>
      <c r="F16" s="524"/>
      <c r="G16" s="540">
        <f>D16+D36</f>
        <v>487568</v>
      </c>
      <c r="H16" s="524"/>
      <c r="I16" s="524"/>
      <c r="J16" s="524"/>
    </row>
    <row r="17" spans="1:10" s="217" customFormat="1" ht="18.75" customHeight="1">
      <c r="A17" s="541">
        <v>6</v>
      </c>
      <c r="B17" s="530" t="s">
        <v>1395</v>
      </c>
      <c r="C17" s="299">
        <v>0</v>
      </c>
      <c r="D17" s="299">
        <f>'61-TT342'!H68</f>
        <v>19058</v>
      </c>
      <c r="E17" s="542"/>
      <c r="F17" s="524"/>
      <c r="G17" s="540">
        <f>D17+D37</f>
        <v>28108</v>
      </c>
      <c r="H17" s="524"/>
      <c r="I17" s="524"/>
      <c r="J17" s="524"/>
    </row>
    <row r="18" spans="1:10" s="227" customFormat="1" ht="18.75" customHeight="1">
      <c r="A18" s="526">
        <v>7</v>
      </c>
      <c r="B18" s="522" t="s">
        <v>1409</v>
      </c>
      <c r="C18" s="527">
        <v>0</v>
      </c>
      <c r="D18" s="527">
        <f>'61-TT342'!H54+'61-TT342'!H55</f>
        <v>10188</v>
      </c>
      <c r="E18" s="542"/>
      <c r="F18" s="524"/>
      <c r="G18" s="540">
        <f>D18+D38</f>
        <v>36401</v>
      </c>
      <c r="H18" s="524"/>
      <c r="I18" s="524"/>
      <c r="J18" s="524"/>
    </row>
    <row r="19" spans="1:10" s="227" customFormat="1" ht="20.25" customHeight="1">
      <c r="A19" s="526">
        <v>8</v>
      </c>
      <c r="B19" s="522" t="s">
        <v>1676</v>
      </c>
      <c r="C19" s="527">
        <v>0</v>
      </c>
      <c r="D19" s="527">
        <f>'61-TT342'!H59</f>
        <v>3694</v>
      </c>
      <c r="E19" s="542"/>
      <c r="F19" s="524"/>
      <c r="G19" s="540"/>
      <c r="H19" s="524"/>
      <c r="I19" s="524"/>
      <c r="J19" s="524"/>
    </row>
    <row r="20" spans="1:10" ht="21.75" customHeight="1">
      <c r="A20" s="536" t="s">
        <v>7</v>
      </c>
      <c r="B20" s="537" t="s">
        <v>63</v>
      </c>
      <c r="C20" s="538" t="e">
        <f>C21+C22+C25+C26</f>
        <v>#REF!</v>
      </c>
      <c r="D20" s="538" t="e">
        <f>D21+D22+D25+D26</f>
        <v>#REF!</v>
      </c>
      <c r="E20" s="539" t="e">
        <f t="shared" ref="E20:E27" si="1">D20/C20</f>
        <v>#REF!</v>
      </c>
      <c r="F20" s="1062" t="e">
        <f>C9-C20-147820</f>
        <v>#REF!</v>
      </c>
      <c r="G20" s="524"/>
      <c r="H20" s="524"/>
      <c r="I20" s="524"/>
      <c r="J20" s="524"/>
    </row>
    <row r="21" spans="1:10" ht="20.25" customHeight="1">
      <c r="A21" s="541">
        <v>1</v>
      </c>
      <c r="B21" s="530" t="s">
        <v>1412</v>
      </c>
      <c r="C21" s="299" t="e">
        <f>#REF!</f>
        <v>#REF!</v>
      </c>
      <c r="D21" s="299" t="e">
        <f>#REF!-7650</f>
        <v>#REF!</v>
      </c>
      <c r="E21" s="542" t="e">
        <f t="shared" si="1"/>
        <v>#REF!</v>
      </c>
      <c r="F21" s="524"/>
      <c r="G21" s="524"/>
      <c r="H21" s="524"/>
      <c r="I21" s="524"/>
      <c r="J21" s="524"/>
    </row>
    <row r="22" spans="1:10" ht="21" customHeight="1">
      <c r="A22" s="541">
        <v>2</v>
      </c>
      <c r="B22" s="530" t="s">
        <v>66</v>
      </c>
      <c r="C22" s="299">
        <f>C23+C24</f>
        <v>1887428</v>
      </c>
      <c r="D22" s="299">
        <f>D23+D24</f>
        <v>2044591</v>
      </c>
      <c r="E22" s="542">
        <f t="shared" si="1"/>
        <v>1.0832683418917173</v>
      </c>
      <c r="F22" s="524"/>
      <c r="G22" s="524"/>
      <c r="H22" s="524"/>
      <c r="I22" s="524"/>
      <c r="J22" s="524"/>
    </row>
    <row r="23" spans="1:10" ht="18.75" customHeight="1">
      <c r="A23" s="543" t="s">
        <v>4</v>
      </c>
      <c r="B23" s="544" t="s">
        <v>64</v>
      </c>
      <c r="C23" s="529">
        <v>1596616</v>
      </c>
      <c r="D23" s="529">
        <v>1596487</v>
      </c>
      <c r="E23" s="542">
        <f t="shared" si="1"/>
        <v>0.99991920411670687</v>
      </c>
      <c r="F23" s="524"/>
      <c r="G23" s="524"/>
      <c r="H23" s="524"/>
      <c r="I23" s="524"/>
      <c r="J23" s="524"/>
    </row>
    <row r="24" spans="1:10" ht="18.75" customHeight="1">
      <c r="A24" s="543" t="s">
        <v>4</v>
      </c>
      <c r="B24" s="544" t="s">
        <v>65</v>
      </c>
      <c r="C24" s="529">
        <v>290812</v>
      </c>
      <c r="D24" s="529">
        <v>448104</v>
      </c>
      <c r="E24" s="542">
        <f t="shared" si="1"/>
        <v>1.5408717659518865</v>
      </c>
      <c r="F24" s="524"/>
      <c r="G24" s="524"/>
      <c r="H24" s="524"/>
      <c r="I24" s="524"/>
      <c r="J24" s="524"/>
    </row>
    <row r="25" spans="1:10" ht="18.75" customHeight="1">
      <c r="A25" s="541">
        <v>3</v>
      </c>
      <c r="B25" s="530" t="s">
        <v>229</v>
      </c>
      <c r="C25" s="299">
        <v>0</v>
      </c>
      <c r="D25" s="299" t="e">
        <f>#REF!</f>
        <v>#REF!</v>
      </c>
      <c r="E25" s="539"/>
      <c r="F25" s="524"/>
      <c r="G25" s="524"/>
      <c r="H25" s="524"/>
      <c r="I25" s="524"/>
      <c r="J25" s="524"/>
    </row>
    <row r="26" spans="1:10" ht="20.25" customHeight="1">
      <c r="A26" s="541">
        <v>4</v>
      </c>
      <c r="B26" s="530" t="s">
        <v>52</v>
      </c>
      <c r="C26" s="299">
        <v>0</v>
      </c>
      <c r="D26" s="299" t="e">
        <f>#REF!</f>
        <v>#REF!</v>
      </c>
      <c r="E26" s="539"/>
      <c r="F26" s="524"/>
      <c r="G26" s="524"/>
      <c r="H26" s="524"/>
      <c r="I26" s="524"/>
      <c r="J26" s="524"/>
    </row>
    <row r="27" spans="1:10" ht="35.25" customHeight="1">
      <c r="A27" s="536" t="s">
        <v>8</v>
      </c>
      <c r="B27" s="537" t="s">
        <v>1413</v>
      </c>
      <c r="C27" s="538">
        <v>157700</v>
      </c>
      <c r="D27" s="538">
        <f>C27</f>
        <v>157700</v>
      </c>
      <c r="E27" s="545">
        <f t="shared" si="1"/>
        <v>1</v>
      </c>
      <c r="F27" s="524"/>
      <c r="G27" s="524"/>
      <c r="H27" s="524"/>
      <c r="I27" s="524"/>
      <c r="J27" s="524"/>
    </row>
    <row r="28" spans="1:10" ht="23.25" customHeight="1">
      <c r="A28" s="536" t="s">
        <v>9</v>
      </c>
      <c r="B28" s="537" t="s">
        <v>1675</v>
      </c>
      <c r="C28" s="538">
        <v>0</v>
      </c>
      <c r="D28" s="538" t="e">
        <f>D9-D20-D27</f>
        <v>#REF!</v>
      </c>
      <c r="E28" s="539"/>
      <c r="F28" s="524"/>
      <c r="G28" s="524"/>
      <c r="H28" s="524"/>
      <c r="I28" s="524"/>
      <c r="J28" s="524"/>
    </row>
    <row r="29" spans="1:10" ht="18.75" customHeight="1">
      <c r="A29" s="536" t="s">
        <v>3</v>
      </c>
      <c r="B29" s="537" t="s">
        <v>230</v>
      </c>
      <c r="C29" s="299"/>
      <c r="D29" s="299"/>
      <c r="E29" s="542"/>
      <c r="F29" s="524"/>
      <c r="G29" s="524"/>
      <c r="H29" s="524"/>
      <c r="I29" s="524"/>
      <c r="J29" s="524"/>
    </row>
    <row r="30" spans="1:10" s="217" customFormat="1" ht="22.5" customHeight="1">
      <c r="A30" s="536" t="s">
        <v>11</v>
      </c>
      <c r="B30" s="537" t="s">
        <v>59</v>
      </c>
      <c r="C30" s="538">
        <f>C31+C32+C35+C36</f>
        <v>2185815</v>
      </c>
      <c r="D30" s="538">
        <f>D31+D32+D35+D36+D37+D38</f>
        <v>2655607</v>
      </c>
      <c r="E30" s="539">
        <f>D30/C30</f>
        <v>1.2149276128126123</v>
      </c>
      <c r="F30" s="524"/>
      <c r="G30" s="524"/>
      <c r="H30" s="524"/>
      <c r="I30" s="524"/>
      <c r="J30" s="524"/>
    </row>
    <row r="31" spans="1:10" s="217" customFormat="1" ht="22.5" customHeight="1">
      <c r="A31" s="541">
        <v>1</v>
      </c>
      <c r="B31" s="530" t="s">
        <v>60</v>
      </c>
      <c r="C31" s="299">
        <v>298387</v>
      </c>
      <c r="D31" s="299">
        <f>'61-TT342'!I12+'61-TT342'!J12</f>
        <v>303946</v>
      </c>
      <c r="E31" s="542">
        <f t="shared" ref="E31:E34" si="2">D31/C31</f>
        <v>1.0186301682043788</v>
      </c>
      <c r="F31" s="524"/>
      <c r="G31" s="524"/>
      <c r="H31" s="524"/>
      <c r="I31" s="524"/>
      <c r="J31" s="524"/>
    </row>
    <row r="32" spans="1:10" s="217" customFormat="1" ht="21.75" customHeight="1">
      <c r="A32" s="541">
        <v>2</v>
      </c>
      <c r="B32" s="530" t="s">
        <v>61</v>
      </c>
      <c r="C32" s="299">
        <f>C33+C34</f>
        <v>1887428</v>
      </c>
      <c r="D32" s="299">
        <f>D33+D34</f>
        <v>2044591</v>
      </c>
      <c r="E32" s="542">
        <f t="shared" si="2"/>
        <v>1.0832683418917173</v>
      </c>
      <c r="F32" s="524"/>
      <c r="G32" s="524"/>
      <c r="H32" s="524"/>
      <c r="I32" s="524"/>
      <c r="J32" s="524"/>
    </row>
    <row r="33" spans="1:10" s="217" customFormat="1" ht="21" customHeight="1">
      <c r="A33" s="541" t="s">
        <v>4</v>
      </c>
      <c r="B33" s="530" t="s">
        <v>44</v>
      </c>
      <c r="C33" s="529">
        <v>1596616</v>
      </c>
      <c r="D33" s="529">
        <f>'61-TT342'!I64</f>
        <v>1596487</v>
      </c>
      <c r="E33" s="546">
        <f t="shared" si="2"/>
        <v>0.99991920411670687</v>
      </c>
      <c r="F33" s="524"/>
      <c r="G33" s="524"/>
      <c r="H33" s="524"/>
      <c r="I33" s="524"/>
      <c r="J33" s="524"/>
    </row>
    <row r="34" spans="1:10" s="217" customFormat="1" ht="19.5" customHeight="1">
      <c r="A34" s="541" t="s">
        <v>4</v>
      </c>
      <c r="B34" s="530" t="s">
        <v>12</v>
      </c>
      <c r="C34" s="529">
        <f>5728+285084</f>
        <v>290812</v>
      </c>
      <c r="D34" s="529">
        <f>'61-TT342'!I65</f>
        <v>448104</v>
      </c>
      <c r="E34" s="546">
        <f t="shared" si="2"/>
        <v>1.5408717659518865</v>
      </c>
      <c r="F34" s="524"/>
      <c r="G34" s="524"/>
      <c r="H34" s="524"/>
      <c r="I34" s="524"/>
      <c r="J34" s="524"/>
    </row>
    <row r="35" spans="1:10" s="217" customFormat="1" ht="21.75" customHeight="1">
      <c r="A35" s="541">
        <v>3</v>
      </c>
      <c r="B35" s="530" t="s">
        <v>62</v>
      </c>
      <c r="C35" s="299"/>
      <c r="D35" s="299">
        <f>'61-TT342'!I70+'61-TT342'!J70</f>
        <v>58691</v>
      </c>
      <c r="E35" s="542"/>
      <c r="F35" s="524"/>
      <c r="G35" s="524"/>
      <c r="H35" s="524"/>
      <c r="I35" s="524"/>
      <c r="J35" s="524"/>
    </row>
    <row r="36" spans="1:10" s="217" customFormat="1" ht="22.5" customHeight="1">
      <c r="A36" s="541">
        <v>4</v>
      </c>
      <c r="B36" s="530" t="s">
        <v>46</v>
      </c>
      <c r="C36" s="299"/>
      <c r="D36" s="299">
        <f>'61-TT342'!I69+'61-TT342'!J69</f>
        <v>213116</v>
      </c>
      <c r="E36" s="542"/>
      <c r="F36" s="524"/>
      <c r="G36" s="524"/>
      <c r="H36" s="524"/>
      <c r="I36" s="524"/>
      <c r="J36" s="524"/>
    </row>
    <row r="37" spans="1:10" s="217" customFormat="1" ht="19.5" customHeight="1">
      <c r="A37" s="541">
        <v>5</v>
      </c>
      <c r="B37" s="530" t="s">
        <v>1395</v>
      </c>
      <c r="C37" s="299"/>
      <c r="D37" s="299">
        <f>'61-TT342'!I68</f>
        <v>9050</v>
      </c>
      <c r="E37" s="542"/>
      <c r="F37" s="524"/>
      <c r="G37" s="524"/>
      <c r="H37" s="524"/>
      <c r="I37" s="524"/>
      <c r="J37" s="524"/>
    </row>
    <row r="38" spans="1:10" s="227" customFormat="1" ht="21.75" customHeight="1">
      <c r="A38" s="526">
        <v>6</v>
      </c>
      <c r="B38" s="522" t="s">
        <v>1409</v>
      </c>
      <c r="C38" s="527"/>
      <c r="D38" s="299">
        <f>'61-TT342'!I54+'61-TT342'!I55</f>
        <v>26213</v>
      </c>
      <c r="E38" s="542"/>
      <c r="F38" s="524"/>
      <c r="G38" s="524"/>
      <c r="H38" s="524"/>
      <c r="I38" s="524"/>
      <c r="J38" s="524"/>
    </row>
    <row r="39" spans="1:10" ht="21.75" customHeight="1">
      <c r="A39" s="536" t="s">
        <v>7</v>
      </c>
      <c r="B39" s="537" t="s">
        <v>63</v>
      </c>
      <c r="C39" s="538">
        <f>C40+C44+C45</f>
        <v>2185815</v>
      </c>
      <c r="D39" s="538">
        <f>D40+D44+D45</f>
        <v>2500653.7970000003</v>
      </c>
      <c r="E39" s="539">
        <f t="shared" ref="E39:E43" si="3">D39/C39</f>
        <v>1.1440372570414241</v>
      </c>
      <c r="F39" s="524"/>
      <c r="G39" s="524"/>
      <c r="H39" s="524"/>
      <c r="I39" s="524"/>
      <c r="J39" s="524"/>
    </row>
    <row r="40" spans="1:10" ht="19.5" customHeight="1">
      <c r="A40" s="541">
        <v>1</v>
      </c>
      <c r="B40" s="530" t="s">
        <v>1415</v>
      </c>
      <c r="C40" s="299">
        <f>'B58'!C11</f>
        <v>2185815</v>
      </c>
      <c r="D40" s="299">
        <f>'B58'!H11-'B58'!R11-'B58'!S11</f>
        <v>2302104.7970000003</v>
      </c>
      <c r="E40" s="542">
        <f t="shared" si="3"/>
        <v>1.0532020308214558</v>
      </c>
      <c r="F40" s="524"/>
      <c r="G40" s="524"/>
      <c r="H40" s="524"/>
      <c r="I40" s="524"/>
      <c r="J40" s="524"/>
    </row>
    <row r="41" spans="1:10" ht="24.95" hidden="1" customHeight="1">
      <c r="A41" s="541">
        <v>2</v>
      </c>
      <c r="B41" s="530" t="s">
        <v>66</v>
      </c>
      <c r="C41" s="299"/>
      <c r="D41" s="299">
        <f>D42+D43</f>
        <v>623352</v>
      </c>
      <c r="E41" s="539" t="e">
        <f t="shared" si="3"/>
        <v>#DIV/0!</v>
      </c>
      <c r="F41" s="524"/>
      <c r="G41" s="524"/>
      <c r="H41" s="524"/>
      <c r="I41" s="524"/>
      <c r="J41" s="524"/>
    </row>
    <row r="42" spans="1:10" ht="24.95" hidden="1" customHeight="1">
      <c r="A42" s="543" t="s">
        <v>4</v>
      </c>
      <c r="B42" s="544" t="s">
        <v>64</v>
      </c>
      <c r="C42" s="529"/>
      <c r="D42" s="529">
        <v>440223</v>
      </c>
      <c r="E42" s="539" t="e">
        <f t="shared" si="3"/>
        <v>#DIV/0!</v>
      </c>
      <c r="F42" s="524"/>
      <c r="G42" s="524"/>
      <c r="H42" s="524"/>
      <c r="I42" s="524"/>
      <c r="J42" s="524"/>
    </row>
    <row r="43" spans="1:10" ht="21" hidden="1" customHeight="1">
      <c r="A43" s="543" t="s">
        <v>4</v>
      </c>
      <c r="B43" s="544" t="s">
        <v>65</v>
      </c>
      <c r="C43" s="529"/>
      <c r="D43" s="529">
        <v>183129</v>
      </c>
      <c r="E43" s="539" t="e">
        <f t="shared" si="3"/>
        <v>#DIV/0!</v>
      </c>
      <c r="F43" s="524"/>
      <c r="G43" s="524"/>
      <c r="H43" s="524"/>
      <c r="I43" s="524"/>
      <c r="J43" s="524"/>
    </row>
    <row r="44" spans="1:10" ht="19.5" customHeight="1">
      <c r="A44" s="541">
        <v>3</v>
      </c>
      <c r="B44" s="530" t="s">
        <v>229</v>
      </c>
      <c r="C44" s="529">
        <v>0</v>
      </c>
      <c r="D44" s="299">
        <f>'B58'!S11</f>
        <v>28115</v>
      </c>
      <c r="E44" s="539"/>
      <c r="F44" s="524"/>
      <c r="G44" s="524"/>
      <c r="H44" s="524"/>
      <c r="I44" s="524"/>
      <c r="J44" s="524"/>
    </row>
    <row r="45" spans="1:10" ht="20.25" customHeight="1">
      <c r="A45" s="541">
        <v>4</v>
      </c>
      <c r="B45" s="530" t="s">
        <v>52</v>
      </c>
      <c r="C45" s="299">
        <v>0</v>
      </c>
      <c r="D45" s="299">
        <f>'B58'!R11</f>
        <v>170434</v>
      </c>
      <c r="E45" s="539"/>
      <c r="F45" s="524"/>
      <c r="G45" s="524"/>
      <c r="H45" s="524"/>
      <c r="I45" s="524"/>
      <c r="J45" s="524"/>
    </row>
    <row r="46" spans="1:10" ht="22.5" customHeight="1">
      <c r="A46" s="547" t="s">
        <v>8</v>
      </c>
      <c r="B46" s="548" t="s">
        <v>1675</v>
      </c>
      <c r="C46" s="549">
        <f>C30-C39</f>
        <v>0</v>
      </c>
      <c r="D46" s="550">
        <f>D30-D39</f>
        <v>154953.20299999975</v>
      </c>
      <c r="E46" s="551"/>
      <c r="F46" s="524"/>
      <c r="G46" s="524"/>
      <c r="H46" s="524"/>
      <c r="I46" s="524"/>
      <c r="J46" s="524"/>
    </row>
    <row r="47" spans="1:10" ht="9.75" customHeight="1">
      <c r="A47" s="228"/>
      <c r="B47" s="229"/>
      <c r="C47" s="230"/>
      <c r="D47" s="230"/>
      <c r="E47" s="231"/>
    </row>
    <row r="48" spans="1:10" ht="15.75" customHeight="1">
      <c r="A48" s="221"/>
      <c r="C48" s="1685" t="s">
        <v>2031</v>
      </c>
      <c r="D48" s="1685"/>
      <c r="E48" s="1685"/>
      <c r="F48" s="222"/>
    </row>
    <row r="49" spans="1:6" ht="15.75" customHeight="1">
      <c r="A49" s="221"/>
      <c r="C49" s="1686" t="s">
        <v>222</v>
      </c>
      <c r="D49" s="1686"/>
      <c r="E49" s="1686"/>
      <c r="F49" s="223"/>
    </row>
    <row r="50" spans="1:6" ht="15.75">
      <c r="C50" s="1686" t="s">
        <v>223</v>
      </c>
      <c r="D50" s="1686"/>
      <c r="E50" s="1686"/>
      <c r="F50" s="223"/>
    </row>
    <row r="51" spans="1:6" ht="15.75" customHeight="1">
      <c r="C51" s="1682" t="s">
        <v>224</v>
      </c>
      <c r="D51" s="1682"/>
      <c r="E51" s="1682"/>
      <c r="F51" s="224"/>
    </row>
    <row r="52" spans="1:6">
      <c r="C52"/>
      <c r="D52"/>
      <c r="E52"/>
      <c r="F52"/>
    </row>
  </sheetData>
  <mergeCells count="9">
    <mergeCell ref="C51:E51"/>
    <mergeCell ref="A2:E2"/>
    <mergeCell ref="A3:E3"/>
    <mergeCell ref="A1:B1"/>
    <mergeCell ref="D1:E1"/>
    <mergeCell ref="C48:E48"/>
    <mergeCell ref="C49:E49"/>
    <mergeCell ref="C50:E50"/>
    <mergeCell ref="A4:E4"/>
  </mergeCells>
  <pageMargins left="0.49" right="0.34" top="0.52" bottom="0.54" header="0.39" footer="0.3"/>
  <pageSetup paperSize="9" firstPageNumber="2" orientation="portrait" useFirstPageNumber="1" r:id="rId1"/>
  <headerFooter>
    <oddFooter>&amp;C&amp;P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K67"/>
  <sheetViews>
    <sheetView zoomScale="110" zoomScaleNormal="110" workbookViewId="0">
      <selection sqref="A1:XFD1048576"/>
    </sheetView>
  </sheetViews>
  <sheetFormatPr defaultRowHeight="15"/>
  <cols>
    <col min="1" max="1" width="4.140625" style="552" customWidth="1"/>
    <col min="2" max="2" width="36.7109375" style="552" customWidth="1"/>
    <col min="3" max="3" width="9.28515625" style="552" hidden="1" customWidth="1"/>
    <col min="4" max="4" width="9" style="524" customWidth="1"/>
    <col min="5" max="5" width="8.85546875" style="524" customWidth="1"/>
    <col min="6" max="7" width="10" style="524" customWidth="1"/>
    <col min="8" max="8" width="9.7109375" style="552" customWidth="1"/>
    <col min="9" max="9" width="9.28515625" style="552" customWidth="1"/>
    <col min="10" max="256" width="9.140625" style="552"/>
    <col min="257" max="257" width="4.140625" style="552" customWidth="1"/>
    <col min="258" max="258" width="36.7109375" style="552" customWidth="1"/>
    <col min="259" max="259" width="0" style="552" hidden="1" customWidth="1"/>
    <col min="260" max="260" width="9" style="552" customWidth="1"/>
    <col min="261" max="261" width="8.85546875" style="552" customWidth="1"/>
    <col min="262" max="263" width="10" style="552" customWidth="1"/>
    <col min="264" max="264" width="9.7109375" style="552" customWidth="1"/>
    <col min="265" max="265" width="9.28515625" style="552" customWidth="1"/>
    <col min="266" max="512" width="9.140625" style="552"/>
    <col min="513" max="513" width="4.140625" style="552" customWidth="1"/>
    <col min="514" max="514" width="36.7109375" style="552" customWidth="1"/>
    <col min="515" max="515" width="0" style="552" hidden="1" customWidth="1"/>
    <col min="516" max="516" width="9" style="552" customWidth="1"/>
    <col min="517" max="517" width="8.85546875" style="552" customWidth="1"/>
    <col min="518" max="519" width="10" style="552" customWidth="1"/>
    <col min="520" max="520" width="9.7109375" style="552" customWidth="1"/>
    <col min="521" max="521" width="9.28515625" style="552" customWidth="1"/>
    <col min="522" max="768" width="9.140625" style="552"/>
    <col min="769" max="769" width="4.140625" style="552" customWidth="1"/>
    <col min="770" max="770" width="36.7109375" style="552" customWidth="1"/>
    <col min="771" max="771" width="0" style="552" hidden="1" customWidth="1"/>
    <col min="772" max="772" width="9" style="552" customWidth="1"/>
    <col min="773" max="773" width="8.85546875" style="552" customWidth="1"/>
    <col min="774" max="775" width="10" style="552" customWidth="1"/>
    <col min="776" max="776" width="9.7109375" style="552" customWidth="1"/>
    <col min="777" max="777" width="9.28515625" style="552" customWidth="1"/>
    <col min="778" max="1024" width="9.140625" style="552"/>
    <col min="1025" max="1025" width="4.140625" style="552" customWidth="1"/>
    <col min="1026" max="1026" width="36.7109375" style="552" customWidth="1"/>
    <col min="1027" max="1027" width="0" style="552" hidden="1" customWidth="1"/>
    <col min="1028" max="1028" width="9" style="552" customWidth="1"/>
    <col min="1029" max="1029" width="8.85546875" style="552" customWidth="1"/>
    <col min="1030" max="1031" width="10" style="552" customWidth="1"/>
    <col min="1032" max="1032" width="9.7109375" style="552" customWidth="1"/>
    <col min="1033" max="1033" width="9.28515625" style="552" customWidth="1"/>
    <col min="1034" max="1280" width="9.140625" style="552"/>
    <col min="1281" max="1281" width="4.140625" style="552" customWidth="1"/>
    <col min="1282" max="1282" width="36.7109375" style="552" customWidth="1"/>
    <col min="1283" max="1283" width="0" style="552" hidden="1" customWidth="1"/>
    <col min="1284" max="1284" width="9" style="552" customWidth="1"/>
    <col min="1285" max="1285" width="8.85546875" style="552" customWidth="1"/>
    <col min="1286" max="1287" width="10" style="552" customWidth="1"/>
    <col min="1288" max="1288" width="9.7109375" style="552" customWidth="1"/>
    <col min="1289" max="1289" width="9.28515625" style="552" customWidth="1"/>
    <col min="1290" max="1536" width="9.140625" style="552"/>
    <col min="1537" max="1537" width="4.140625" style="552" customWidth="1"/>
    <col min="1538" max="1538" width="36.7109375" style="552" customWidth="1"/>
    <col min="1539" max="1539" width="0" style="552" hidden="1" customWidth="1"/>
    <col min="1540" max="1540" width="9" style="552" customWidth="1"/>
    <col min="1541" max="1541" width="8.85546875" style="552" customWidth="1"/>
    <col min="1542" max="1543" width="10" style="552" customWidth="1"/>
    <col min="1544" max="1544" width="9.7109375" style="552" customWidth="1"/>
    <col min="1545" max="1545" width="9.28515625" style="552" customWidth="1"/>
    <col min="1546" max="1792" width="9.140625" style="552"/>
    <col min="1793" max="1793" width="4.140625" style="552" customWidth="1"/>
    <col min="1794" max="1794" width="36.7109375" style="552" customWidth="1"/>
    <col min="1795" max="1795" width="0" style="552" hidden="1" customWidth="1"/>
    <col min="1796" max="1796" width="9" style="552" customWidth="1"/>
    <col min="1797" max="1797" width="8.85546875" style="552" customWidth="1"/>
    <col min="1798" max="1799" width="10" style="552" customWidth="1"/>
    <col min="1800" max="1800" width="9.7109375" style="552" customWidth="1"/>
    <col min="1801" max="1801" width="9.28515625" style="552" customWidth="1"/>
    <col min="1802" max="2048" width="9.140625" style="552"/>
    <col min="2049" max="2049" width="4.140625" style="552" customWidth="1"/>
    <col min="2050" max="2050" width="36.7109375" style="552" customWidth="1"/>
    <col min="2051" max="2051" width="0" style="552" hidden="1" customWidth="1"/>
    <col min="2052" max="2052" width="9" style="552" customWidth="1"/>
    <col min="2053" max="2053" width="8.85546875" style="552" customWidth="1"/>
    <col min="2054" max="2055" width="10" style="552" customWidth="1"/>
    <col min="2056" max="2056" width="9.7109375" style="552" customWidth="1"/>
    <col min="2057" max="2057" width="9.28515625" style="552" customWidth="1"/>
    <col min="2058" max="2304" width="9.140625" style="552"/>
    <col min="2305" max="2305" width="4.140625" style="552" customWidth="1"/>
    <col min="2306" max="2306" width="36.7109375" style="552" customWidth="1"/>
    <col min="2307" max="2307" width="0" style="552" hidden="1" customWidth="1"/>
    <col min="2308" max="2308" width="9" style="552" customWidth="1"/>
    <col min="2309" max="2309" width="8.85546875" style="552" customWidth="1"/>
    <col min="2310" max="2311" width="10" style="552" customWidth="1"/>
    <col min="2312" max="2312" width="9.7109375" style="552" customWidth="1"/>
    <col min="2313" max="2313" width="9.28515625" style="552" customWidth="1"/>
    <col min="2314" max="2560" width="9.140625" style="552"/>
    <col min="2561" max="2561" width="4.140625" style="552" customWidth="1"/>
    <col min="2562" max="2562" width="36.7109375" style="552" customWidth="1"/>
    <col min="2563" max="2563" width="0" style="552" hidden="1" customWidth="1"/>
    <col min="2564" max="2564" width="9" style="552" customWidth="1"/>
    <col min="2565" max="2565" width="8.85546875" style="552" customWidth="1"/>
    <col min="2566" max="2567" width="10" style="552" customWidth="1"/>
    <col min="2568" max="2568" width="9.7109375" style="552" customWidth="1"/>
    <col min="2569" max="2569" width="9.28515625" style="552" customWidth="1"/>
    <col min="2570" max="2816" width="9.140625" style="552"/>
    <col min="2817" max="2817" width="4.140625" style="552" customWidth="1"/>
    <col min="2818" max="2818" width="36.7109375" style="552" customWidth="1"/>
    <col min="2819" max="2819" width="0" style="552" hidden="1" customWidth="1"/>
    <col min="2820" max="2820" width="9" style="552" customWidth="1"/>
    <col min="2821" max="2821" width="8.85546875" style="552" customWidth="1"/>
    <col min="2822" max="2823" width="10" style="552" customWidth="1"/>
    <col min="2824" max="2824" width="9.7109375" style="552" customWidth="1"/>
    <col min="2825" max="2825" width="9.28515625" style="552" customWidth="1"/>
    <col min="2826" max="3072" width="9.140625" style="552"/>
    <col min="3073" max="3073" width="4.140625" style="552" customWidth="1"/>
    <col min="3074" max="3074" width="36.7109375" style="552" customWidth="1"/>
    <col min="3075" max="3075" width="0" style="552" hidden="1" customWidth="1"/>
    <col min="3076" max="3076" width="9" style="552" customWidth="1"/>
    <col min="3077" max="3077" width="8.85546875" style="552" customWidth="1"/>
    <col min="3078" max="3079" width="10" style="552" customWidth="1"/>
    <col min="3080" max="3080" width="9.7109375" style="552" customWidth="1"/>
    <col min="3081" max="3081" width="9.28515625" style="552" customWidth="1"/>
    <col min="3082" max="3328" width="9.140625" style="552"/>
    <col min="3329" max="3329" width="4.140625" style="552" customWidth="1"/>
    <col min="3330" max="3330" width="36.7109375" style="552" customWidth="1"/>
    <col min="3331" max="3331" width="0" style="552" hidden="1" customWidth="1"/>
    <col min="3332" max="3332" width="9" style="552" customWidth="1"/>
    <col min="3333" max="3333" width="8.85546875" style="552" customWidth="1"/>
    <col min="3334" max="3335" width="10" style="552" customWidth="1"/>
    <col min="3336" max="3336" width="9.7109375" style="552" customWidth="1"/>
    <col min="3337" max="3337" width="9.28515625" style="552" customWidth="1"/>
    <col min="3338" max="3584" width="9.140625" style="552"/>
    <col min="3585" max="3585" width="4.140625" style="552" customWidth="1"/>
    <col min="3586" max="3586" width="36.7109375" style="552" customWidth="1"/>
    <col min="3587" max="3587" width="0" style="552" hidden="1" customWidth="1"/>
    <col min="3588" max="3588" width="9" style="552" customWidth="1"/>
    <col min="3589" max="3589" width="8.85546875" style="552" customWidth="1"/>
    <col min="3590" max="3591" width="10" style="552" customWidth="1"/>
    <col min="3592" max="3592" width="9.7109375" style="552" customWidth="1"/>
    <col min="3593" max="3593" width="9.28515625" style="552" customWidth="1"/>
    <col min="3594" max="3840" width="9.140625" style="552"/>
    <col min="3841" max="3841" width="4.140625" style="552" customWidth="1"/>
    <col min="3842" max="3842" width="36.7109375" style="552" customWidth="1"/>
    <col min="3843" max="3843" width="0" style="552" hidden="1" customWidth="1"/>
    <col min="3844" max="3844" width="9" style="552" customWidth="1"/>
    <col min="3845" max="3845" width="8.85546875" style="552" customWidth="1"/>
    <col min="3846" max="3847" width="10" style="552" customWidth="1"/>
    <col min="3848" max="3848" width="9.7109375" style="552" customWidth="1"/>
    <col min="3849" max="3849" width="9.28515625" style="552" customWidth="1"/>
    <col min="3850" max="4096" width="9.140625" style="552"/>
    <col min="4097" max="4097" width="4.140625" style="552" customWidth="1"/>
    <col min="4098" max="4098" width="36.7109375" style="552" customWidth="1"/>
    <col min="4099" max="4099" width="0" style="552" hidden="1" customWidth="1"/>
    <col min="4100" max="4100" width="9" style="552" customWidth="1"/>
    <col min="4101" max="4101" width="8.85546875" style="552" customWidth="1"/>
    <col min="4102" max="4103" width="10" style="552" customWidth="1"/>
    <col min="4104" max="4104" width="9.7109375" style="552" customWidth="1"/>
    <col min="4105" max="4105" width="9.28515625" style="552" customWidth="1"/>
    <col min="4106" max="4352" width="9.140625" style="552"/>
    <col min="4353" max="4353" width="4.140625" style="552" customWidth="1"/>
    <col min="4354" max="4354" width="36.7109375" style="552" customWidth="1"/>
    <col min="4355" max="4355" width="0" style="552" hidden="1" customWidth="1"/>
    <col min="4356" max="4356" width="9" style="552" customWidth="1"/>
    <col min="4357" max="4357" width="8.85546875" style="552" customWidth="1"/>
    <col min="4358" max="4359" width="10" style="552" customWidth="1"/>
    <col min="4360" max="4360" width="9.7109375" style="552" customWidth="1"/>
    <col min="4361" max="4361" width="9.28515625" style="552" customWidth="1"/>
    <col min="4362" max="4608" width="9.140625" style="552"/>
    <col min="4609" max="4609" width="4.140625" style="552" customWidth="1"/>
    <col min="4610" max="4610" width="36.7109375" style="552" customWidth="1"/>
    <col min="4611" max="4611" width="0" style="552" hidden="1" customWidth="1"/>
    <col min="4612" max="4612" width="9" style="552" customWidth="1"/>
    <col min="4613" max="4613" width="8.85546875" style="552" customWidth="1"/>
    <col min="4614" max="4615" width="10" style="552" customWidth="1"/>
    <col min="4616" max="4616" width="9.7109375" style="552" customWidth="1"/>
    <col min="4617" max="4617" width="9.28515625" style="552" customWidth="1"/>
    <col min="4618" max="4864" width="9.140625" style="552"/>
    <col min="4865" max="4865" width="4.140625" style="552" customWidth="1"/>
    <col min="4866" max="4866" width="36.7109375" style="552" customWidth="1"/>
    <col min="4867" max="4867" width="0" style="552" hidden="1" customWidth="1"/>
    <col min="4868" max="4868" width="9" style="552" customWidth="1"/>
    <col min="4869" max="4869" width="8.85546875" style="552" customWidth="1"/>
    <col min="4870" max="4871" width="10" style="552" customWidth="1"/>
    <col min="4872" max="4872" width="9.7109375" style="552" customWidth="1"/>
    <col min="4873" max="4873" width="9.28515625" style="552" customWidth="1"/>
    <col min="4874" max="5120" width="9.140625" style="552"/>
    <col min="5121" max="5121" width="4.140625" style="552" customWidth="1"/>
    <col min="5122" max="5122" width="36.7109375" style="552" customWidth="1"/>
    <col min="5123" max="5123" width="0" style="552" hidden="1" customWidth="1"/>
    <col min="5124" max="5124" width="9" style="552" customWidth="1"/>
    <col min="5125" max="5125" width="8.85546875" style="552" customWidth="1"/>
    <col min="5126" max="5127" width="10" style="552" customWidth="1"/>
    <col min="5128" max="5128" width="9.7109375" style="552" customWidth="1"/>
    <col min="5129" max="5129" width="9.28515625" style="552" customWidth="1"/>
    <col min="5130" max="5376" width="9.140625" style="552"/>
    <col min="5377" max="5377" width="4.140625" style="552" customWidth="1"/>
    <col min="5378" max="5378" width="36.7109375" style="552" customWidth="1"/>
    <col min="5379" max="5379" width="0" style="552" hidden="1" customWidth="1"/>
    <col min="5380" max="5380" width="9" style="552" customWidth="1"/>
    <col min="5381" max="5381" width="8.85546875" style="552" customWidth="1"/>
    <col min="5382" max="5383" width="10" style="552" customWidth="1"/>
    <col min="5384" max="5384" width="9.7109375" style="552" customWidth="1"/>
    <col min="5385" max="5385" width="9.28515625" style="552" customWidth="1"/>
    <col min="5386" max="5632" width="9.140625" style="552"/>
    <col min="5633" max="5633" width="4.140625" style="552" customWidth="1"/>
    <col min="5634" max="5634" width="36.7109375" style="552" customWidth="1"/>
    <col min="5635" max="5635" width="0" style="552" hidden="1" customWidth="1"/>
    <col min="5636" max="5636" width="9" style="552" customWidth="1"/>
    <col min="5637" max="5637" width="8.85546875" style="552" customWidth="1"/>
    <col min="5638" max="5639" width="10" style="552" customWidth="1"/>
    <col min="5640" max="5640" width="9.7109375" style="552" customWidth="1"/>
    <col min="5641" max="5641" width="9.28515625" style="552" customWidth="1"/>
    <col min="5642" max="5888" width="9.140625" style="552"/>
    <col min="5889" max="5889" width="4.140625" style="552" customWidth="1"/>
    <col min="5890" max="5890" width="36.7109375" style="552" customWidth="1"/>
    <col min="5891" max="5891" width="0" style="552" hidden="1" customWidth="1"/>
    <col min="5892" max="5892" width="9" style="552" customWidth="1"/>
    <col min="5893" max="5893" width="8.85546875" style="552" customWidth="1"/>
    <col min="5894" max="5895" width="10" style="552" customWidth="1"/>
    <col min="5896" max="5896" width="9.7109375" style="552" customWidth="1"/>
    <col min="5897" max="5897" width="9.28515625" style="552" customWidth="1"/>
    <col min="5898" max="6144" width="9.140625" style="552"/>
    <col min="6145" max="6145" width="4.140625" style="552" customWidth="1"/>
    <col min="6146" max="6146" width="36.7109375" style="552" customWidth="1"/>
    <col min="6147" max="6147" width="0" style="552" hidden="1" customWidth="1"/>
    <col min="6148" max="6148" width="9" style="552" customWidth="1"/>
    <col min="6149" max="6149" width="8.85546875" style="552" customWidth="1"/>
    <col min="6150" max="6151" width="10" style="552" customWidth="1"/>
    <col min="6152" max="6152" width="9.7109375" style="552" customWidth="1"/>
    <col min="6153" max="6153" width="9.28515625" style="552" customWidth="1"/>
    <col min="6154" max="6400" width="9.140625" style="552"/>
    <col min="6401" max="6401" width="4.140625" style="552" customWidth="1"/>
    <col min="6402" max="6402" width="36.7109375" style="552" customWidth="1"/>
    <col min="6403" max="6403" width="0" style="552" hidden="1" customWidth="1"/>
    <col min="6404" max="6404" width="9" style="552" customWidth="1"/>
    <col min="6405" max="6405" width="8.85546875" style="552" customWidth="1"/>
    <col min="6406" max="6407" width="10" style="552" customWidth="1"/>
    <col min="6408" max="6408" width="9.7109375" style="552" customWidth="1"/>
    <col min="6409" max="6409" width="9.28515625" style="552" customWidth="1"/>
    <col min="6410" max="6656" width="9.140625" style="552"/>
    <col min="6657" max="6657" width="4.140625" style="552" customWidth="1"/>
    <col min="6658" max="6658" width="36.7109375" style="552" customWidth="1"/>
    <col min="6659" max="6659" width="0" style="552" hidden="1" customWidth="1"/>
    <col min="6660" max="6660" width="9" style="552" customWidth="1"/>
    <col min="6661" max="6661" width="8.85546875" style="552" customWidth="1"/>
    <col min="6662" max="6663" width="10" style="552" customWidth="1"/>
    <col min="6664" max="6664" width="9.7109375" style="552" customWidth="1"/>
    <col min="6665" max="6665" width="9.28515625" style="552" customWidth="1"/>
    <col min="6666" max="6912" width="9.140625" style="552"/>
    <col min="6913" max="6913" width="4.140625" style="552" customWidth="1"/>
    <col min="6914" max="6914" width="36.7109375" style="552" customWidth="1"/>
    <col min="6915" max="6915" width="0" style="552" hidden="1" customWidth="1"/>
    <col min="6916" max="6916" width="9" style="552" customWidth="1"/>
    <col min="6917" max="6917" width="8.85546875" style="552" customWidth="1"/>
    <col min="6918" max="6919" width="10" style="552" customWidth="1"/>
    <col min="6920" max="6920" width="9.7109375" style="552" customWidth="1"/>
    <col min="6921" max="6921" width="9.28515625" style="552" customWidth="1"/>
    <col min="6922" max="7168" width="9.140625" style="552"/>
    <col min="7169" max="7169" width="4.140625" style="552" customWidth="1"/>
    <col min="7170" max="7170" width="36.7109375" style="552" customWidth="1"/>
    <col min="7171" max="7171" width="0" style="552" hidden="1" customWidth="1"/>
    <col min="7172" max="7172" width="9" style="552" customWidth="1"/>
    <col min="7173" max="7173" width="8.85546875" style="552" customWidth="1"/>
    <col min="7174" max="7175" width="10" style="552" customWidth="1"/>
    <col min="7176" max="7176" width="9.7109375" style="552" customWidth="1"/>
    <col min="7177" max="7177" width="9.28515625" style="552" customWidth="1"/>
    <col min="7178" max="7424" width="9.140625" style="552"/>
    <col min="7425" max="7425" width="4.140625" style="552" customWidth="1"/>
    <col min="7426" max="7426" width="36.7109375" style="552" customWidth="1"/>
    <col min="7427" max="7427" width="0" style="552" hidden="1" customWidth="1"/>
    <col min="7428" max="7428" width="9" style="552" customWidth="1"/>
    <col min="7429" max="7429" width="8.85546875" style="552" customWidth="1"/>
    <col min="7430" max="7431" width="10" style="552" customWidth="1"/>
    <col min="7432" max="7432" width="9.7109375" style="552" customWidth="1"/>
    <col min="7433" max="7433" width="9.28515625" style="552" customWidth="1"/>
    <col min="7434" max="7680" width="9.140625" style="552"/>
    <col min="7681" max="7681" width="4.140625" style="552" customWidth="1"/>
    <col min="7682" max="7682" width="36.7109375" style="552" customWidth="1"/>
    <col min="7683" max="7683" width="0" style="552" hidden="1" customWidth="1"/>
    <col min="7684" max="7684" width="9" style="552" customWidth="1"/>
    <col min="7685" max="7685" width="8.85546875" style="552" customWidth="1"/>
    <col min="7686" max="7687" width="10" style="552" customWidth="1"/>
    <col min="7688" max="7688" width="9.7109375" style="552" customWidth="1"/>
    <col min="7689" max="7689" width="9.28515625" style="552" customWidth="1"/>
    <col min="7690" max="7936" width="9.140625" style="552"/>
    <col min="7937" max="7937" width="4.140625" style="552" customWidth="1"/>
    <col min="7938" max="7938" width="36.7109375" style="552" customWidth="1"/>
    <col min="7939" max="7939" width="0" style="552" hidden="1" customWidth="1"/>
    <col min="7940" max="7940" width="9" style="552" customWidth="1"/>
    <col min="7941" max="7941" width="8.85546875" style="552" customWidth="1"/>
    <col min="7942" max="7943" width="10" style="552" customWidth="1"/>
    <col min="7944" max="7944" width="9.7109375" style="552" customWidth="1"/>
    <col min="7945" max="7945" width="9.28515625" style="552" customWidth="1"/>
    <col min="7946" max="8192" width="9.140625" style="552"/>
    <col min="8193" max="8193" width="4.140625" style="552" customWidth="1"/>
    <col min="8194" max="8194" width="36.7109375" style="552" customWidth="1"/>
    <col min="8195" max="8195" width="0" style="552" hidden="1" customWidth="1"/>
    <col min="8196" max="8196" width="9" style="552" customWidth="1"/>
    <col min="8197" max="8197" width="8.85546875" style="552" customWidth="1"/>
    <col min="8198" max="8199" width="10" style="552" customWidth="1"/>
    <col min="8200" max="8200" width="9.7109375" style="552" customWidth="1"/>
    <col min="8201" max="8201" width="9.28515625" style="552" customWidth="1"/>
    <col min="8202" max="8448" width="9.140625" style="552"/>
    <col min="8449" max="8449" width="4.140625" style="552" customWidth="1"/>
    <col min="8450" max="8450" width="36.7109375" style="552" customWidth="1"/>
    <col min="8451" max="8451" width="0" style="552" hidden="1" customWidth="1"/>
    <col min="8452" max="8452" width="9" style="552" customWidth="1"/>
    <col min="8453" max="8453" width="8.85546875" style="552" customWidth="1"/>
    <col min="8454" max="8455" width="10" style="552" customWidth="1"/>
    <col min="8456" max="8456" width="9.7109375" style="552" customWidth="1"/>
    <col min="8457" max="8457" width="9.28515625" style="552" customWidth="1"/>
    <col min="8458" max="8704" width="9.140625" style="552"/>
    <col min="8705" max="8705" width="4.140625" style="552" customWidth="1"/>
    <col min="8706" max="8706" width="36.7109375" style="552" customWidth="1"/>
    <col min="8707" max="8707" width="0" style="552" hidden="1" customWidth="1"/>
    <col min="8708" max="8708" width="9" style="552" customWidth="1"/>
    <col min="8709" max="8709" width="8.85546875" style="552" customWidth="1"/>
    <col min="8710" max="8711" width="10" style="552" customWidth="1"/>
    <col min="8712" max="8712" width="9.7109375" style="552" customWidth="1"/>
    <col min="8713" max="8713" width="9.28515625" style="552" customWidth="1"/>
    <col min="8714" max="8960" width="9.140625" style="552"/>
    <col min="8961" max="8961" width="4.140625" style="552" customWidth="1"/>
    <col min="8962" max="8962" width="36.7109375" style="552" customWidth="1"/>
    <col min="8963" max="8963" width="0" style="552" hidden="1" customWidth="1"/>
    <col min="8964" max="8964" width="9" style="552" customWidth="1"/>
    <col min="8965" max="8965" width="8.85546875" style="552" customWidth="1"/>
    <col min="8966" max="8967" width="10" style="552" customWidth="1"/>
    <col min="8968" max="8968" width="9.7109375" style="552" customWidth="1"/>
    <col min="8969" max="8969" width="9.28515625" style="552" customWidth="1"/>
    <col min="8970" max="9216" width="9.140625" style="552"/>
    <col min="9217" max="9217" width="4.140625" style="552" customWidth="1"/>
    <col min="9218" max="9218" width="36.7109375" style="552" customWidth="1"/>
    <col min="9219" max="9219" width="0" style="552" hidden="1" customWidth="1"/>
    <col min="9220" max="9220" width="9" style="552" customWidth="1"/>
    <col min="9221" max="9221" width="8.85546875" style="552" customWidth="1"/>
    <col min="9222" max="9223" width="10" style="552" customWidth="1"/>
    <col min="9224" max="9224" width="9.7109375" style="552" customWidth="1"/>
    <col min="9225" max="9225" width="9.28515625" style="552" customWidth="1"/>
    <col min="9226" max="9472" width="9.140625" style="552"/>
    <col min="9473" max="9473" width="4.140625" style="552" customWidth="1"/>
    <col min="9474" max="9474" width="36.7109375" style="552" customWidth="1"/>
    <col min="9475" max="9475" width="0" style="552" hidden="1" customWidth="1"/>
    <col min="9476" max="9476" width="9" style="552" customWidth="1"/>
    <col min="9477" max="9477" width="8.85546875" style="552" customWidth="1"/>
    <col min="9478" max="9479" width="10" style="552" customWidth="1"/>
    <col min="9480" max="9480" width="9.7109375" style="552" customWidth="1"/>
    <col min="9481" max="9481" width="9.28515625" style="552" customWidth="1"/>
    <col min="9482" max="9728" width="9.140625" style="552"/>
    <col min="9729" max="9729" width="4.140625" style="552" customWidth="1"/>
    <col min="9730" max="9730" width="36.7109375" style="552" customWidth="1"/>
    <col min="9731" max="9731" width="0" style="552" hidden="1" customWidth="1"/>
    <col min="9732" max="9732" width="9" style="552" customWidth="1"/>
    <col min="9733" max="9733" width="8.85546875" style="552" customWidth="1"/>
    <col min="9734" max="9735" width="10" style="552" customWidth="1"/>
    <col min="9736" max="9736" width="9.7109375" style="552" customWidth="1"/>
    <col min="9737" max="9737" width="9.28515625" style="552" customWidth="1"/>
    <col min="9738" max="9984" width="9.140625" style="552"/>
    <col min="9985" max="9985" width="4.140625" style="552" customWidth="1"/>
    <col min="9986" max="9986" width="36.7109375" style="552" customWidth="1"/>
    <col min="9987" max="9987" width="0" style="552" hidden="1" customWidth="1"/>
    <col min="9988" max="9988" width="9" style="552" customWidth="1"/>
    <col min="9989" max="9989" width="8.85546875" style="552" customWidth="1"/>
    <col min="9990" max="9991" width="10" style="552" customWidth="1"/>
    <col min="9992" max="9992" width="9.7109375" style="552" customWidth="1"/>
    <col min="9993" max="9993" width="9.28515625" style="552" customWidth="1"/>
    <col min="9994" max="10240" width="9.140625" style="552"/>
    <col min="10241" max="10241" width="4.140625" style="552" customWidth="1"/>
    <col min="10242" max="10242" width="36.7109375" style="552" customWidth="1"/>
    <col min="10243" max="10243" width="0" style="552" hidden="1" customWidth="1"/>
    <col min="10244" max="10244" width="9" style="552" customWidth="1"/>
    <col min="10245" max="10245" width="8.85546875" style="552" customWidth="1"/>
    <col min="10246" max="10247" width="10" style="552" customWidth="1"/>
    <col min="10248" max="10248" width="9.7109375" style="552" customWidth="1"/>
    <col min="10249" max="10249" width="9.28515625" style="552" customWidth="1"/>
    <col min="10250" max="10496" width="9.140625" style="552"/>
    <col min="10497" max="10497" width="4.140625" style="552" customWidth="1"/>
    <col min="10498" max="10498" width="36.7109375" style="552" customWidth="1"/>
    <col min="10499" max="10499" width="0" style="552" hidden="1" customWidth="1"/>
    <col min="10500" max="10500" width="9" style="552" customWidth="1"/>
    <col min="10501" max="10501" width="8.85546875" style="552" customWidth="1"/>
    <col min="10502" max="10503" width="10" style="552" customWidth="1"/>
    <col min="10504" max="10504" width="9.7109375" style="552" customWidth="1"/>
    <col min="10505" max="10505" width="9.28515625" style="552" customWidth="1"/>
    <col min="10506" max="10752" width="9.140625" style="552"/>
    <col min="10753" max="10753" width="4.140625" style="552" customWidth="1"/>
    <col min="10754" max="10754" width="36.7109375" style="552" customWidth="1"/>
    <col min="10755" max="10755" width="0" style="552" hidden="1" customWidth="1"/>
    <col min="10756" max="10756" width="9" style="552" customWidth="1"/>
    <col min="10757" max="10757" width="8.85546875" style="552" customWidth="1"/>
    <col min="10758" max="10759" width="10" style="552" customWidth="1"/>
    <col min="10760" max="10760" width="9.7109375" style="552" customWidth="1"/>
    <col min="10761" max="10761" width="9.28515625" style="552" customWidth="1"/>
    <col min="10762" max="11008" width="9.140625" style="552"/>
    <col min="11009" max="11009" width="4.140625" style="552" customWidth="1"/>
    <col min="11010" max="11010" width="36.7109375" style="552" customWidth="1"/>
    <col min="11011" max="11011" width="0" style="552" hidden="1" customWidth="1"/>
    <col min="11012" max="11012" width="9" style="552" customWidth="1"/>
    <col min="11013" max="11013" width="8.85546875" style="552" customWidth="1"/>
    <col min="11014" max="11015" width="10" style="552" customWidth="1"/>
    <col min="11016" max="11016" width="9.7109375" style="552" customWidth="1"/>
    <col min="11017" max="11017" width="9.28515625" style="552" customWidth="1"/>
    <col min="11018" max="11264" width="9.140625" style="552"/>
    <col min="11265" max="11265" width="4.140625" style="552" customWidth="1"/>
    <col min="11266" max="11266" width="36.7109375" style="552" customWidth="1"/>
    <col min="11267" max="11267" width="0" style="552" hidden="1" customWidth="1"/>
    <col min="11268" max="11268" width="9" style="552" customWidth="1"/>
    <col min="11269" max="11269" width="8.85546875" style="552" customWidth="1"/>
    <col min="11270" max="11271" width="10" style="552" customWidth="1"/>
    <col min="11272" max="11272" width="9.7109375" style="552" customWidth="1"/>
    <col min="11273" max="11273" width="9.28515625" style="552" customWidth="1"/>
    <col min="11274" max="11520" width="9.140625" style="552"/>
    <col min="11521" max="11521" width="4.140625" style="552" customWidth="1"/>
    <col min="11522" max="11522" width="36.7109375" style="552" customWidth="1"/>
    <col min="11523" max="11523" width="0" style="552" hidden="1" customWidth="1"/>
    <col min="11524" max="11524" width="9" style="552" customWidth="1"/>
    <col min="11525" max="11525" width="8.85546875" style="552" customWidth="1"/>
    <col min="11526" max="11527" width="10" style="552" customWidth="1"/>
    <col min="11528" max="11528" width="9.7109375" style="552" customWidth="1"/>
    <col min="11529" max="11529" width="9.28515625" style="552" customWidth="1"/>
    <col min="11530" max="11776" width="9.140625" style="552"/>
    <col min="11777" max="11777" width="4.140625" style="552" customWidth="1"/>
    <col min="11778" max="11778" width="36.7109375" style="552" customWidth="1"/>
    <col min="11779" max="11779" width="0" style="552" hidden="1" customWidth="1"/>
    <col min="11780" max="11780" width="9" style="552" customWidth="1"/>
    <col min="11781" max="11781" width="8.85546875" style="552" customWidth="1"/>
    <col min="11782" max="11783" width="10" style="552" customWidth="1"/>
    <col min="11784" max="11784" width="9.7109375" style="552" customWidth="1"/>
    <col min="11785" max="11785" width="9.28515625" style="552" customWidth="1"/>
    <col min="11786" max="12032" width="9.140625" style="552"/>
    <col min="12033" max="12033" width="4.140625" style="552" customWidth="1"/>
    <col min="12034" max="12034" width="36.7109375" style="552" customWidth="1"/>
    <col min="12035" max="12035" width="0" style="552" hidden="1" customWidth="1"/>
    <col min="12036" max="12036" width="9" style="552" customWidth="1"/>
    <col min="12037" max="12037" width="8.85546875" style="552" customWidth="1"/>
    <col min="12038" max="12039" width="10" style="552" customWidth="1"/>
    <col min="12040" max="12040" width="9.7109375" style="552" customWidth="1"/>
    <col min="12041" max="12041" width="9.28515625" style="552" customWidth="1"/>
    <col min="12042" max="12288" width="9.140625" style="552"/>
    <col min="12289" max="12289" width="4.140625" style="552" customWidth="1"/>
    <col min="12290" max="12290" width="36.7109375" style="552" customWidth="1"/>
    <col min="12291" max="12291" width="0" style="552" hidden="1" customWidth="1"/>
    <col min="12292" max="12292" width="9" style="552" customWidth="1"/>
    <col min="12293" max="12293" width="8.85546875" style="552" customWidth="1"/>
    <col min="12294" max="12295" width="10" style="552" customWidth="1"/>
    <col min="12296" max="12296" width="9.7109375" style="552" customWidth="1"/>
    <col min="12297" max="12297" width="9.28515625" style="552" customWidth="1"/>
    <col min="12298" max="12544" width="9.140625" style="552"/>
    <col min="12545" max="12545" width="4.140625" style="552" customWidth="1"/>
    <col min="12546" max="12546" width="36.7109375" style="552" customWidth="1"/>
    <col min="12547" max="12547" width="0" style="552" hidden="1" customWidth="1"/>
    <col min="12548" max="12548" width="9" style="552" customWidth="1"/>
    <col min="12549" max="12549" width="8.85546875" style="552" customWidth="1"/>
    <col min="12550" max="12551" width="10" style="552" customWidth="1"/>
    <col min="12552" max="12552" width="9.7109375" style="552" customWidth="1"/>
    <col min="12553" max="12553" width="9.28515625" style="552" customWidth="1"/>
    <col min="12554" max="12800" width="9.140625" style="552"/>
    <col min="12801" max="12801" width="4.140625" style="552" customWidth="1"/>
    <col min="12802" max="12802" width="36.7109375" style="552" customWidth="1"/>
    <col min="12803" max="12803" width="0" style="552" hidden="1" customWidth="1"/>
    <col min="12804" max="12804" width="9" style="552" customWidth="1"/>
    <col min="12805" max="12805" width="8.85546875" style="552" customWidth="1"/>
    <col min="12806" max="12807" width="10" style="552" customWidth="1"/>
    <col min="12808" max="12808" width="9.7109375" style="552" customWidth="1"/>
    <col min="12809" max="12809" width="9.28515625" style="552" customWidth="1"/>
    <col min="12810" max="13056" width="9.140625" style="552"/>
    <col min="13057" max="13057" width="4.140625" style="552" customWidth="1"/>
    <col min="13058" max="13058" width="36.7109375" style="552" customWidth="1"/>
    <col min="13059" max="13059" width="0" style="552" hidden="1" customWidth="1"/>
    <col min="13060" max="13060" width="9" style="552" customWidth="1"/>
    <col min="13061" max="13061" width="8.85546875" style="552" customWidth="1"/>
    <col min="13062" max="13063" width="10" style="552" customWidth="1"/>
    <col min="13064" max="13064" width="9.7109375" style="552" customWidth="1"/>
    <col min="13065" max="13065" width="9.28515625" style="552" customWidth="1"/>
    <col min="13066" max="13312" width="9.140625" style="552"/>
    <col min="13313" max="13313" width="4.140625" style="552" customWidth="1"/>
    <col min="13314" max="13314" width="36.7109375" style="552" customWidth="1"/>
    <col min="13315" max="13315" width="0" style="552" hidden="1" customWidth="1"/>
    <col min="13316" max="13316" width="9" style="552" customWidth="1"/>
    <col min="13317" max="13317" width="8.85546875" style="552" customWidth="1"/>
    <col min="13318" max="13319" width="10" style="552" customWidth="1"/>
    <col min="13320" max="13320" width="9.7109375" style="552" customWidth="1"/>
    <col min="13321" max="13321" width="9.28515625" style="552" customWidth="1"/>
    <col min="13322" max="13568" width="9.140625" style="552"/>
    <col min="13569" max="13569" width="4.140625" style="552" customWidth="1"/>
    <col min="13570" max="13570" width="36.7109375" style="552" customWidth="1"/>
    <col min="13571" max="13571" width="0" style="552" hidden="1" customWidth="1"/>
    <col min="13572" max="13572" width="9" style="552" customWidth="1"/>
    <col min="13573" max="13573" width="8.85546875" style="552" customWidth="1"/>
    <col min="13574" max="13575" width="10" style="552" customWidth="1"/>
    <col min="13576" max="13576" width="9.7109375" style="552" customWidth="1"/>
    <col min="13577" max="13577" width="9.28515625" style="552" customWidth="1"/>
    <col min="13578" max="13824" width="9.140625" style="552"/>
    <col min="13825" max="13825" width="4.140625" style="552" customWidth="1"/>
    <col min="13826" max="13826" width="36.7109375" style="552" customWidth="1"/>
    <col min="13827" max="13827" width="0" style="552" hidden="1" customWidth="1"/>
    <col min="13828" max="13828" width="9" style="552" customWidth="1"/>
    <col min="13829" max="13829" width="8.85546875" style="552" customWidth="1"/>
    <col min="13830" max="13831" width="10" style="552" customWidth="1"/>
    <col min="13832" max="13832" width="9.7109375" style="552" customWidth="1"/>
    <col min="13833" max="13833" width="9.28515625" style="552" customWidth="1"/>
    <col min="13834" max="14080" width="9.140625" style="552"/>
    <col min="14081" max="14081" width="4.140625" style="552" customWidth="1"/>
    <col min="14082" max="14082" width="36.7109375" style="552" customWidth="1"/>
    <col min="14083" max="14083" width="0" style="552" hidden="1" customWidth="1"/>
    <col min="14084" max="14084" width="9" style="552" customWidth="1"/>
    <col min="14085" max="14085" width="8.85546875" style="552" customWidth="1"/>
    <col min="14086" max="14087" width="10" style="552" customWidth="1"/>
    <col min="14088" max="14088" width="9.7109375" style="552" customWidth="1"/>
    <col min="14089" max="14089" width="9.28515625" style="552" customWidth="1"/>
    <col min="14090" max="14336" width="9.140625" style="552"/>
    <col min="14337" max="14337" width="4.140625" style="552" customWidth="1"/>
    <col min="14338" max="14338" width="36.7109375" style="552" customWidth="1"/>
    <col min="14339" max="14339" width="0" style="552" hidden="1" customWidth="1"/>
    <col min="14340" max="14340" width="9" style="552" customWidth="1"/>
    <col min="14341" max="14341" width="8.85546875" style="552" customWidth="1"/>
    <col min="14342" max="14343" width="10" style="552" customWidth="1"/>
    <col min="14344" max="14344" width="9.7109375" style="552" customWidth="1"/>
    <col min="14345" max="14345" width="9.28515625" style="552" customWidth="1"/>
    <col min="14346" max="14592" width="9.140625" style="552"/>
    <col min="14593" max="14593" width="4.140625" style="552" customWidth="1"/>
    <col min="14594" max="14594" width="36.7109375" style="552" customWidth="1"/>
    <col min="14595" max="14595" width="0" style="552" hidden="1" customWidth="1"/>
    <col min="14596" max="14596" width="9" style="552" customWidth="1"/>
    <col min="14597" max="14597" width="8.85546875" style="552" customWidth="1"/>
    <col min="14598" max="14599" width="10" style="552" customWidth="1"/>
    <col min="14600" max="14600" width="9.7109375" style="552" customWidth="1"/>
    <col min="14601" max="14601" width="9.28515625" style="552" customWidth="1"/>
    <col min="14602" max="14848" width="9.140625" style="552"/>
    <col min="14849" max="14849" width="4.140625" style="552" customWidth="1"/>
    <col min="14850" max="14850" width="36.7109375" style="552" customWidth="1"/>
    <col min="14851" max="14851" width="0" style="552" hidden="1" customWidth="1"/>
    <col min="14852" max="14852" width="9" style="552" customWidth="1"/>
    <col min="14853" max="14853" width="8.85546875" style="552" customWidth="1"/>
    <col min="14854" max="14855" width="10" style="552" customWidth="1"/>
    <col min="14856" max="14856" width="9.7109375" style="552" customWidth="1"/>
    <col min="14857" max="14857" width="9.28515625" style="552" customWidth="1"/>
    <col min="14858" max="15104" width="9.140625" style="552"/>
    <col min="15105" max="15105" width="4.140625" style="552" customWidth="1"/>
    <col min="15106" max="15106" width="36.7109375" style="552" customWidth="1"/>
    <col min="15107" max="15107" width="0" style="552" hidden="1" customWidth="1"/>
    <col min="15108" max="15108" width="9" style="552" customWidth="1"/>
    <col min="15109" max="15109" width="8.85546875" style="552" customWidth="1"/>
    <col min="15110" max="15111" width="10" style="552" customWidth="1"/>
    <col min="15112" max="15112" width="9.7109375" style="552" customWidth="1"/>
    <col min="15113" max="15113" width="9.28515625" style="552" customWidth="1"/>
    <col min="15114" max="15360" width="9.140625" style="552"/>
    <col min="15361" max="15361" width="4.140625" style="552" customWidth="1"/>
    <col min="15362" max="15362" width="36.7109375" style="552" customWidth="1"/>
    <col min="15363" max="15363" width="0" style="552" hidden="1" customWidth="1"/>
    <col min="15364" max="15364" width="9" style="552" customWidth="1"/>
    <col min="15365" max="15365" width="8.85546875" style="552" customWidth="1"/>
    <col min="15366" max="15367" width="10" style="552" customWidth="1"/>
    <col min="15368" max="15368" width="9.7109375" style="552" customWidth="1"/>
    <col min="15369" max="15369" width="9.28515625" style="552" customWidth="1"/>
    <col min="15370" max="15616" width="9.140625" style="552"/>
    <col min="15617" max="15617" width="4.140625" style="552" customWidth="1"/>
    <col min="15618" max="15618" width="36.7109375" style="552" customWidth="1"/>
    <col min="15619" max="15619" width="0" style="552" hidden="1" customWidth="1"/>
    <col min="15620" max="15620" width="9" style="552" customWidth="1"/>
    <col min="15621" max="15621" width="8.85546875" style="552" customWidth="1"/>
    <col min="15622" max="15623" width="10" style="552" customWidth="1"/>
    <col min="15624" max="15624" width="9.7109375" style="552" customWidth="1"/>
    <col min="15625" max="15625" width="9.28515625" style="552" customWidth="1"/>
    <col min="15626" max="15872" width="9.140625" style="552"/>
    <col min="15873" max="15873" width="4.140625" style="552" customWidth="1"/>
    <col min="15874" max="15874" width="36.7109375" style="552" customWidth="1"/>
    <col min="15875" max="15875" width="0" style="552" hidden="1" customWidth="1"/>
    <col min="15876" max="15876" width="9" style="552" customWidth="1"/>
    <col min="15877" max="15877" width="8.85546875" style="552" customWidth="1"/>
    <col min="15878" max="15879" width="10" style="552" customWidth="1"/>
    <col min="15880" max="15880" width="9.7109375" style="552" customWidth="1"/>
    <col min="15881" max="15881" width="9.28515625" style="552" customWidth="1"/>
    <col min="15882" max="16128" width="9.140625" style="552"/>
    <col min="16129" max="16129" width="4.140625" style="552" customWidth="1"/>
    <col min="16130" max="16130" width="36.7109375" style="552" customWidth="1"/>
    <col min="16131" max="16131" width="0" style="552" hidden="1" customWidth="1"/>
    <col min="16132" max="16132" width="9" style="552" customWidth="1"/>
    <col min="16133" max="16133" width="8.85546875" style="552" customWidth="1"/>
    <col min="16134" max="16135" width="10" style="552" customWidth="1"/>
    <col min="16136" max="16136" width="9.7109375" style="552" customWidth="1"/>
    <col min="16137" max="16137" width="9.28515625" style="552" customWidth="1"/>
    <col min="16138" max="16384" width="9.140625" style="552"/>
  </cols>
  <sheetData>
    <row r="1" spans="1:11" ht="21.75" customHeight="1">
      <c r="A1" s="1691" t="s">
        <v>221</v>
      </c>
      <c r="B1" s="1691"/>
      <c r="C1" s="1235"/>
      <c r="G1" s="1681" t="s">
        <v>2226</v>
      </c>
      <c r="H1" s="1681"/>
      <c r="I1" s="1681"/>
    </row>
    <row r="2" spans="1:11" ht="39.75" customHeight="1">
      <c r="A2" s="1690" t="s">
        <v>2123</v>
      </c>
      <c r="B2" s="1690"/>
      <c r="C2" s="1690"/>
      <c r="D2" s="1690"/>
      <c r="E2" s="1690"/>
      <c r="F2" s="1690"/>
      <c r="G2" s="1690"/>
      <c r="H2" s="1690"/>
      <c r="I2" s="1690"/>
    </row>
    <row r="3" spans="1:11" ht="17.25" customHeight="1">
      <c r="A3" s="1690" t="str">
        <f>B62CK!A3</f>
        <v>(Quyết toán đã được Hội đồng nhân dân tỉnh phê chuẩn)</v>
      </c>
      <c r="B3" s="1690"/>
      <c r="C3" s="1690"/>
      <c r="D3" s="1690"/>
      <c r="E3" s="1690"/>
      <c r="F3" s="1690"/>
      <c r="G3" s="1690"/>
      <c r="H3" s="1690"/>
      <c r="I3" s="1690"/>
    </row>
    <row r="4" spans="1:11" ht="16.5" customHeight="1">
      <c r="A4" s="1692" t="str">
        <f>B62CK!A4</f>
        <v>(Kèm theo Quyết định số            /QĐ-UBND ngày         tháng 01 năm 2020 của UBND tỉnh)</v>
      </c>
      <c r="B4" s="1692"/>
      <c r="C4" s="1692"/>
      <c r="D4" s="1692"/>
      <c r="E4" s="1692"/>
      <c r="F4" s="1692"/>
      <c r="G4" s="1692"/>
      <c r="H4" s="1692"/>
      <c r="I4" s="1692"/>
    </row>
    <row r="5" spans="1:11" ht="15" customHeight="1">
      <c r="H5" s="1687" t="s">
        <v>5</v>
      </c>
      <c r="I5" s="1687"/>
    </row>
    <row r="6" spans="1:11" ht="19.5" customHeight="1">
      <c r="A6" s="1688" t="s">
        <v>316</v>
      </c>
      <c r="B6" s="1688" t="s">
        <v>1</v>
      </c>
      <c r="C6" s="1236"/>
      <c r="D6" s="1689" t="s">
        <v>136</v>
      </c>
      <c r="E6" s="1689"/>
      <c r="F6" s="1689" t="s">
        <v>155</v>
      </c>
      <c r="G6" s="1689"/>
      <c r="H6" s="1688" t="s">
        <v>75</v>
      </c>
      <c r="I6" s="1688"/>
    </row>
    <row r="7" spans="1:11" ht="46.5" customHeight="1">
      <c r="A7" s="1688"/>
      <c r="B7" s="1688"/>
      <c r="C7" s="1236"/>
      <c r="D7" s="1237" t="s">
        <v>76</v>
      </c>
      <c r="E7" s="1237" t="s">
        <v>77</v>
      </c>
      <c r="F7" s="1237" t="s">
        <v>76</v>
      </c>
      <c r="G7" s="1237" t="s">
        <v>1695</v>
      </c>
      <c r="H7" s="1236" t="s">
        <v>76</v>
      </c>
      <c r="I7" s="1236" t="s">
        <v>77</v>
      </c>
    </row>
    <row r="8" spans="1:11">
      <c r="A8" s="1238" t="s">
        <v>2</v>
      </c>
      <c r="B8" s="1238" t="s">
        <v>3</v>
      </c>
      <c r="C8" s="1238"/>
      <c r="D8" s="1239">
        <v>1</v>
      </c>
      <c r="E8" s="1239">
        <v>2</v>
      </c>
      <c r="F8" s="1239">
        <v>3</v>
      </c>
      <c r="G8" s="1239">
        <v>4</v>
      </c>
      <c r="H8" s="1238" t="s">
        <v>78</v>
      </c>
      <c r="I8" s="1238" t="s">
        <v>79</v>
      </c>
    </row>
    <row r="9" spans="1:11" s="554" customFormat="1" ht="26.25" customHeight="1">
      <c r="A9" s="1240"/>
      <c r="B9" s="1241" t="s">
        <v>162</v>
      </c>
      <c r="C9" s="1240"/>
      <c r="D9" s="1242">
        <f>D10+D59+D60+D61</f>
        <v>610000</v>
      </c>
      <c r="E9" s="1242">
        <f>E10+E59+E60+E61</f>
        <v>545010</v>
      </c>
      <c r="F9" s="1242">
        <f>F10+F59+F60+F61</f>
        <v>1573087.295066</v>
      </c>
      <c r="G9" s="1242">
        <f>G10+G59+G60+G61</f>
        <v>1501373.5060379999</v>
      </c>
      <c r="H9" s="1243">
        <f>F9/D9</f>
        <v>2.5788316312557376</v>
      </c>
      <c r="I9" s="1243">
        <f>G9/E9</f>
        <v>2.7547632264325421</v>
      </c>
      <c r="J9" s="553"/>
      <c r="K9" s="553"/>
    </row>
    <row r="10" spans="1:11" s="554" customFormat="1" ht="22.5" customHeight="1">
      <c r="A10" s="1236" t="s">
        <v>2</v>
      </c>
      <c r="B10" s="1244" t="s">
        <v>163</v>
      </c>
      <c r="C10" s="1245"/>
      <c r="D10" s="923">
        <f>D11+D55+D56+D58</f>
        <v>610000</v>
      </c>
      <c r="E10" s="923">
        <f>E11+E55+E56+E58</f>
        <v>545010</v>
      </c>
      <c r="F10" s="923">
        <f>F11+F55+F56+F58</f>
        <v>651089.05874700006</v>
      </c>
      <c r="G10" s="923">
        <f>G11+G55+G56+G58</f>
        <v>579375.26971899997</v>
      </c>
      <c r="H10" s="1246">
        <f t="shared" ref="H10:I56" si="0">F10/D10</f>
        <v>1.0673591127000002</v>
      </c>
      <c r="I10" s="1246">
        <f t="shared" si="0"/>
        <v>1.0630543838076365</v>
      </c>
    </row>
    <row r="11" spans="1:11" ht="18.75" customHeight="1">
      <c r="A11" s="1247" t="s">
        <v>11</v>
      </c>
      <c r="B11" s="1248" t="s">
        <v>6</v>
      </c>
      <c r="C11" s="1249"/>
      <c r="D11" s="1250">
        <f>D12+D18+D24+D31+SUM(D37:D40)+SUM(D43:D52)</f>
        <v>605000</v>
      </c>
      <c r="E11" s="1250">
        <f>E12+E18+E24+E31+SUM(E37:E40)+SUM(E43:E52)</f>
        <v>545010</v>
      </c>
      <c r="F11" s="1250">
        <f>F12+F18+F24+F31+SUM(F37:F40)+SUM(F43:F52)</f>
        <v>642239.82297500002</v>
      </c>
      <c r="G11" s="1250">
        <f>G12+G18+G24+G31+SUM(G37:G40)+SUM(G43:G52)</f>
        <v>572272.03394699993</v>
      </c>
      <c r="H11" s="1251">
        <f t="shared" si="0"/>
        <v>1.0615534264049586</v>
      </c>
      <c r="I11" s="1251">
        <f t="shared" si="0"/>
        <v>1.0500211628171958</v>
      </c>
    </row>
    <row r="12" spans="1:11" s="554" customFormat="1" ht="17.25" customHeight="1">
      <c r="A12" s="1252">
        <v>1</v>
      </c>
      <c r="B12" s="1253" t="s">
        <v>2124</v>
      </c>
      <c r="C12" s="1254"/>
      <c r="D12" s="558">
        <f>SUM(D13:D17)</f>
        <v>72360</v>
      </c>
      <c r="E12" s="558">
        <f>SUM(E13:E17)</f>
        <v>72360</v>
      </c>
      <c r="F12" s="558">
        <f>SUM(F13:F17)</f>
        <v>95791.453169999993</v>
      </c>
      <c r="G12" s="558">
        <f>SUM(G13:G17)</f>
        <v>95739.209799999997</v>
      </c>
      <c r="H12" s="1255">
        <f t="shared" si="0"/>
        <v>1.3238177607794361</v>
      </c>
      <c r="I12" s="1255">
        <f>G12/E12</f>
        <v>1.3230957683803206</v>
      </c>
    </row>
    <row r="13" spans="1:11" s="557" customFormat="1">
      <c r="A13" s="1256"/>
      <c r="B13" s="1257" t="s">
        <v>1398</v>
      </c>
      <c r="C13" s="559">
        <v>49000</v>
      </c>
      <c r="D13" s="558">
        <v>49000</v>
      </c>
      <c r="E13" s="558">
        <f>D13</f>
        <v>49000</v>
      </c>
      <c r="F13" s="558">
        <v>71622.295178999993</v>
      </c>
      <c r="G13" s="558">
        <v>71570.051808999997</v>
      </c>
      <c r="H13" s="1255">
        <f t="shared" si="0"/>
        <v>1.4616794934489794</v>
      </c>
      <c r="I13" s="1255">
        <f t="shared" si="0"/>
        <v>1.4606133022244898</v>
      </c>
    </row>
    <row r="14" spans="1:11" s="557" customFormat="1">
      <c r="A14" s="1256"/>
      <c r="B14" s="1257" t="s">
        <v>1399</v>
      </c>
      <c r="C14" s="559">
        <v>1000</v>
      </c>
      <c r="D14" s="558">
        <v>1000</v>
      </c>
      <c r="E14" s="558">
        <f>D14</f>
        <v>1000</v>
      </c>
      <c r="F14" s="558">
        <v>1148.6064280000001</v>
      </c>
      <c r="G14" s="558">
        <v>1148.6064280000001</v>
      </c>
      <c r="H14" s="1255">
        <f t="shared" si="0"/>
        <v>1.1486064280000001</v>
      </c>
      <c r="I14" s="1255">
        <f t="shared" si="0"/>
        <v>1.1486064280000001</v>
      </c>
    </row>
    <row r="15" spans="1:11" s="557" customFormat="1">
      <c r="A15" s="1256"/>
      <c r="B15" s="1257" t="s">
        <v>1400</v>
      </c>
      <c r="C15" s="559"/>
      <c r="D15" s="558"/>
      <c r="E15" s="558">
        <f>D15</f>
        <v>0</v>
      </c>
      <c r="F15" s="558">
        <v>0</v>
      </c>
      <c r="G15" s="558">
        <v>0</v>
      </c>
      <c r="H15" s="1255"/>
      <c r="I15" s="1255"/>
    </row>
    <row r="16" spans="1:11" s="557" customFormat="1">
      <c r="A16" s="1256"/>
      <c r="B16" s="1257" t="s">
        <v>1401</v>
      </c>
      <c r="C16" s="559">
        <v>20000</v>
      </c>
      <c r="D16" s="558">
        <v>22360</v>
      </c>
      <c r="E16" s="558">
        <f>D16</f>
        <v>22360</v>
      </c>
      <c r="F16" s="558">
        <v>23020.551563000001</v>
      </c>
      <c r="G16" s="558">
        <v>23020.551563000001</v>
      </c>
      <c r="H16" s="1255">
        <f t="shared" si="0"/>
        <v>1.0295416620304114</v>
      </c>
      <c r="I16" s="1255">
        <f t="shared" si="0"/>
        <v>1.0295416620304114</v>
      </c>
    </row>
    <row r="17" spans="1:9" s="557" customFormat="1">
      <c r="A17" s="1256"/>
      <c r="B17" s="1257" t="s">
        <v>1402</v>
      </c>
      <c r="C17" s="559"/>
      <c r="D17" s="558"/>
      <c r="E17" s="558">
        <f>D17</f>
        <v>0</v>
      </c>
      <c r="F17" s="558">
        <v>0</v>
      </c>
      <c r="G17" s="558">
        <v>0</v>
      </c>
      <c r="H17" s="1255"/>
      <c r="I17" s="1255"/>
    </row>
    <row r="18" spans="1:9" s="557" customFormat="1" ht="21.75" customHeight="1">
      <c r="A18" s="1256">
        <v>2</v>
      </c>
      <c r="B18" s="1257" t="s">
        <v>2125</v>
      </c>
      <c r="C18" s="559"/>
      <c r="D18" s="558">
        <f>SUM(D19:D23)</f>
        <v>7520</v>
      </c>
      <c r="E18" s="558">
        <f>SUM(E19:E23)</f>
        <v>7520</v>
      </c>
      <c r="F18" s="558">
        <f>SUM(F19:F23)</f>
        <v>6085.9809439999999</v>
      </c>
      <c r="G18" s="558">
        <f>SUM(G19:G23)</f>
        <v>6085.9809439999999</v>
      </c>
      <c r="H18" s="1255">
        <f t="shared" ref="H18:I20" si="1">F18/D18</f>
        <v>0.80930597659574466</v>
      </c>
      <c r="I18" s="1255">
        <f t="shared" si="1"/>
        <v>0.80930597659574466</v>
      </c>
    </row>
    <row r="19" spans="1:9" s="557" customFormat="1">
      <c r="A19" s="1256"/>
      <c r="B19" s="1257" t="s">
        <v>1398</v>
      </c>
      <c r="C19" s="559">
        <v>5600</v>
      </c>
      <c r="D19" s="558">
        <v>5600</v>
      </c>
      <c r="E19" s="558">
        <f>D19</f>
        <v>5600</v>
      </c>
      <c r="F19" s="558">
        <v>3833.7897870000002</v>
      </c>
      <c r="G19" s="558">
        <v>3833.7897870000002</v>
      </c>
      <c r="H19" s="1255">
        <f t="shared" si="1"/>
        <v>0.68460531910714284</v>
      </c>
      <c r="I19" s="1255">
        <f t="shared" si="1"/>
        <v>0.68460531910714284</v>
      </c>
    </row>
    <row r="20" spans="1:9" s="557" customFormat="1">
      <c r="A20" s="1256"/>
      <c r="B20" s="1257" t="s">
        <v>1399</v>
      </c>
      <c r="C20" s="559">
        <v>1750</v>
      </c>
      <c r="D20" s="558">
        <v>1750</v>
      </c>
      <c r="E20" s="558">
        <f>D20</f>
        <v>1750</v>
      </c>
      <c r="F20" s="558">
        <v>2048.894456</v>
      </c>
      <c r="G20" s="558">
        <v>2048.894456</v>
      </c>
      <c r="H20" s="1255">
        <f t="shared" si="1"/>
        <v>1.170796832</v>
      </c>
      <c r="I20" s="1255">
        <f t="shared" si="1"/>
        <v>1.170796832</v>
      </c>
    </row>
    <row r="21" spans="1:9" s="557" customFormat="1">
      <c r="A21" s="1256"/>
      <c r="B21" s="1257" t="s">
        <v>1400</v>
      </c>
      <c r="C21" s="559"/>
      <c r="D21" s="558"/>
      <c r="E21" s="558">
        <f>D21</f>
        <v>0</v>
      </c>
      <c r="F21" s="558">
        <v>0</v>
      </c>
      <c r="G21" s="558">
        <v>0</v>
      </c>
      <c r="H21" s="1255"/>
      <c r="I21" s="1255"/>
    </row>
    <row r="22" spans="1:9" s="557" customFormat="1">
      <c r="A22" s="1256"/>
      <c r="B22" s="1257" t="s">
        <v>1401</v>
      </c>
      <c r="C22" s="559">
        <v>150</v>
      </c>
      <c r="D22" s="558">
        <v>170</v>
      </c>
      <c r="E22" s="558">
        <f>D22</f>
        <v>170</v>
      </c>
      <c r="F22" s="558">
        <v>203.29670099999998</v>
      </c>
      <c r="G22" s="558">
        <v>203.29670099999998</v>
      </c>
      <c r="H22" s="1255">
        <f>F22/D22</f>
        <v>1.1958629470588233</v>
      </c>
      <c r="I22" s="1255">
        <f>G22/E22</f>
        <v>1.1958629470588233</v>
      </c>
    </row>
    <row r="23" spans="1:9" s="557" customFormat="1">
      <c r="A23" s="1256"/>
      <c r="B23" s="1257" t="s">
        <v>1402</v>
      </c>
      <c r="C23" s="559"/>
      <c r="D23" s="558"/>
      <c r="E23" s="558">
        <f>D23</f>
        <v>0</v>
      </c>
      <c r="F23" s="558">
        <v>0</v>
      </c>
      <c r="G23" s="558">
        <v>0</v>
      </c>
      <c r="H23" s="1255"/>
      <c r="I23" s="1255"/>
    </row>
    <row r="24" spans="1:9" s="554" customFormat="1" ht="32.25" customHeight="1">
      <c r="A24" s="1258">
        <v>3</v>
      </c>
      <c r="B24" s="1253" t="s">
        <v>1403</v>
      </c>
      <c r="C24" s="1254"/>
      <c r="D24" s="558">
        <f>SUM(D25:D30)</f>
        <v>100</v>
      </c>
      <c r="E24" s="558">
        <f>SUM(E25:E30)</f>
        <v>100</v>
      </c>
      <c r="F24" s="558">
        <f>SUM(F25:F30)</f>
        <v>4840.7725360000004</v>
      </c>
      <c r="G24" s="558">
        <f>SUM(G25:G30)</f>
        <v>4840.7725360000004</v>
      </c>
      <c r="H24" s="1255">
        <f t="shared" si="0"/>
        <v>48.407725360000001</v>
      </c>
      <c r="I24" s="1255">
        <f t="shared" si="0"/>
        <v>48.407725360000001</v>
      </c>
    </row>
    <row r="25" spans="1:9" s="557" customFormat="1">
      <c r="A25" s="1256"/>
      <c r="B25" s="1257" t="s">
        <v>1398</v>
      </c>
      <c r="C25" s="559">
        <v>80</v>
      </c>
      <c r="D25" s="558">
        <v>80</v>
      </c>
      <c r="E25" s="558">
        <f t="shared" ref="E25:E30" si="2">D25</f>
        <v>80</v>
      </c>
      <c r="F25" s="558">
        <v>3098.1610639999999</v>
      </c>
      <c r="G25" s="558">
        <v>3098.1610639999999</v>
      </c>
      <c r="H25" s="1255">
        <f t="shared" si="0"/>
        <v>38.727013299999996</v>
      </c>
      <c r="I25" s="1255">
        <f t="shared" si="0"/>
        <v>38.727013299999996</v>
      </c>
    </row>
    <row r="26" spans="1:9" s="557" customFormat="1">
      <c r="A26" s="1256"/>
      <c r="B26" s="1257" t="s">
        <v>1399</v>
      </c>
      <c r="C26" s="559">
        <v>20</v>
      </c>
      <c r="D26" s="558">
        <v>20</v>
      </c>
      <c r="E26" s="558">
        <f t="shared" si="2"/>
        <v>20</v>
      </c>
      <c r="F26" s="558">
        <v>1742.611472</v>
      </c>
      <c r="G26" s="558">
        <v>1742.611472</v>
      </c>
      <c r="H26" s="1255">
        <f t="shared" si="0"/>
        <v>87.130573600000005</v>
      </c>
      <c r="I26" s="1255">
        <f t="shared" si="0"/>
        <v>87.130573600000005</v>
      </c>
    </row>
    <row r="27" spans="1:9" s="557" customFormat="1">
      <c r="A27" s="1256"/>
      <c r="B27" s="1257" t="s">
        <v>1400</v>
      </c>
      <c r="C27" s="559"/>
      <c r="D27" s="558"/>
      <c r="E27" s="558">
        <f t="shared" si="2"/>
        <v>0</v>
      </c>
      <c r="F27" s="558"/>
      <c r="G27" s="558"/>
      <c r="H27" s="1255"/>
      <c r="I27" s="1255"/>
    </row>
    <row r="28" spans="1:9" s="557" customFormat="1">
      <c r="A28" s="1256"/>
      <c r="B28" s="1257" t="s">
        <v>1401</v>
      </c>
      <c r="C28" s="559"/>
      <c r="D28" s="558"/>
      <c r="E28" s="558">
        <f t="shared" si="2"/>
        <v>0</v>
      </c>
      <c r="F28" s="558"/>
      <c r="G28" s="558"/>
      <c r="H28" s="1255"/>
      <c r="I28" s="1255"/>
    </row>
    <row r="29" spans="1:9" s="557" customFormat="1">
      <c r="A29" s="1256"/>
      <c r="B29" s="1257" t="s">
        <v>1404</v>
      </c>
      <c r="C29" s="559"/>
      <c r="D29" s="558"/>
      <c r="E29" s="558">
        <f t="shared" si="2"/>
        <v>0</v>
      </c>
      <c r="F29" s="558"/>
      <c r="G29" s="558"/>
      <c r="H29" s="1255"/>
      <c r="I29" s="1255"/>
    </row>
    <row r="30" spans="1:9" s="557" customFormat="1">
      <c r="A30" s="1256"/>
      <c r="B30" s="1257" t="s">
        <v>1402</v>
      </c>
      <c r="C30" s="559"/>
      <c r="D30" s="558"/>
      <c r="E30" s="558">
        <f t="shared" si="2"/>
        <v>0</v>
      </c>
      <c r="F30" s="558"/>
      <c r="G30" s="558"/>
      <c r="H30" s="1255"/>
      <c r="I30" s="1255"/>
    </row>
    <row r="31" spans="1:9" s="554" customFormat="1" ht="20.25" customHeight="1">
      <c r="A31" s="1258">
        <v>4</v>
      </c>
      <c r="B31" s="1253" t="s">
        <v>1405</v>
      </c>
      <c r="C31" s="1254"/>
      <c r="D31" s="558">
        <f>SUM(D32:D36)</f>
        <v>173870</v>
      </c>
      <c r="E31" s="558">
        <f>SUM(E32:E36)</f>
        <v>173870</v>
      </c>
      <c r="F31" s="558">
        <f>SUM(F32:F36)</f>
        <v>155370.96836500001</v>
      </c>
      <c r="G31" s="558">
        <f>SUM(G32:G36)</f>
        <v>155370.94789499999</v>
      </c>
      <c r="H31" s="1255">
        <f t="shared" si="0"/>
        <v>0.89360423514694887</v>
      </c>
      <c r="I31" s="1255">
        <f t="shared" si="0"/>
        <v>0.89360411741531021</v>
      </c>
    </row>
    <row r="32" spans="1:9" s="557" customFormat="1">
      <c r="A32" s="1256"/>
      <c r="B32" s="1257" t="s">
        <v>1398</v>
      </c>
      <c r="C32" s="559">
        <v>134850</v>
      </c>
      <c r="D32" s="558">
        <v>136070</v>
      </c>
      <c r="E32" s="558">
        <f>D32</f>
        <v>136070</v>
      </c>
      <c r="F32" s="558">
        <v>114545.08642599999</v>
      </c>
      <c r="G32" s="558">
        <v>114545.08642599999</v>
      </c>
      <c r="H32" s="1255">
        <f t="shared" si="0"/>
        <v>0.84180999798633049</v>
      </c>
      <c r="I32" s="1255">
        <f t="shared" si="0"/>
        <v>0.84180999798633049</v>
      </c>
    </row>
    <row r="33" spans="1:9" s="557" customFormat="1">
      <c r="A33" s="1256"/>
      <c r="B33" s="1257" t="s">
        <v>1399</v>
      </c>
      <c r="C33" s="559">
        <v>12000</v>
      </c>
      <c r="D33" s="558">
        <v>12000</v>
      </c>
      <c r="E33" s="558">
        <f t="shared" ref="E33:E51" si="3">D33</f>
        <v>12000</v>
      </c>
      <c r="F33" s="558">
        <v>11227.089961000001</v>
      </c>
      <c r="G33" s="558">
        <v>11227.089961000001</v>
      </c>
      <c r="H33" s="1255">
        <f t="shared" si="0"/>
        <v>0.93559083008333344</v>
      </c>
      <c r="I33" s="1255">
        <f t="shared" si="0"/>
        <v>0.93559083008333344</v>
      </c>
    </row>
    <row r="34" spans="1:9" s="557" customFormat="1">
      <c r="A34" s="1256"/>
      <c r="B34" s="1257" t="s">
        <v>1400</v>
      </c>
      <c r="C34" s="559">
        <v>150</v>
      </c>
      <c r="D34" s="558">
        <v>280</v>
      </c>
      <c r="E34" s="558">
        <f t="shared" si="3"/>
        <v>280</v>
      </c>
      <c r="F34" s="558">
        <v>390.68031900000005</v>
      </c>
      <c r="G34" s="558">
        <v>390.65984900000007</v>
      </c>
      <c r="H34" s="1255">
        <f t="shared" si="0"/>
        <v>1.3952868535714287</v>
      </c>
      <c r="I34" s="1255">
        <f t="shared" si="0"/>
        <v>1.3952137464285717</v>
      </c>
    </row>
    <row r="35" spans="1:9" s="557" customFormat="1">
      <c r="A35" s="1256"/>
      <c r="B35" s="1257" t="s">
        <v>1401</v>
      </c>
      <c r="C35" s="559">
        <v>21000</v>
      </c>
      <c r="D35" s="558">
        <v>25520</v>
      </c>
      <c r="E35" s="558">
        <f t="shared" si="3"/>
        <v>25520</v>
      </c>
      <c r="F35" s="558">
        <v>29208.111659000002</v>
      </c>
      <c r="G35" s="558">
        <v>29208.111659000002</v>
      </c>
      <c r="H35" s="1255">
        <f t="shared" si="0"/>
        <v>1.1445184819357368</v>
      </c>
      <c r="I35" s="1255">
        <f t="shared" si="0"/>
        <v>1.1445184819357368</v>
      </c>
    </row>
    <row r="36" spans="1:9" s="557" customFormat="1">
      <c r="A36" s="1256"/>
      <c r="B36" s="1257" t="s">
        <v>1402</v>
      </c>
      <c r="C36" s="559"/>
      <c r="D36" s="558"/>
      <c r="E36" s="558">
        <f t="shared" si="3"/>
        <v>0</v>
      </c>
      <c r="F36" s="558">
        <v>0</v>
      </c>
      <c r="G36" s="558">
        <v>0</v>
      </c>
      <c r="H36" s="1255"/>
      <c r="I36" s="1255"/>
    </row>
    <row r="37" spans="1:9" ht="18" customHeight="1">
      <c r="A37" s="1258">
        <v>5</v>
      </c>
      <c r="B37" s="1253" t="s">
        <v>55</v>
      </c>
      <c r="C37" s="1254"/>
      <c r="D37" s="558">
        <f>'[2]61-TT342'!D40</f>
        <v>25000</v>
      </c>
      <c r="E37" s="558">
        <f t="shared" si="3"/>
        <v>25000</v>
      </c>
      <c r="F37" s="558">
        <f>'[2]61-TT342'!E40</f>
        <v>25125.196780000002</v>
      </c>
      <c r="G37" s="558">
        <f>'[2]61-TT342'!G40</f>
        <v>25101.257375000001</v>
      </c>
      <c r="H37" s="1255">
        <f t="shared" si="0"/>
        <v>1.0050078712000001</v>
      </c>
      <c r="I37" s="1255">
        <f t="shared" si="0"/>
        <v>1.0040502950000001</v>
      </c>
    </row>
    <row r="38" spans="1:9" ht="16.5" customHeight="1">
      <c r="A38" s="1258">
        <v>6</v>
      </c>
      <c r="B38" s="1253" t="s">
        <v>56</v>
      </c>
      <c r="C38" s="1254"/>
      <c r="D38" s="558">
        <f>'[2]61-TT342'!D41</f>
        <v>73000</v>
      </c>
      <c r="E38" s="558">
        <v>29200</v>
      </c>
      <c r="F38" s="558">
        <f>'[2]61-TT342'!E41</f>
        <v>79871.411441999997</v>
      </c>
      <c r="G38" s="558">
        <f>'[2]61-TT342'!G41</f>
        <v>29712.175874</v>
      </c>
      <c r="H38" s="1255">
        <f t="shared" si="0"/>
        <v>1.0941289238630136</v>
      </c>
      <c r="I38" s="1255">
        <f t="shared" si="0"/>
        <v>1.0175402696575342</v>
      </c>
    </row>
    <row r="39" spans="1:9" ht="17.25" customHeight="1">
      <c r="A39" s="1258">
        <v>7</v>
      </c>
      <c r="B39" s="1253" t="s">
        <v>98</v>
      </c>
      <c r="C39" s="1254"/>
      <c r="D39" s="558">
        <f>'[2]61-TT342'!D37</f>
        <v>36000</v>
      </c>
      <c r="E39" s="558">
        <f t="shared" si="3"/>
        <v>36000</v>
      </c>
      <c r="F39" s="558">
        <f>'[2]61-TT342'!E37</f>
        <v>38072.798883999996</v>
      </c>
      <c r="G39" s="558">
        <f>'[2]61-TT342'!G37</f>
        <v>38072.798883999996</v>
      </c>
      <c r="H39" s="1255">
        <f t="shared" si="0"/>
        <v>1.0575777467777776</v>
      </c>
      <c r="I39" s="1255">
        <f t="shared" si="0"/>
        <v>1.0575777467777776</v>
      </c>
    </row>
    <row r="40" spans="1:9" ht="17.25" customHeight="1">
      <c r="A40" s="1258">
        <v>8</v>
      </c>
      <c r="B40" s="1253" t="s">
        <v>164</v>
      </c>
      <c r="C40" s="1254"/>
      <c r="D40" s="558">
        <f>'[2]61-TT342'!D42</f>
        <v>76790</v>
      </c>
      <c r="E40" s="558">
        <f t="shared" si="3"/>
        <v>76790</v>
      </c>
      <c r="F40" s="558">
        <f>'[2]61-TT342'!E42</f>
        <v>67586.559559000001</v>
      </c>
      <c r="G40" s="558">
        <f>'[2]61-TT342'!G42</f>
        <v>64357.507186000003</v>
      </c>
      <c r="H40" s="1255">
        <f t="shared" si="0"/>
        <v>0.88014793018622217</v>
      </c>
      <c r="I40" s="1255">
        <f t="shared" si="0"/>
        <v>0.83809750209662714</v>
      </c>
    </row>
    <row r="41" spans="1:9" ht="17.25" hidden="1" customHeight="1">
      <c r="A41" s="1258" t="s">
        <v>4</v>
      </c>
      <c r="B41" s="1259" t="s">
        <v>1406</v>
      </c>
      <c r="C41" s="1260"/>
      <c r="D41" s="558"/>
      <c r="E41" s="558">
        <f t="shared" si="3"/>
        <v>0</v>
      </c>
      <c r="F41" s="558"/>
      <c r="G41" s="558"/>
      <c r="H41" s="1255"/>
      <c r="I41" s="1255"/>
    </row>
    <row r="42" spans="1:9" ht="17.25" hidden="1" customHeight="1">
      <c r="A42" s="1258" t="s">
        <v>4</v>
      </c>
      <c r="B42" s="1259" t="s">
        <v>1407</v>
      </c>
      <c r="C42" s="1260"/>
      <c r="D42" s="558"/>
      <c r="E42" s="558">
        <f t="shared" si="3"/>
        <v>0</v>
      </c>
      <c r="F42" s="558"/>
      <c r="G42" s="558"/>
      <c r="H42" s="1255"/>
      <c r="I42" s="1255"/>
    </row>
    <row r="43" spans="1:9" ht="16.5" customHeight="1">
      <c r="A43" s="1258">
        <v>9</v>
      </c>
      <c r="B43" s="1253" t="s">
        <v>80</v>
      </c>
      <c r="C43" s="1254"/>
      <c r="D43" s="558">
        <f>'[2]61-TT342'!D38</f>
        <v>2130</v>
      </c>
      <c r="E43" s="558">
        <f t="shared" si="3"/>
        <v>2130</v>
      </c>
      <c r="F43" s="558">
        <f>'[2]61-TT342'!E38</f>
        <v>3547.0626900000002</v>
      </c>
      <c r="G43" s="558">
        <f>'[2]61-TT342'!G38</f>
        <v>3547.0626900000002</v>
      </c>
      <c r="H43" s="1255">
        <f t="shared" si="0"/>
        <v>1.665287647887324</v>
      </c>
      <c r="I43" s="1255">
        <f t="shared" si="0"/>
        <v>1.665287647887324</v>
      </c>
    </row>
    <row r="44" spans="1:9" ht="18" customHeight="1">
      <c r="A44" s="1258">
        <v>10</v>
      </c>
      <c r="B44" s="1253" t="s">
        <v>81</v>
      </c>
      <c r="C44" s="1254"/>
      <c r="D44" s="558">
        <f>'[2]61-TT342'!D39</f>
        <v>630</v>
      </c>
      <c r="E44" s="558">
        <f t="shared" si="3"/>
        <v>630</v>
      </c>
      <c r="F44" s="558">
        <f>'[2]61-TT342'!E39</f>
        <v>752.84879000000001</v>
      </c>
      <c r="G44" s="558">
        <f>'[2]61-TT342'!G39</f>
        <v>752.84879000000001</v>
      </c>
      <c r="H44" s="1255">
        <f t="shared" si="0"/>
        <v>1.1949980793650794</v>
      </c>
      <c r="I44" s="1255">
        <f>G44/E44</f>
        <v>1.1949980793650794</v>
      </c>
    </row>
    <row r="45" spans="1:9" ht="18" customHeight="1">
      <c r="A45" s="1258">
        <v>11</v>
      </c>
      <c r="B45" s="1253" t="s">
        <v>82</v>
      </c>
      <c r="C45" s="1254"/>
      <c r="D45" s="558">
        <f>'[2]61-TT342'!D47</f>
        <v>10000</v>
      </c>
      <c r="E45" s="558">
        <f t="shared" si="3"/>
        <v>10000</v>
      </c>
      <c r="F45" s="558">
        <f>'[2]61-TT342'!E47</f>
        <v>11784.498407999999</v>
      </c>
      <c r="G45" s="558">
        <f>'[2]61-TT342'!G47</f>
        <v>11784.498407999999</v>
      </c>
      <c r="H45" s="1255">
        <f t="shared" si="0"/>
        <v>1.1784498407999999</v>
      </c>
      <c r="I45" s="1255">
        <f t="shared" si="0"/>
        <v>1.1784498407999999</v>
      </c>
    </row>
    <row r="46" spans="1:9" ht="17.25" customHeight="1">
      <c r="A46" s="1258">
        <v>12</v>
      </c>
      <c r="B46" s="1253" t="s">
        <v>57</v>
      </c>
      <c r="C46" s="1254"/>
      <c r="D46" s="558">
        <f>'[2]61-TT342'!D46</f>
        <v>55000</v>
      </c>
      <c r="E46" s="558">
        <f t="shared" si="3"/>
        <v>55000</v>
      </c>
      <c r="F46" s="558">
        <f>'[2]61-TT342'!E46</f>
        <v>85645.589475000001</v>
      </c>
      <c r="G46" s="558">
        <f>'[2]61-TT342'!G46</f>
        <v>85645.589475000001</v>
      </c>
      <c r="H46" s="1255">
        <f t="shared" si="0"/>
        <v>1.557192535909091</v>
      </c>
      <c r="I46" s="1255">
        <f t="shared" si="0"/>
        <v>1.557192535909091</v>
      </c>
    </row>
    <row r="47" spans="1:9" ht="31.5" customHeight="1">
      <c r="A47" s="1258">
        <v>13</v>
      </c>
      <c r="B47" s="1253" t="s">
        <v>165</v>
      </c>
      <c r="C47" s="1254"/>
      <c r="D47" s="558"/>
      <c r="E47" s="558">
        <f t="shared" si="3"/>
        <v>0</v>
      </c>
      <c r="F47" s="558">
        <f>'[2]61-TT342'!E50</f>
        <v>67.216200000000001</v>
      </c>
      <c r="G47" s="558">
        <f>'[2]61-TT342'!G50</f>
        <v>67.216200000000001</v>
      </c>
      <c r="H47" s="1255"/>
      <c r="I47" s="1255"/>
    </row>
    <row r="48" spans="1:9" ht="18.75" customHeight="1">
      <c r="A48" s="1258">
        <v>14</v>
      </c>
      <c r="B48" s="1253" t="s">
        <v>83</v>
      </c>
      <c r="C48" s="1254"/>
      <c r="D48" s="558">
        <f>'[2]61-TT342'!D54</f>
        <v>15000</v>
      </c>
      <c r="E48" s="558">
        <f t="shared" si="3"/>
        <v>15000</v>
      </c>
      <c r="F48" s="558">
        <f>'[2]61-TT342'!E54</f>
        <v>15001.235337</v>
      </c>
      <c r="G48" s="558">
        <f>'[2]61-TT342'!G54</f>
        <v>15001.235337</v>
      </c>
      <c r="H48" s="1255">
        <f t="shared" si="0"/>
        <v>1.0000823558</v>
      </c>
      <c r="I48" s="1255">
        <f t="shared" si="0"/>
        <v>1.0000823558</v>
      </c>
    </row>
    <row r="49" spans="1:9" ht="18.75" customHeight="1">
      <c r="A49" s="1258">
        <v>15</v>
      </c>
      <c r="B49" s="1253" t="s">
        <v>84</v>
      </c>
      <c r="C49" s="1254"/>
      <c r="D49" s="558">
        <f>'[2]61-TT342'!D52</f>
        <v>11000</v>
      </c>
      <c r="E49" s="558">
        <v>3300</v>
      </c>
      <c r="F49" s="558">
        <f>'[2]61-TT342'!E52</f>
        <v>8691.9510769999997</v>
      </c>
      <c r="G49" s="558">
        <f>'[2]61-TT342'!G52</f>
        <v>6687.7378269999999</v>
      </c>
      <c r="H49" s="1255">
        <f t="shared" si="0"/>
        <v>0.79017737063636362</v>
      </c>
      <c r="I49" s="1255">
        <f t="shared" si="0"/>
        <v>2.0265872203030302</v>
      </c>
    </row>
    <row r="50" spans="1:9" ht="18.75" customHeight="1">
      <c r="A50" s="1258">
        <v>16</v>
      </c>
      <c r="B50" s="1253" t="s">
        <v>85</v>
      </c>
      <c r="C50" s="1254"/>
      <c r="D50" s="558">
        <f>'[2]61-TT342'!D51</f>
        <v>45600</v>
      </c>
      <c r="E50" s="558">
        <v>37110</v>
      </c>
      <c r="F50" s="558">
        <f>'[2]61-TT342'!E51</f>
        <v>42061.883797999995</v>
      </c>
      <c r="G50" s="558">
        <f>'[2]61-TT342'!G51</f>
        <v>27562.799206</v>
      </c>
      <c r="H50" s="1255">
        <f t="shared" si="0"/>
        <v>0.92240973241228064</v>
      </c>
      <c r="I50" s="1255">
        <f t="shared" si="0"/>
        <v>0.74273239574238747</v>
      </c>
    </row>
    <row r="51" spans="1:9" ht="31.5" customHeight="1">
      <c r="A51" s="1258">
        <v>17</v>
      </c>
      <c r="B51" s="1257" t="str">
        <f>'[2]61-TT342'!B53</f>
        <v>Thu từ quỹ đất công ích và thu hoa lợi công sản khác</v>
      </c>
      <c r="C51" s="559"/>
      <c r="D51" s="558">
        <f>'[2]61-TT342'!D53</f>
        <v>1000</v>
      </c>
      <c r="E51" s="558">
        <f t="shared" si="3"/>
        <v>1000</v>
      </c>
      <c r="F51" s="558">
        <f>'[2]61-TT342'!E53</f>
        <v>30</v>
      </c>
      <c r="G51" s="558">
        <f>'[2]61-TT342'!G53</f>
        <v>30</v>
      </c>
      <c r="H51" s="1255">
        <f t="shared" si="0"/>
        <v>0.03</v>
      </c>
      <c r="I51" s="1255">
        <f t="shared" si="0"/>
        <v>0.03</v>
      </c>
    </row>
    <row r="52" spans="1:9" s="957" customFormat="1" ht="30" customHeight="1">
      <c r="A52" s="1258">
        <v>18</v>
      </c>
      <c r="B52" s="1257" t="s">
        <v>2126</v>
      </c>
      <c r="C52" s="298"/>
      <c r="D52" s="298"/>
      <c r="E52" s="298"/>
      <c r="F52" s="558">
        <f>F53+F54</f>
        <v>1912.39552</v>
      </c>
      <c r="G52" s="558">
        <f>G53+G54</f>
        <v>1912.39552</v>
      </c>
      <c r="H52" s="1261"/>
      <c r="I52" s="1262"/>
    </row>
    <row r="53" spans="1:9" s="950" customFormat="1" ht="20.25" customHeight="1">
      <c r="A53" s="961"/>
      <c r="B53" s="1263" t="s">
        <v>2127</v>
      </c>
      <c r="C53" s="558"/>
      <c r="D53" s="558"/>
      <c r="E53" s="558"/>
      <c r="F53" s="558">
        <f>'[2]61-TT342'!E56</f>
        <v>1336.08</v>
      </c>
      <c r="G53" s="558">
        <f>'[2]61-TT342'!G56</f>
        <v>1336.08</v>
      </c>
      <c r="H53" s="1264"/>
      <c r="I53" s="1262"/>
    </row>
    <row r="54" spans="1:9" s="950" customFormat="1" ht="17.25" customHeight="1">
      <c r="A54" s="961"/>
      <c r="B54" s="1263" t="s">
        <v>2128</v>
      </c>
      <c r="C54" s="558"/>
      <c r="D54" s="558"/>
      <c r="E54" s="558"/>
      <c r="F54" s="558">
        <f>'[2]61-TT342'!E57</f>
        <v>576.31551999999999</v>
      </c>
      <c r="G54" s="558">
        <f>'[2]61-TT342'!G57</f>
        <v>576.31551999999999</v>
      </c>
      <c r="H54" s="1262"/>
      <c r="I54" s="1264"/>
    </row>
    <row r="55" spans="1:9" s="554" customFormat="1" ht="18.75" customHeight="1">
      <c r="A55" s="1265" t="s">
        <v>7</v>
      </c>
      <c r="B55" s="1266" t="s">
        <v>58</v>
      </c>
      <c r="C55" s="1267"/>
      <c r="D55" s="1268"/>
      <c r="E55" s="1268"/>
      <c r="F55" s="1268"/>
      <c r="G55" s="1268"/>
      <c r="H55" s="1262"/>
      <c r="I55" s="1262"/>
    </row>
    <row r="56" spans="1:9" s="554" customFormat="1" ht="20.25" customHeight="1">
      <c r="A56" s="1265" t="s">
        <v>8</v>
      </c>
      <c r="B56" s="1266" t="s">
        <v>166</v>
      </c>
      <c r="C56" s="1267"/>
      <c r="D56" s="1268">
        <f>'[2]61-TT342'!D59</f>
        <v>5000</v>
      </c>
      <c r="E56" s="1268"/>
      <c r="F56" s="1268">
        <f>'[2]61-TT342'!E59</f>
        <v>1746</v>
      </c>
      <c r="G56" s="1268"/>
      <c r="H56" s="1262">
        <f t="shared" si="0"/>
        <v>0.34920000000000001</v>
      </c>
      <c r="I56" s="1262"/>
    </row>
    <row r="57" spans="1:9" ht="34.5" hidden="1" customHeight="1">
      <c r="A57" s="1258">
        <v>1</v>
      </c>
      <c r="B57" s="1253" t="s">
        <v>167</v>
      </c>
      <c r="C57" s="1254"/>
      <c r="D57" s="558"/>
      <c r="E57" s="558"/>
      <c r="F57" s="558"/>
      <c r="G57" s="558"/>
      <c r="H57" s="1255"/>
      <c r="I57" s="1255"/>
    </row>
    <row r="58" spans="1:9" s="554" customFormat="1" ht="19.5" customHeight="1">
      <c r="A58" s="1269" t="s">
        <v>9</v>
      </c>
      <c r="B58" s="1270" t="s">
        <v>1396</v>
      </c>
      <c r="C58" s="1271"/>
      <c r="D58" s="1272"/>
      <c r="E58" s="1272"/>
      <c r="F58" s="1272">
        <f>'[2]61-TT342'!E62</f>
        <v>7103.235772</v>
      </c>
      <c r="G58" s="1272">
        <f>'[2]61-TT342'!G62</f>
        <v>7103.235772</v>
      </c>
      <c r="H58" s="1273"/>
      <c r="I58" s="1273"/>
    </row>
    <row r="59" spans="1:9" s="554" customFormat="1" ht="24" customHeight="1">
      <c r="A59" s="1236" t="s">
        <v>3</v>
      </c>
      <c r="B59" s="1244" t="s">
        <v>168</v>
      </c>
      <c r="C59" s="1245"/>
      <c r="D59" s="923"/>
      <c r="E59" s="923"/>
      <c r="F59" s="923">
        <v>0</v>
      </c>
      <c r="G59" s="923">
        <v>0</v>
      </c>
      <c r="H59" s="1246"/>
      <c r="I59" s="1246"/>
    </row>
    <row r="60" spans="1:9" s="554" customFormat="1" ht="22.5" customHeight="1">
      <c r="A60" s="1236" t="s">
        <v>10</v>
      </c>
      <c r="B60" s="1244" t="s">
        <v>169</v>
      </c>
      <c r="C60" s="1245"/>
      <c r="D60" s="923"/>
      <c r="E60" s="923"/>
      <c r="F60" s="923">
        <f>'[2]61-TT342'!E77</f>
        <v>218832.949972</v>
      </c>
      <c r="G60" s="923">
        <f>F60</f>
        <v>218832.949972</v>
      </c>
      <c r="H60" s="1246"/>
      <c r="I60" s="1246"/>
    </row>
    <row r="61" spans="1:9" s="554" customFormat="1" ht="32.25" customHeight="1">
      <c r="A61" s="1236" t="s">
        <v>13</v>
      </c>
      <c r="B61" s="1244" t="s">
        <v>170</v>
      </c>
      <c r="C61" s="1245"/>
      <c r="D61" s="923"/>
      <c r="E61" s="923"/>
      <c r="F61" s="923">
        <f>'[2]61-TT342'!E76</f>
        <v>703165.28634700004</v>
      </c>
      <c r="G61" s="923">
        <f>F61</f>
        <v>703165.28634700004</v>
      </c>
      <c r="H61" s="1246"/>
      <c r="I61" s="1246"/>
    </row>
    <row r="65" s="552" customFormat="1"/>
    <row r="66" s="552" customFormat="1"/>
    <row r="67" s="552" customFormat="1"/>
  </sheetData>
  <mergeCells count="11">
    <mergeCell ref="A3:I3"/>
    <mergeCell ref="A1:B1"/>
    <mergeCell ref="G1:I1"/>
    <mergeCell ref="A2:I2"/>
    <mergeCell ref="A4:I4"/>
    <mergeCell ref="H5:I5"/>
    <mergeCell ref="A6:A7"/>
    <mergeCell ref="B6:B7"/>
    <mergeCell ref="D6:E6"/>
    <mergeCell ref="F6:G6"/>
    <mergeCell ref="H6:I6"/>
  </mergeCells>
  <pageMargins left="0.38" right="0.34" top="0.41" bottom="0.55000000000000004" header="0.3" footer="0.3"/>
  <pageSetup paperSize="9" scale="98" firstPageNumber="2" fitToHeight="0" orientation="portrait" useFirstPageNumber="1" r:id="rId1"/>
  <headerFooter>
    <oddFooter>&amp;R&amp;P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119"/>
  <sheetViews>
    <sheetView zoomScaleNormal="100" workbookViewId="0">
      <selection activeCell="H5" sqref="H5"/>
    </sheetView>
  </sheetViews>
  <sheetFormatPr defaultRowHeight="15"/>
  <cols>
    <col min="1" max="1" width="5.28515625" style="313" customWidth="1"/>
    <col min="2" max="2" width="50.85546875" style="313" customWidth="1"/>
    <col min="3" max="3" width="15.5703125" style="313" customWidth="1"/>
    <col min="4" max="4" width="12.85546875" style="313" customWidth="1"/>
    <col min="5" max="5" width="11.28515625" style="313" customWidth="1"/>
    <col min="6" max="16384" width="9.140625" style="313"/>
  </cols>
  <sheetData>
    <row r="1" spans="1:5" ht="18.75" customHeight="1">
      <c r="A1" s="1683" t="s">
        <v>221</v>
      </c>
      <c r="B1" s="1683"/>
      <c r="D1" s="1684" t="s">
        <v>1618</v>
      </c>
      <c r="E1" s="1684"/>
    </row>
    <row r="2" spans="1:5" ht="21.75" customHeight="1">
      <c r="A2" s="1650" t="s">
        <v>225</v>
      </c>
      <c r="B2" s="1650"/>
      <c r="C2" s="1650"/>
      <c r="D2" s="1650"/>
      <c r="E2" s="1650"/>
    </row>
    <row r="3" spans="1:5" ht="18" customHeight="1">
      <c r="A3" s="1650" t="s">
        <v>24</v>
      </c>
      <c r="B3" s="1650"/>
      <c r="C3" s="1650"/>
      <c r="D3" s="1650"/>
      <c r="E3" s="1650"/>
    </row>
    <row r="4" spans="1:5" ht="18" customHeight="1">
      <c r="A4" s="1648" t="e">
        <f>#REF!</f>
        <v>#REF!</v>
      </c>
      <c r="B4" s="1648"/>
      <c r="C4" s="1648"/>
      <c r="D4" s="1648"/>
      <c r="E4" s="1648"/>
    </row>
    <row r="5" spans="1:5" ht="19.5" customHeight="1">
      <c r="E5" s="315" t="s">
        <v>5</v>
      </c>
    </row>
    <row r="6" spans="1:5" ht="41.25" customHeight="1">
      <c r="A6" s="1108" t="s">
        <v>0</v>
      </c>
      <c r="B6" s="1108" t="s">
        <v>1</v>
      </c>
      <c r="C6" s="1108" t="s">
        <v>136</v>
      </c>
      <c r="D6" s="1108" t="s">
        <v>155</v>
      </c>
      <c r="E6" s="1108" t="s">
        <v>75</v>
      </c>
    </row>
    <row r="7" spans="1:5" ht="15.75">
      <c r="A7" s="1108" t="s">
        <v>2</v>
      </c>
      <c r="B7" s="1108" t="s">
        <v>3</v>
      </c>
      <c r="C7" s="1108">
        <v>1</v>
      </c>
      <c r="D7" s="1108">
        <v>2</v>
      </c>
      <c r="E7" s="1108" t="s">
        <v>54</v>
      </c>
    </row>
    <row r="8" spans="1:5" ht="19.5" customHeight="1">
      <c r="A8" s="1108"/>
      <c r="B8" s="1108" t="s">
        <v>171</v>
      </c>
      <c r="C8" s="562" t="e">
        <f>C9+C30+C114</f>
        <v>#REF!</v>
      </c>
      <c r="D8" s="562" t="e">
        <f>D9+D30+D114</f>
        <v>#REF!</v>
      </c>
      <c r="E8" s="563" t="e">
        <f>D8/C8%</f>
        <v>#REF!</v>
      </c>
    </row>
    <row r="9" spans="1:5" ht="18" customHeight="1">
      <c r="A9" s="1108" t="s">
        <v>2</v>
      </c>
      <c r="B9" s="564" t="s">
        <v>172</v>
      </c>
      <c r="C9" s="565" t="e">
        <f>C10+C21+C25+C26+C27+C28+C29</f>
        <v>#REF!</v>
      </c>
      <c r="D9" s="565" t="e">
        <f>D10+D21+D25+D26+D27+D28+D29</f>
        <v>#REF!</v>
      </c>
      <c r="E9" s="563" t="e">
        <f t="shared" ref="E9:E11" si="0">D9/C9%</f>
        <v>#REF!</v>
      </c>
    </row>
    <row r="10" spans="1:5" ht="18.75" customHeight="1">
      <c r="A10" s="566" t="s">
        <v>11</v>
      </c>
      <c r="B10" s="567" t="s">
        <v>73</v>
      </c>
      <c r="C10" s="1118" t="e">
        <f>C11+C18+C19+C20</f>
        <v>#REF!</v>
      </c>
      <c r="D10" s="1118" t="e">
        <f>D11+D18+D19+D20</f>
        <v>#REF!</v>
      </c>
      <c r="E10" s="568" t="e">
        <f t="shared" si="0"/>
        <v>#REF!</v>
      </c>
    </row>
    <row r="11" spans="1:5" ht="18.75" customHeight="1">
      <c r="A11" s="569">
        <v>1</v>
      </c>
      <c r="B11" s="570" t="s">
        <v>173</v>
      </c>
      <c r="C11" s="1119" t="e">
        <f>#REF!</f>
        <v>#REF!</v>
      </c>
      <c r="D11" s="1119" t="e">
        <f>#REF!</f>
        <v>#REF!</v>
      </c>
      <c r="E11" s="571" t="e">
        <f t="shared" si="0"/>
        <v>#REF!</v>
      </c>
    </row>
    <row r="12" spans="1:5" ht="18.75" customHeight="1">
      <c r="A12" s="572"/>
      <c r="B12" s="573" t="s">
        <v>89</v>
      </c>
      <c r="C12" s="1120"/>
      <c r="D12" s="1120"/>
      <c r="E12" s="392"/>
    </row>
    <row r="13" spans="1:5" ht="18.75" customHeight="1">
      <c r="A13" s="572" t="s">
        <v>4</v>
      </c>
      <c r="B13" s="573" t="s">
        <v>90</v>
      </c>
      <c r="C13" s="1121" t="e">
        <f>#REF!</f>
        <v>#REF!</v>
      </c>
      <c r="D13" s="1121" t="e">
        <f>#REF!</f>
        <v>#REF!</v>
      </c>
      <c r="E13" s="574" t="e">
        <f t="shared" ref="E13:E14" si="1">D13/C13%</f>
        <v>#REF!</v>
      </c>
    </row>
    <row r="14" spans="1:5" ht="17.25" customHeight="1">
      <c r="A14" s="572" t="s">
        <v>4</v>
      </c>
      <c r="B14" s="573" t="s">
        <v>135</v>
      </c>
      <c r="C14" s="1121" t="e">
        <f>#REF!</f>
        <v>#REF!</v>
      </c>
      <c r="D14" s="1121" t="e">
        <f>#REF!</f>
        <v>#REF!</v>
      </c>
      <c r="E14" s="574" t="e">
        <f t="shared" si="1"/>
        <v>#REF!</v>
      </c>
    </row>
    <row r="15" spans="1:5" ht="17.25" customHeight="1">
      <c r="A15" s="572"/>
      <c r="B15" s="573" t="s">
        <v>92</v>
      </c>
      <c r="C15" s="1121"/>
      <c r="D15" s="1121"/>
      <c r="E15" s="392"/>
    </row>
    <row r="16" spans="1:5" ht="18.75" customHeight="1">
      <c r="A16" s="572" t="s">
        <v>4</v>
      </c>
      <c r="B16" s="573" t="s">
        <v>93</v>
      </c>
      <c r="C16" s="1121" t="e">
        <f>#REF!</f>
        <v>#REF!</v>
      </c>
      <c r="D16" s="1121" t="e">
        <f>#REF!</f>
        <v>#REF!</v>
      </c>
      <c r="E16" s="574" t="e">
        <f t="shared" ref="E16:E20" si="2">D16/C16%</f>
        <v>#REF!</v>
      </c>
    </row>
    <row r="17" spans="1:5" ht="19.5" customHeight="1">
      <c r="A17" s="572" t="s">
        <v>4</v>
      </c>
      <c r="B17" s="573" t="s">
        <v>108</v>
      </c>
      <c r="C17" s="1121" t="e">
        <f>#REF!</f>
        <v>#REF!</v>
      </c>
      <c r="D17" s="1121" t="e">
        <f>#REF!</f>
        <v>#REF!</v>
      </c>
      <c r="E17" s="574" t="e">
        <f t="shared" si="2"/>
        <v>#REF!</v>
      </c>
    </row>
    <row r="18" spans="1:5" ht="66.75" customHeight="1">
      <c r="A18" s="569">
        <v>2</v>
      </c>
      <c r="B18" s="570" t="s">
        <v>94</v>
      </c>
      <c r="C18" s="1119" t="e">
        <f>#REF!</f>
        <v>#REF!</v>
      </c>
      <c r="D18" s="1119" t="e">
        <f>#REF!</f>
        <v>#REF!</v>
      </c>
      <c r="E18" s="571" t="e">
        <f t="shared" si="2"/>
        <v>#REF!</v>
      </c>
    </row>
    <row r="19" spans="1:5" ht="39" customHeight="1">
      <c r="A19" s="569">
        <v>3</v>
      </c>
      <c r="B19" s="570" t="s">
        <v>1478</v>
      </c>
      <c r="C19" s="1119" t="e">
        <f>#REF!</f>
        <v>#REF!</v>
      </c>
      <c r="D19" s="1119" t="e">
        <f>#REF!</f>
        <v>#REF!</v>
      </c>
      <c r="E19" s="571" t="e">
        <f t="shared" si="2"/>
        <v>#REF!</v>
      </c>
    </row>
    <row r="20" spans="1:5" ht="21" customHeight="1">
      <c r="A20" s="569">
        <v>4</v>
      </c>
      <c r="B20" s="570" t="s">
        <v>95</v>
      </c>
      <c r="C20" s="1119" t="e">
        <f>#REF!</f>
        <v>#REF!</v>
      </c>
      <c r="D20" s="1122" t="e">
        <f>#REF!</f>
        <v>#REF!</v>
      </c>
      <c r="E20" s="575" t="e">
        <f t="shared" si="2"/>
        <v>#REF!</v>
      </c>
    </row>
    <row r="21" spans="1:5" ht="22.5" customHeight="1">
      <c r="A21" s="576" t="s">
        <v>7</v>
      </c>
      <c r="B21" s="577" t="s">
        <v>15</v>
      </c>
      <c r="C21" s="1123" t="e">
        <f>#REF!</f>
        <v>#REF!</v>
      </c>
      <c r="D21" s="1123" t="e">
        <f>#REF!</f>
        <v>#REF!</v>
      </c>
      <c r="E21" s="578" t="e">
        <f>D21/C21%</f>
        <v>#REF!</v>
      </c>
    </row>
    <row r="22" spans="1:5" ht="17.25" customHeight="1">
      <c r="A22" s="572"/>
      <c r="B22" s="573" t="s">
        <v>28</v>
      </c>
      <c r="C22" s="1120"/>
      <c r="D22" s="392"/>
      <c r="E22" s="392"/>
    </row>
    <row r="23" spans="1:5" ht="18" customHeight="1">
      <c r="A23" s="579">
        <v>1</v>
      </c>
      <c r="B23" s="573" t="s">
        <v>90</v>
      </c>
      <c r="C23" s="1121" t="e">
        <f>#REF!</f>
        <v>#REF!</v>
      </c>
      <c r="D23" s="1121" t="e">
        <f>#REF!</f>
        <v>#REF!</v>
      </c>
      <c r="E23" s="574" t="e">
        <f t="shared" ref="E23:E30" si="3">D23/C23%</f>
        <v>#REF!</v>
      </c>
    </row>
    <row r="24" spans="1:5" ht="18.75" customHeight="1">
      <c r="A24" s="579">
        <v>2</v>
      </c>
      <c r="B24" s="573" t="s">
        <v>91</v>
      </c>
      <c r="C24" s="1121" t="e">
        <f>#REF!</f>
        <v>#REF!</v>
      </c>
      <c r="D24" s="1121" t="e">
        <f>#REF!</f>
        <v>#REF!</v>
      </c>
      <c r="E24" s="574" t="e">
        <f t="shared" si="3"/>
        <v>#REF!</v>
      </c>
    </row>
    <row r="25" spans="1:5" ht="34.5" customHeight="1">
      <c r="A25" s="576" t="s">
        <v>8</v>
      </c>
      <c r="B25" s="577" t="s">
        <v>16</v>
      </c>
      <c r="C25" s="1123" t="e">
        <f>#REF!</f>
        <v>#REF!</v>
      </c>
      <c r="D25" s="1123" t="e">
        <f>#REF!</f>
        <v>#REF!</v>
      </c>
      <c r="E25" s="578" t="e">
        <f t="shared" si="3"/>
        <v>#REF!</v>
      </c>
    </row>
    <row r="26" spans="1:5" ht="20.25" customHeight="1">
      <c r="A26" s="576" t="s">
        <v>9</v>
      </c>
      <c r="B26" s="577" t="s">
        <v>47</v>
      </c>
      <c r="C26" s="1123" t="e">
        <f>#REF!</f>
        <v>#REF!</v>
      </c>
      <c r="D26" s="1123" t="e">
        <f>#REF!</f>
        <v>#REF!</v>
      </c>
      <c r="E26" s="578" t="e">
        <f t="shared" si="3"/>
        <v>#REF!</v>
      </c>
    </row>
    <row r="27" spans="1:5" ht="21" customHeight="1">
      <c r="A27" s="576" t="s">
        <v>23</v>
      </c>
      <c r="B27" s="577" t="s">
        <v>48</v>
      </c>
      <c r="C27" s="1123" t="e">
        <f>#REF!</f>
        <v>#REF!</v>
      </c>
      <c r="D27" s="1123" t="e">
        <f>#REF!</f>
        <v>#REF!</v>
      </c>
      <c r="E27" s="580" t="e">
        <f t="shared" si="3"/>
        <v>#REF!</v>
      </c>
    </row>
    <row r="28" spans="1:5" ht="18" customHeight="1">
      <c r="A28" s="576" t="s">
        <v>96</v>
      </c>
      <c r="B28" s="577" t="s">
        <v>17</v>
      </c>
      <c r="C28" s="580">
        <v>0</v>
      </c>
      <c r="D28" s="580">
        <v>0</v>
      </c>
      <c r="E28" s="581"/>
    </row>
    <row r="29" spans="1:5" ht="20.25" customHeight="1">
      <c r="A29" s="582" t="s">
        <v>139</v>
      </c>
      <c r="B29" s="583" t="s">
        <v>229</v>
      </c>
      <c r="C29" s="1124" t="e">
        <f>#REF!</f>
        <v>#REF!</v>
      </c>
      <c r="D29" s="1125" t="e">
        <f>#REF!</f>
        <v>#REF!</v>
      </c>
      <c r="E29" s="584"/>
    </row>
    <row r="30" spans="1:5" ht="20.25" customHeight="1">
      <c r="A30" s="1108" t="s">
        <v>3</v>
      </c>
      <c r="B30" s="564" t="s">
        <v>97</v>
      </c>
      <c r="C30" s="562" t="e">
        <f>C31+C47</f>
        <v>#REF!</v>
      </c>
      <c r="D30" s="562" t="e">
        <f>D31+D47</f>
        <v>#REF!</v>
      </c>
      <c r="E30" s="563" t="e">
        <f t="shared" si="3"/>
        <v>#REF!</v>
      </c>
    </row>
    <row r="31" spans="1:5" ht="21.75" customHeight="1">
      <c r="A31" s="566" t="s">
        <v>11</v>
      </c>
      <c r="B31" s="567" t="s">
        <v>50</v>
      </c>
      <c r="C31" s="1126" t="e">
        <f>C32+C35+C38+C41+C44</f>
        <v>#REF!</v>
      </c>
      <c r="D31" s="1126" t="e">
        <f>D32+D35+D38+D41+D44</f>
        <v>#REF!</v>
      </c>
      <c r="E31" s="585" t="e">
        <f t="shared" ref="E31:E71" si="4">D31/C31%</f>
        <v>#REF!</v>
      </c>
    </row>
    <row r="32" spans="1:5" ht="19.5" customHeight="1">
      <c r="A32" s="569">
        <v>1</v>
      </c>
      <c r="B32" s="1127" t="s">
        <v>1419</v>
      </c>
      <c r="C32" s="1128" t="e">
        <f>C33+C34</f>
        <v>#REF!</v>
      </c>
      <c r="D32" s="1128" t="e">
        <f>D33+D34</f>
        <v>#REF!</v>
      </c>
      <c r="E32" s="571" t="e">
        <f t="shared" si="4"/>
        <v>#REF!</v>
      </c>
    </row>
    <row r="33" spans="1:5" ht="15.75">
      <c r="A33" s="579" t="s">
        <v>30</v>
      </c>
      <c r="B33" s="1129" t="s">
        <v>1420</v>
      </c>
      <c r="C33" s="1121" t="e">
        <f>#REF!</f>
        <v>#REF!</v>
      </c>
      <c r="D33" s="1121" t="e">
        <f>#REF!</f>
        <v>#REF!</v>
      </c>
      <c r="E33" s="574" t="e">
        <f t="shared" si="4"/>
        <v>#REF!</v>
      </c>
    </row>
    <row r="34" spans="1:5" ht="15.75">
      <c r="A34" s="579" t="s">
        <v>31</v>
      </c>
      <c r="B34" s="573" t="s">
        <v>1421</v>
      </c>
      <c r="C34" s="1121" t="e">
        <f>#REF!</f>
        <v>#REF!</v>
      </c>
      <c r="D34" s="1121" t="e">
        <f>#REF!</f>
        <v>#REF!</v>
      </c>
      <c r="E34" s="574" t="e">
        <f t="shared" si="4"/>
        <v>#REF!</v>
      </c>
    </row>
    <row r="35" spans="1:5" ht="20.25" customHeight="1">
      <c r="A35" s="569">
        <v>2</v>
      </c>
      <c r="B35" s="570" t="s">
        <v>1273</v>
      </c>
      <c r="C35" s="1128" t="e">
        <f>C36+C37</f>
        <v>#REF!</v>
      </c>
      <c r="D35" s="1128" t="e">
        <f>D36+D37</f>
        <v>#REF!</v>
      </c>
      <c r="E35" s="571" t="e">
        <f t="shared" si="4"/>
        <v>#REF!</v>
      </c>
    </row>
    <row r="36" spans="1:5" ht="15.75">
      <c r="A36" s="579" t="s">
        <v>30</v>
      </c>
      <c r="B36" s="1129" t="s">
        <v>1420</v>
      </c>
      <c r="C36" s="1121" t="e">
        <f>#REF!</f>
        <v>#REF!</v>
      </c>
      <c r="D36" s="1121" t="e">
        <f>#REF!</f>
        <v>#REF!</v>
      </c>
      <c r="E36" s="574" t="e">
        <f t="shared" si="4"/>
        <v>#REF!</v>
      </c>
    </row>
    <row r="37" spans="1:5" ht="15.75">
      <c r="A37" s="579" t="s">
        <v>31</v>
      </c>
      <c r="B37" s="573" t="s">
        <v>1421</v>
      </c>
      <c r="C37" s="1121" t="e">
        <f>#REF!</f>
        <v>#REF!</v>
      </c>
      <c r="D37" s="1121" t="e">
        <f>#REF!</f>
        <v>#REF!</v>
      </c>
      <c r="E37" s="574" t="e">
        <f t="shared" si="4"/>
        <v>#REF!</v>
      </c>
    </row>
    <row r="38" spans="1:5" ht="32.25" customHeight="1">
      <c r="A38" s="569">
        <v>3</v>
      </c>
      <c r="B38" s="570" t="s">
        <v>1459</v>
      </c>
      <c r="C38" s="1130" t="e">
        <f>C39+C40</f>
        <v>#REF!</v>
      </c>
      <c r="D38" s="1128" t="e">
        <f>D39+D40</f>
        <v>#REF!</v>
      </c>
      <c r="E38" s="581"/>
    </row>
    <row r="39" spans="1:5" ht="15.75">
      <c r="A39" s="579" t="s">
        <v>30</v>
      </c>
      <c r="B39" s="1129" t="s">
        <v>1420</v>
      </c>
      <c r="C39" s="1121" t="e">
        <f>#REF!</f>
        <v>#REF!</v>
      </c>
      <c r="D39" s="1121" t="e">
        <f>#REF!</f>
        <v>#REF!</v>
      </c>
      <c r="E39" s="581"/>
    </row>
    <row r="40" spans="1:5" ht="15.75">
      <c r="A40" s="579" t="s">
        <v>31</v>
      </c>
      <c r="B40" s="573" t="s">
        <v>1421</v>
      </c>
      <c r="C40" s="1121" t="e">
        <f>#REF!</f>
        <v>#REF!</v>
      </c>
      <c r="D40" s="1121" t="e">
        <f>#REF!</f>
        <v>#REF!</v>
      </c>
      <c r="E40" s="581"/>
    </row>
    <row r="41" spans="1:5" ht="17.25" customHeight="1">
      <c r="A41" s="569">
        <v>4</v>
      </c>
      <c r="B41" s="570" t="s">
        <v>1458</v>
      </c>
      <c r="C41" s="1130" t="e">
        <f>C42+C43</f>
        <v>#REF!</v>
      </c>
      <c r="D41" s="1128" t="e">
        <f>D42+D43</f>
        <v>#REF!</v>
      </c>
      <c r="E41" s="581"/>
    </row>
    <row r="42" spans="1:5" ht="15.75">
      <c r="A42" s="579" t="s">
        <v>30</v>
      </c>
      <c r="B42" s="1129" t="s">
        <v>1420</v>
      </c>
      <c r="C42" s="1121" t="e">
        <f>#REF!</f>
        <v>#REF!</v>
      </c>
      <c r="D42" s="1121" t="e">
        <f>#REF!</f>
        <v>#REF!</v>
      </c>
      <c r="E42" s="581"/>
    </row>
    <row r="43" spans="1:5" ht="15.75">
      <c r="A43" s="579" t="s">
        <v>31</v>
      </c>
      <c r="B43" s="573" t="s">
        <v>1421</v>
      </c>
      <c r="C43" s="1121" t="e">
        <f>#REF!</f>
        <v>#REF!</v>
      </c>
      <c r="D43" s="1121" t="e">
        <f>#REF!</f>
        <v>#REF!</v>
      </c>
      <c r="E43" s="581"/>
    </row>
    <row r="44" spans="1:5" ht="18.75" customHeight="1">
      <c r="A44" s="569">
        <v>5</v>
      </c>
      <c r="B44" s="570" t="s">
        <v>232</v>
      </c>
      <c r="C44" s="1120" t="e">
        <f>C45+C46</f>
        <v>#REF!</v>
      </c>
      <c r="D44" s="1119" t="e">
        <f>D45+D46</f>
        <v>#REF!</v>
      </c>
      <c r="E44" s="581"/>
    </row>
    <row r="45" spans="1:5" ht="15.75">
      <c r="A45" s="579" t="s">
        <v>30</v>
      </c>
      <c r="B45" s="1129" t="s">
        <v>1420</v>
      </c>
      <c r="C45" s="1120" t="e">
        <f>#REF!</f>
        <v>#REF!</v>
      </c>
      <c r="D45" s="1121" t="e">
        <f>#REF!</f>
        <v>#REF!</v>
      </c>
      <c r="E45" s="581"/>
    </row>
    <row r="46" spans="1:5" ht="15.75">
      <c r="A46" s="579" t="s">
        <v>31</v>
      </c>
      <c r="B46" s="573" t="s">
        <v>1421</v>
      </c>
      <c r="C46" s="1120" t="e">
        <f>#REF!</f>
        <v>#REF!</v>
      </c>
      <c r="D46" s="1121" t="e">
        <f>#REF!</f>
        <v>#REF!</v>
      </c>
      <c r="E46" s="581"/>
    </row>
    <row r="47" spans="1:5" ht="18.75" customHeight="1">
      <c r="A47" s="576" t="s">
        <v>7</v>
      </c>
      <c r="B47" s="577" t="s">
        <v>51</v>
      </c>
      <c r="C47" s="1131" t="e">
        <f>C48+C66</f>
        <v>#REF!</v>
      </c>
      <c r="D47" s="1131" t="e">
        <f>D48+D66</f>
        <v>#REF!</v>
      </c>
      <c r="E47" s="578" t="e">
        <f t="shared" si="4"/>
        <v>#REF!</v>
      </c>
    </row>
    <row r="48" spans="1:5" ht="15.75">
      <c r="A48" s="569">
        <v>1</v>
      </c>
      <c r="B48" s="570" t="s">
        <v>1420</v>
      </c>
      <c r="C48" s="1128" t="e">
        <f>C49+C57+C58+C59+C60+C61+C62+C63+C64+C65</f>
        <v>#REF!</v>
      </c>
      <c r="D48" s="1128" t="e">
        <f>D49+D57+D58+D59+D60+D61+D62+D63+D64+D65</f>
        <v>#REF!</v>
      </c>
      <c r="E48" s="571" t="e">
        <f t="shared" si="4"/>
        <v>#REF!</v>
      </c>
    </row>
    <row r="49" spans="1:5" ht="15.75">
      <c r="A49" s="572" t="s">
        <v>308</v>
      </c>
      <c r="B49" s="756" t="s">
        <v>1423</v>
      </c>
      <c r="C49" s="1130" t="e">
        <f>SUM(C50:C56)</f>
        <v>#REF!</v>
      </c>
      <c r="D49" s="1130" t="e">
        <f>SUM(D50:D56)</f>
        <v>#REF!</v>
      </c>
      <c r="E49" s="581" t="e">
        <f t="shared" si="4"/>
        <v>#REF!</v>
      </c>
    </row>
    <row r="50" spans="1:5" ht="15.75">
      <c r="A50" s="579" t="s">
        <v>287</v>
      </c>
      <c r="B50" s="1129" t="s">
        <v>1422</v>
      </c>
      <c r="C50" s="1121" t="e">
        <f>#REF!</f>
        <v>#REF!</v>
      </c>
      <c r="D50" s="1121" t="e">
        <f>#REF!</f>
        <v>#REF!</v>
      </c>
      <c r="E50" s="574" t="e">
        <f t="shared" si="4"/>
        <v>#REF!</v>
      </c>
    </row>
    <row r="51" spans="1:5" ht="31.5">
      <c r="A51" s="579" t="s">
        <v>287</v>
      </c>
      <c r="B51" s="1129" t="s">
        <v>1424</v>
      </c>
      <c r="C51" s="1121" t="e">
        <f>#REF!</f>
        <v>#REF!</v>
      </c>
      <c r="D51" s="1121" t="e">
        <f>#REF!</f>
        <v>#REF!</v>
      </c>
      <c r="E51" s="574" t="e">
        <f t="shared" si="4"/>
        <v>#REF!</v>
      </c>
    </row>
    <row r="52" spans="1:5" ht="15.75">
      <c r="A52" s="579" t="s">
        <v>287</v>
      </c>
      <c r="B52" s="1132" t="s">
        <v>1425</v>
      </c>
      <c r="C52" s="1121" t="e">
        <f>#REF!</f>
        <v>#REF!</v>
      </c>
      <c r="D52" s="1121" t="e">
        <f>#REF!</f>
        <v>#REF!</v>
      </c>
      <c r="E52" s="574" t="e">
        <f t="shared" si="4"/>
        <v>#REF!</v>
      </c>
    </row>
    <row r="53" spans="1:5" ht="15.75">
      <c r="A53" s="579" t="s">
        <v>287</v>
      </c>
      <c r="B53" s="1132" t="s">
        <v>1426</v>
      </c>
      <c r="C53" s="1121" t="e">
        <f>#REF!</f>
        <v>#REF!</v>
      </c>
      <c r="D53" s="1121" t="e">
        <f>#REF!</f>
        <v>#REF!</v>
      </c>
      <c r="E53" s="574" t="e">
        <f t="shared" si="4"/>
        <v>#REF!</v>
      </c>
    </row>
    <row r="54" spans="1:5" ht="31.5">
      <c r="A54" s="579" t="s">
        <v>287</v>
      </c>
      <c r="B54" s="1132" t="s">
        <v>1427</v>
      </c>
      <c r="C54" s="1121" t="e">
        <f>#REF!</f>
        <v>#REF!</v>
      </c>
      <c r="D54" s="1121" t="e">
        <f>#REF!</f>
        <v>#REF!</v>
      </c>
      <c r="E54" s="574" t="e">
        <f t="shared" si="4"/>
        <v>#REF!</v>
      </c>
    </row>
    <row r="55" spans="1:5" ht="15.75">
      <c r="A55" s="579" t="s">
        <v>287</v>
      </c>
      <c r="B55" s="1132" t="s">
        <v>1428</v>
      </c>
      <c r="C55" s="1121" t="e">
        <f>#REF!</f>
        <v>#REF!</v>
      </c>
      <c r="D55" s="1121" t="e">
        <f>#REF!</f>
        <v>#REF!</v>
      </c>
      <c r="E55" s="574" t="e">
        <f t="shared" si="4"/>
        <v>#REF!</v>
      </c>
    </row>
    <row r="56" spans="1:5" ht="15.75">
      <c r="A56" s="579" t="s">
        <v>287</v>
      </c>
      <c r="B56" s="1132" t="s">
        <v>1429</v>
      </c>
      <c r="C56" s="1121" t="e">
        <f>#REF!</f>
        <v>#REF!</v>
      </c>
      <c r="D56" s="1121" t="e">
        <f>#REF!</f>
        <v>#REF!</v>
      </c>
      <c r="E56" s="574" t="e">
        <f t="shared" si="4"/>
        <v>#REF!</v>
      </c>
    </row>
    <row r="57" spans="1:5" ht="15.75">
      <c r="A57" s="572" t="s">
        <v>305</v>
      </c>
      <c r="B57" s="1133" t="s">
        <v>1430</v>
      </c>
      <c r="C57" s="1120" t="e">
        <f>#REF!</f>
        <v>#REF!</v>
      </c>
      <c r="D57" s="1134" t="e">
        <f>#REF!</f>
        <v>#REF!</v>
      </c>
      <c r="E57" s="581" t="e">
        <f t="shared" si="4"/>
        <v>#REF!</v>
      </c>
    </row>
    <row r="58" spans="1:5" ht="15.75">
      <c r="A58" s="572" t="s">
        <v>300</v>
      </c>
      <c r="B58" s="756" t="s">
        <v>1431</v>
      </c>
      <c r="C58" s="1120" t="e">
        <f>#REF!</f>
        <v>#REF!</v>
      </c>
      <c r="D58" s="1120" t="e">
        <f>#REF!</f>
        <v>#REF!</v>
      </c>
      <c r="E58" s="581"/>
    </row>
    <row r="59" spans="1:5" ht="15.75">
      <c r="A59" s="572" t="s">
        <v>1432</v>
      </c>
      <c r="B59" s="756" t="s">
        <v>1435</v>
      </c>
      <c r="C59" s="1120" t="e">
        <f>#REF!</f>
        <v>#REF!</v>
      </c>
      <c r="D59" s="1120" t="e">
        <f>#REF!</f>
        <v>#REF!</v>
      </c>
      <c r="E59" s="581"/>
    </row>
    <row r="60" spans="1:5" ht="15.75">
      <c r="A60" s="572" t="s">
        <v>1433</v>
      </c>
      <c r="B60" s="756" t="s">
        <v>1437</v>
      </c>
      <c r="C60" s="1120" t="e">
        <f>#REF!</f>
        <v>#REF!</v>
      </c>
      <c r="D60" s="1120" t="e">
        <f>#REF!</f>
        <v>#REF!</v>
      </c>
      <c r="E60" s="581"/>
    </row>
    <row r="61" spans="1:5" ht="15.75">
      <c r="A61" s="572" t="s">
        <v>1434</v>
      </c>
      <c r="B61" s="1135" t="s">
        <v>1486</v>
      </c>
      <c r="C61" s="1120" t="e">
        <f>#REF!</f>
        <v>#REF!</v>
      </c>
      <c r="D61" s="1120" t="e">
        <f>#REF!</f>
        <v>#REF!</v>
      </c>
      <c r="E61" s="581"/>
    </row>
    <row r="62" spans="1:5" ht="15.75">
      <c r="A62" s="572" t="s">
        <v>1436</v>
      </c>
      <c r="B62" s="756" t="s">
        <v>1477</v>
      </c>
      <c r="C62" s="1120" t="e">
        <f>#REF!</f>
        <v>#REF!</v>
      </c>
      <c r="D62" s="1120" t="e">
        <f>#REF!</f>
        <v>#REF!</v>
      </c>
      <c r="E62" s="581"/>
    </row>
    <row r="63" spans="1:5" ht="15.75">
      <c r="A63" s="572" t="s">
        <v>1479</v>
      </c>
      <c r="B63" s="756" t="s">
        <v>1480</v>
      </c>
      <c r="C63" s="1120" t="e">
        <f>#REF!</f>
        <v>#REF!</v>
      </c>
      <c r="D63" s="1120" t="e">
        <f>#REF!</f>
        <v>#REF!</v>
      </c>
      <c r="E63" s="581"/>
    </row>
    <row r="64" spans="1:5" ht="15.75">
      <c r="A64" s="572" t="s">
        <v>1481</v>
      </c>
      <c r="B64" s="756" t="s">
        <v>1482</v>
      </c>
      <c r="C64" s="1120" t="e">
        <f>#REF!</f>
        <v>#REF!</v>
      </c>
      <c r="D64" s="1120" t="e">
        <f>#REF!</f>
        <v>#REF!</v>
      </c>
      <c r="E64" s="581"/>
    </row>
    <row r="65" spans="1:5" ht="15.75">
      <c r="A65" s="572" t="s">
        <v>1483</v>
      </c>
      <c r="B65" s="756" t="s">
        <v>1484</v>
      </c>
      <c r="C65" s="1120" t="e">
        <f>#REF!</f>
        <v>#REF!</v>
      </c>
      <c r="D65" s="1120" t="e">
        <f>#REF!</f>
        <v>#REF!</v>
      </c>
      <c r="E65" s="581"/>
    </row>
    <row r="66" spans="1:5" ht="21" customHeight="1">
      <c r="A66" s="569">
        <v>2</v>
      </c>
      <c r="B66" s="570" t="s">
        <v>1421</v>
      </c>
      <c r="C66" s="1119" t="e">
        <f>C67+C69</f>
        <v>#REF!</v>
      </c>
      <c r="D66" s="1119" t="e">
        <f>D67+D69</f>
        <v>#REF!</v>
      </c>
      <c r="E66" s="571" t="e">
        <f t="shared" si="4"/>
        <v>#REF!</v>
      </c>
    </row>
    <row r="67" spans="1:5" ht="21" customHeight="1">
      <c r="A67" s="572" t="s">
        <v>294</v>
      </c>
      <c r="B67" s="756" t="s">
        <v>149</v>
      </c>
      <c r="C67" s="1120" t="e">
        <f>C68</f>
        <v>#REF!</v>
      </c>
      <c r="D67" s="1120" t="e">
        <f>D68</f>
        <v>#REF!</v>
      </c>
      <c r="E67" s="581" t="e">
        <f t="shared" si="4"/>
        <v>#REF!</v>
      </c>
    </row>
    <row r="68" spans="1:5" ht="31.5" customHeight="1">
      <c r="A68" s="579" t="s">
        <v>287</v>
      </c>
      <c r="B68" s="573" t="s">
        <v>1438</v>
      </c>
      <c r="C68" s="1121" t="e">
        <f>#REF!</f>
        <v>#REF!</v>
      </c>
      <c r="D68" s="1121" t="e">
        <f>#REF!</f>
        <v>#REF!</v>
      </c>
      <c r="E68" s="574" t="e">
        <f t="shared" si="4"/>
        <v>#REF!</v>
      </c>
    </row>
    <row r="69" spans="1:5" ht="23.25" customHeight="1">
      <c r="A69" s="572" t="s">
        <v>1439</v>
      </c>
      <c r="B69" s="756" t="s">
        <v>29</v>
      </c>
      <c r="C69" s="1120" t="e">
        <f>SUM(C70:C113)</f>
        <v>#REF!</v>
      </c>
      <c r="D69" s="1120" t="e">
        <f>SUM(D70:D113)</f>
        <v>#REF!</v>
      </c>
      <c r="E69" s="581" t="e">
        <f t="shared" si="4"/>
        <v>#REF!</v>
      </c>
    </row>
    <row r="70" spans="1:5" ht="31.5">
      <c r="A70" s="579" t="s">
        <v>287</v>
      </c>
      <c r="B70" s="573" t="s">
        <v>1440</v>
      </c>
      <c r="C70" s="1121" t="e">
        <f>#REF!</f>
        <v>#REF!</v>
      </c>
      <c r="D70" s="1121" t="e">
        <f>#REF!</f>
        <v>#REF!</v>
      </c>
      <c r="E70" s="574" t="e">
        <f t="shared" si="4"/>
        <v>#REF!</v>
      </c>
    </row>
    <row r="71" spans="1:5" ht="31.5">
      <c r="A71" s="579" t="s">
        <v>287</v>
      </c>
      <c r="B71" s="573" t="s">
        <v>1441</v>
      </c>
      <c r="C71" s="1121" t="e">
        <f>#REF!</f>
        <v>#REF!</v>
      </c>
      <c r="D71" s="1121" t="e">
        <f>#REF!</f>
        <v>#REF!</v>
      </c>
      <c r="E71" s="574" t="e">
        <f t="shared" si="4"/>
        <v>#REF!</v>
      </c>
    </row>
    <row r="72" spans="1:5" ht="46.5" customHeight="1">
      <c r="A72" s="579" t="s">
        <v>287</v>
      </c>
      <c r="B72" s="1129" t="s">
        <v>1442</v>
      </c>
      <c r="C72" s="1121">
        <v>0</v>
      </c>
      <c r="D72" s="1121" t="e">
        <f>#REF!</f>
        <v>#REF!</v>
      </c>
      <c r="E72" s="586"/>
    </row>
    <row r="73" spans="1:5" ht="32.25" customHeight="1">
      <c r="A73" s="579" t="s">
        <v>287</v>
      </c>
      <c r="B73" s="1129" t="s">
        <v>1517</v>
      </c>
      <c r="C73" s="1121">
        <v>0</v>
      </c>
      <c r="D73" s="1121" t="e">
        <f>#REF!</f>
        <v>#REF!</v>
      </c>
      <c r="E73" s="392"/>
    </row>
    <row r="74" spans="1:5" ht="32.25" customHeight="1">
      <c r="A74" s="579" t="s">
        <v>287</v>
      </c>
      <c r="B74" s="1129" t="s">
        <v>1443</v>
      </c>
      <c r="C74" s="1121">
        <v>0</v>
      </c>
      <c r="D74" s="1121" t="e">
        <f>#REF!</f>
        <v>#REF!</v>
      </c>
      <c r="E74" s="392"/>
    </row>
    <row r="75" spans="1:5" ht="33" customHeight="1">
      <c r="A75" s="579" t="s">
        <v>287</v>
      </c>
      <c r="B75" s="1129" t="s">
        <v>1444</v>
      </c>
      <c r="C75" s="1121">
        <v>0</v>
      </c>
      <c r="D75" s="1121" t="e">
        <f>#REF!</f>
        <v>#REF!</v>
      </c>
      <c r="E75" s="392"/>
    </row>
    <row r="76" spans="1:5" ht="32.25" customHeight="1">
      <c r="A76" s="579" t="s">
        <v>287</v>
      </c>
      <c r="B76" s="1129" t="s">
        <v>1445</v>
      </c>
      <c r="C76" s="1121">
        <v>0</v>
      </c>
      <c r="D76" s="1121" t="e">
        <f>#REF!</f>
        <v>#REF!</v>
      </c>
      <c r="E76" s="392"/>
    </row>
    <row r="77" spans="1:5" ht="18.75" customHeight="1">
      <c r="A77" s="579" t="s">
        <v>287</v>
      </c>
      <c r="B77" s="1129" t="s">
        <v>1485</v>
      </c>
      <c r="C77" s="1121">
        <v>0</v>
      </c>
      <c r="D77" s="1121" t="e">
        <f>#REF!</f>
        <v>#REF!</v>
      </c>
      <c r="E77" s="392"/>
    </row>
    <row r="78" spans="1:5" ht="31.5">
      <c r="A78" s="579" t="s">
        <v>287</v>
      </c>
      <c r="B78" s="1129" t="s">
        <v>1446</v>
      </c>
      <c r="C78" s="1121">
        <v>0</v>
      </c>
      <c r="D78" s="1121" t="e">
        <f>#REF!</f>
        <v>#REF!</v>
      </c>
      <c r="E78" s="392"/>
    </row>
    <row r="79" spans="1:5" ht="19.5" customHeight="1">
      <c r="A79" s="579" t="s">
        <v>287</v>
      </c>
      <c r="B79" s="1129" t="s">
        <v>1460</v>
      </c>
      <c r="C79" s="1121">
        <v>0</v>
      </c>
      <c r="D79" s="1121" t="e">
        <f>#REF!</f>
        <v>#REF!</v>
      </c>
      <c r="E79" s="392"/>
    </row>
    <row r="80" spans="1:5" ht="18" customHeight="1">
      <c r="A80" s="579" t="s">
        <v>287</v>
      </c>
      <c r="B80" s="1129" t="s">
        <v>1516</v>
      </c>
      <c r="C80" s="1121">
        <v>0</v>
      </c>
      <c r="D80" s="1121" t="e">
        <f>#REF!</f>
        <v>#REF!</v>
      </c>
      <c r="E80" s="392"/>
    </row>
    <row r="81" spans="1:5" ht="19.5" customHeight="1">
      <c r="A81" s="579" t="s">
        <v>287</v>
      </c>
      <c r="B81" s="1129" t="s">
        <v>1447</v>
      </c>
      <c r="C81" s="1121">
        <v>0</v>
      </c>
      <c r="D81" s="1121" t="e">
        <f>#REF!</f>
        <v>#REF!</v>
      </c>
      <c r="E81" s="392"/>
    </row>
    <row r="82" spans="1:5" ht="20.25" customHeight="1">
      <c r="A82" s="579" t="s">
        <v>287</v>
      </c>
      <c r="B82" s="1129" t="s">
        <v>1461</v>
      </c>
      <c r="C82" s="1121">
        <v>0</v>
      </c>
      <c r="D82" s="1121" t="e">
        <f>#REF!</f>
        <v>#REF!</v>
      </c>
      <c r="E82" s="392"/>
    </row>
    <row r="83" spans="1:5" ht="31.5">
      <c r="A83" s="579" t="s">
        <v>287</v>
      </c>
      <c r="B83" s="1129" t="s">
        <v>1448</v>
      </c>
      <c r="C83" s="1121">
        <v>0</v>
      </c>
      <c r="D83" s="1121" t="e">
        <f>#REF!</f>
        <v>#REF!</v>
      </c>
      <c r="E83" s="392"/>
    </row>
    <row r="84" spans="1:5" ht="18" customHeight="1">
      <c r="A84" s="579" t="s">
        <v>287</v>
      </c>
      <c r="B84" s="1129" t="s">
        <v>1449</v>
      </c>
      <c r="C84" s="1121">
        <v>0</v>
      </c>
      <c r="D84" s="1121" t="e">
        <f>#REF!</f>
        <v>#REF!</v>
      </c>
      <c r="E84" s="392"/>
    </row>
    <row r="85" spans="1:5" ht="21.75" customHeight="1">
      <c r="A85" s="579" t="s">
        <v>287</v>
      </c>
      <c r="B85" s="1129" t="s">
        <v>1462</v>
      </c>
      <c r="C85" s="1121">
        <v>0</v>
      </c>
      <c r="D85" s="1121" t="e">
        <f>#REF!</f>
        <v>#REF!</v>
      </c>
      <c r="E85" s="392"/>
    </row>
    <row r="86" spans="1:5" ht="31.5">
      <c r="A86" s="579" t="s">
        <v>287</v>
      </c>
      <c r="B86" s="1129" t="s">
        <v>1450</v>
      </c>
      <c r="C86" s="1121">
        <v>0</v>
      </c>
      <c r="D86" s="1121" t="e">
        <f>#REF!</f>
        <v>#REF!</v>
      </c>
      <c r="E86" s="392"/>
    </row>
    <row r="87" spans="1:5" ht="31.5">
      <c r="A87" s="579" t="s">
        <v>287</v>
      </c>
      <c r="B87" s="1129" t="s">
        <v>1451</v>
      </c>
      <c r="C87" s="1121">
        <v>0</v>
      </c>
      <c r="D87" s="1121" t="e">
        <f>#REF!</f>
        <v>#REF!</v>
      </c>
      <c r="E87" s="392"/>
    </row>
    <row r="88" spans="1:5" ht="33.75" customHeight="1">
      <c r="A88" s="579" t="s">
        <v>287</v>
      </c>
      <c r="B88" s="1129" t="s">
        <v>1452</v>
      </c>
      <c r="C88" s="1121">
        <v>0</v>
      </c>
      <c r="D88" s="1121" t="e">
        <f>#REF!</f>
        <v>#REF!</v>
      </c>
      <c r="E88" s="392"/>
    </row>
    <row r="89" spans="1:5" ht="19.5" customHeight="1">
      <c r="A89" s="579" t="s">
        <v>287</v>
      </c>
      <c r="B89" s="1129" t="s">
        <v>1453</v>
      </c>
      <c r="C89" s="1121">
        <v>0</v>
      </c>
      <c r="D89" s="1121" t="e">
        <f>#REF!</f>
        <v>#REF!</v>
      </c>
      <c r="E89" s="392"/>
    </row>
    <row r="90" spans="1:5" ht="33.75" customHeight="1">
      <c r="A90" s="579" t="s">
        <v>287</v>
      </c>
      <c r="B90" s="1129" t="s">
        <v>1455</v>
      </c>
      <c r="C90" s="1121">
        <v>0</v>
      </c>
      <c r="D90" s="1121" t="e">
        <f>#REF!</f>
        <v>#REF!</v>
      </c>
      <c r="E90" s="392"/>
    </row>
    <row r="91" spans="1:5" ht="18.75" customHeight="1">
      <c r="A91" s="579" t="s">
        <v>287</v>
      </c>
      <c r="B91" s="1129" t="s">
        <v>1454</v>
      </c>
      <c r="C91" s="1121">
        <v>0</v>
      </c>
      <c r="D91" s="1121" t="e">
        <f>#REF!</f>
        <v>#REF!</v>
      </c>
      <c r="E91" s="392"/>
    </row>
    <row r="92" spans="1:5" ht="18.75" customHeight="1">
      <c r="A92" s="579" t="s">
        <v>287</v>
      </c>
      <c r="B92" s="573" t="s">
        <v>1456</v>
      </c>
      <c r="C92" s="1121">
        <v>0</v>
      </c>
      <c r="D92" s="1121" t="e">
        <f>#REF!</f>
        <v>#REF!</v>
      </c>
      <c r="E92" s="392"/>
    </row>
    <row r="93" spans="1:5" ht="18" customHeight="1">
      <c r="A93" s="579" t="s">
        <v>287</v>
      </c>
      <c r="B93" s="1129" t="s">
        <v>1457</v>
      </c>
      <c r="C93" s="1121">
        <v>0</v>
      </c>
      <c r="D93" s="1121" t="e">
        <f>#REF!</f>
        <v>#REF!</v>
      </c>
      <c r="E93" s="392"/>
    </row>
    <row r="94" spans="1:5" ht="33.75" customHeight="1">
      <c r="A94" s="579" t="s">
        <v>287</v>
      </c>
      <c r="B94" s="573" t="s">
        <v>1463</v>
      </c>
      <c r="C94" s="1121">
        <v>0</v>
      </c>
      <c r="D94" s="1121" t="e">
        <f>#REF!</f>
        <v>#REF!</v>
      </c>
      <c r="E94" s="392"/>
    </row>
    <row r="95" spans="1:5" ht="33.75" customHeight="1">
      <c r="A95" s="579" t="s">
        <v>287</v>
      </c>
      <c r="B95" s="573" t="s">
        <v>1464</v>
      </c>
      <c r="C95" s="1121">
        <v>0</v>
      </c>
      <c r="D95" s="1121" t="e">
        <f>#REF!</f>
        <v>#REF!</v>
      </c>
      <c r="E95" s="392"/>
    </row>
    <row r="96" spans="1:5" ht="35.25" customHeight="1">
      <c r="A96" s="579" t="s">
        <v>287</v>
      </c>
      <c r="B96" s="573" t="s">
        <v>1465</v>
      </c>
      <c r="C96" s="1121">
        <v>0</v>
      </c>
      <c r="D96" s="1121" t="e">
        <f>#REF!</f>
        <v>#REF!</v>
      </c>
      <c r="E96" s="392"/>
    </row>
    <row r="97" spans="1:5" ht="33.75" customHeight="1">
      <c r="A97" s="579" t="s">
        <v>287</v>
      </c>
      <c r="B97" s="573" t="s">
        <v>1466</v>
      </c>
      <c r="C97" s="1121">
        <v>0</v>
      </c>
      <c r="D97" s="1121" t="e">
        <f>#REF!</f>
        <v>#REF!</v>
      </c>
      <c r="E97" s="392"/>
    </row>
    <row r="98" spans="1:5" ht="31.5">
      <c r="A98" s="579" t="s">
        <v>287</v>
      </c>
      <c r="B98" s="1136" t="s">
        <v>1467</v>
      </c>
      <c r="C98" s="1121">
        <v>0</v>
      </c>
      <c r="D98" s="1121" t="e">
        <f>#REF!</f>
        <v>#REF!</v>
      </c>
      <c r="E98" s="392"/>
    </row>
    <row r="99" spans="1:5" ht="31.5">
      <c r="A99" s="579" t="s">
        <v>287</v>
      </c>
      <c r="B99" s="1129" t="s">
        <v>1468</v>
      </c>
      <c r="C99" s="1121">
        <v>0</v>
      </c>
      <c r="D99" s="1121" t="e">
        <f>#REF!</f>
        <v>#REF!</v>
      </c>
      <c r="E99" s="392"/>
    </row>
    <row r="100" spans="1:5" ht="36.75" customHeight="1">
      <c r="A100" s="579" t="s">
        <v>287</v>
      </c>
      <c r="B100" s="573" t="s">
        <v>1475</v>
      </c>
      <c r="C100" s="1121">
        <v>0</v>
      </c>
      <c r="D100" s="1121" t="e">
        <f>#REF!</f>
        <v>#REF!</v>
      </c>
      <c r="E100" s="392"/>
    </row>
    <row r="101" spans="1:5" ht="34.5" customHeight="1">
      <c r="A101" s="579" t="s">
        <v>287</v>
      </c>
      <c r="B101" s="1136" t="s">
        <v>1473</v>
      </c>
      <c r="C101" s="1121">
        <v>0</v>
      </c>
      <c r="D101" s="1121" t="e">
        <f>#REF!</f>
        <v>#REF!</v>
      </c>
      <c r="E101" s="392"/>
    </row>
    <row r="102" spans="1:5" ht="34.5" customHeight="1">
      <c r="A102" s="579" t="s">
        <v>287</v>
      </c>
      <c r="B102" s="1136" t="s">
        <v>1474</v>
      </c>
      <c r="C102" s="1137">
        <v>0</v>
      </c>
      <c r="D102" s="1121" t="e">
        <f>#REF!</f>
        <v>#REF!</v>
      </c>
      <c r="E102" s="392"/>
    </row>
    <row r="103" spans="1:5" ht="21.75" customHeight="1">
      <c r="A103" s="579" t="s">
        <v>287</v>
      </c>
      <c r="B103" s="1136" t="s">
        <v>1469</v>
      </c>
      <c r="C103" s="1137">
        <v>0</v>
      </c>
      <c r="D103" s="1121" t="e">
        <f>#REF!</f>
        <v>#REF!</v>
      </c>
      <c r="E103" s="392"/>
    </row>
    <row r="104" spans="1:5" ht="19.5" customHeight="1">
      <c r="A104" s="579" t="s">
        <v>287</v>
      </c>
      <c r="B104" s="1136" t="s">
        <v>1470</v>
      </c>
      <c r="C104" s="1137">
        <v>0</v>
      </c>
      <c r="D104" s="1121" t="e">
        <f>#REF!</f>
        <v>#REF!</v>
      </c>
      <c r="E104" s="392"/>
    </row>
    <row r="105" spans="1:5" ht="54" customHeight="1">
      <c r="A105" s="579" t="s">
        <v>287</v>
      </c>
      <c r="B105" s="1136" t="s">
        <v>1476</v>
      </c>
      <c r="C105" s="1137">
        <v>0</v>
      </c>
      <c r="D105" s="1121" t="e">
        <f>#REF!</f>
        <v>#REF!</v>
      </c>
      <c r="E105" s="392"/>
    </row>
    <row r="106" spans="1:5" ht="23.25" customHeight="1">
      <c r="A106" s="579" t="s">
        <v>287</v>
      </c>
      <c r="B106" s="1136" t="s">
        <v>1471</v>
      </c>
      <c r="C106" s="1137">
        <v>0</v>
      </c>
      <c r="D106" s="1121" t="e">
        <f>#REF!</f>
        <v>#REF!</v>
      </c>
      <c r="E106" s="392"/>
    </row>
    <row r="107" spans="1:5" ht="24.75" customHeight="1">
      <c r="A107" s="579" t="s">
        <v>287</v>
      </c>
      <c r="B107" s="1136" t="s">
        <v>1472</v>
      </c>
      <c r="C107" s="1137">
        <v>0</v>
      </c>
      <c r="D107" s="1121" t="e">
        <f>#REF!</f>
        <v>#REF!</v>
      </c>
      <c r="E107" s="392"/>
    </row>
    <row r="108" spans="1:5" ht="32.25" customHeight="1">
      <c r="A108" s="579" t="s">
        <v>287</v>
      </c>
      <c r="B108" s="1138" t="s">
        <v>1500</v>
      </c>
      <c r="C108" s="1137">
        <v>0</v>
      </c>
      <c r="D108" s="1121" t="e">
        <f>#REF!</f>
        <v>#REF!</v>
      </c>
      <c r="E108" s="392"/>
    </row>
    <row r="109" spans="1:5" ht="33.75" customHeight="1">
      <c r="A109" s="579" t="s">
        <v>287</v>
      </c>
      <c r="B109" s="1138" t="s">
        <v>1501</v>
      </c>
      <c r="C109" s="1137">
        <v>0</v>
      </c>
      <c r="D109" s="1121" t="e">
        <f>#REF!</f>
        <v>#REF!</v>
      </c>
      <c r="E109" s="392"/>
    </row>
    <row r="110" spans="1:5" ht="21" customHeight="1">
      <c r="A110" s="579" t="s">
        <v>287</v>
      </c>
      <c r="B110" s="1138" t="s">
        <v>1512</v>
      </c>
      <c r="C110" s="1137">
        <v>0</v>
      </c>
      <c r="D110" s="1121" t="e">
        <f>#REF!</f>
        <v>#REF!</v>
      </c>
      <c r="E110" s="392"/>
    </row>
    <row r="111" spans="1:5" ht="23.25" customHeight="1">
      <c r="A111" s="579" t="s">
        <v>287</v>
      </c>
      <c r="B111" s="1138" t="s">
        <v>1513</v>
      </c>
      <c r="C111" s="1137">
        <v>0</v>
      </c>
      <c r="D111" s="1121" t="e">
        <f>#REF!</f>
        <v>#REF!</v>
      </c>
      <c r="E111" s="392"/>
    </row>
    <row r="112" spans="1:5" ht="21.75" customHeight="1">
      <c r="A112" s="579" t="s">
        <v>287</v>
      </c>
      <c r="B112" s="1138" t="s">
        <v>1514</v>
      </c>
      <c r="C112" s="1137">
        <v>0</v>
      </c>
      <c r="D112" s="1121" t="e">
        <f>#REF!</f>
        <v>#REF!</v>
      </c>
      <c r="E112" s="392"/>
    </row>
    <row r="113" spans="1:6" ht="34.5" customHeight="1">
      <c r="A113" s="1139" t="s">
        <v>287</v>
      </c>
      <c r="B113" s="1140" t="s">
        <v>1515</v>
      </c>
      <c r="C113" s="1141">
        <v>0</v>
      </c>
      <c r="D113" s="1142" t="e">
        <f>#REF!</f>
        <v>#REF!</v>
      </c>
      <c r="E113" s="587"/>
    </row>
    <row r="114" spans="1:6" ht="23.25" customHeight="1">
      <c r="A114" s="1108" t="s">
        <v>10</v>
      </c>
      <c r="B114" s="564" t="s">
        <v>99</v>
      </c>
      <c r="C114" s="1143" t="e">
        <f>#REF!</f>
        <v>#REF!</v>
      </c>
      <c r="D114" s="565" t="e">
        <f>#REF!</f>
        <v>#REF!</v>
      </c>
      <c r="E114" s="588"/>
    </row>
    <row r="115" spans="1:6" ht="10.5" customHeight="1">
      <c r="A115" s="589"/>
      <c r="B115" s="590"/>
      <c r="C115" s="591"/>
      <c r="D115" s="591"/>
      <c r="E115" s="591"/>
    </row>
    <row r="116" spans="1:6" ht="15.75" customHeight="1">
      <c r="C116" s="1693" t="s">
        <v>2033</v>
      </c>
      <c r="D116" s="1693"/>
      <c r="E116" s="1693"/>
      <c r="F116" s="592"/>
    </row>
    <row r="117" spans="1:6" ht="15.75" customHeight="1">
      <c r="C117" s="1650" t="s">
        <v>222</v>
      </c>
      <c r="D117" s="1650"/>
      <c r="E117" s="1650"/>
      <c r="F117" s="593"/>
    </row>
    <row r="118" spans="1:6" ht="15.75">
      <c r="C118" s="1650" t="s">
        <v>223</v>
      </c>
      <c r="D118" s="1650"/>
      <c r="E118" s="1650"/>
      <c r="F118" s="593"/>
    </row>
    <row r="119" spans="1:6" ht="15.75" customHeight="1">
      <c r="C119" s="1648" t="s">
        <v>224</v>
      </c>
      <c r="D119" s="1648"/>
      <c r="E119" s="1648"/>
      <c r="F119" s="594"/>
    </row>
  </sheetData>
  <mergeCells count="9">
    <mergeCell ref="C119:E119"/>
    <mergeCell ref="A2:E2"/>
    <mergeCell ref="A3:E3"/>
    <mergeCell ref="A1:B1"/>
    <mergeCell ref="D1:E1"/>
    <mergeCell ref="C116:E116"/>
    <mergeCell ref="C117:E117"/>
    <mergeCell ref="C118:E118"/>
    <mergeCell ref="A4:E4"/>
  </mergeCells>
  <pageMargins left="0.4" right="0.34" top="0.45" bottom="0.56000000000000005" header="0.36" footer="0.31"/>
  <pageSetup paperSize="9" firstPageNumber="6" orientation="portrait" useFirstPageNumber="1" r:id="rId1"/>
  <headerFooter>
    <oddFooter>&amp;C&amp;P</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N105"/>
  <sheetViews>
    <sheetView tabSelected="1" zoomScaleNormal="100" workbookViewId="0">
      <pane xSplit="2" ySplit="7" topLeftCell="C8" activePane="bottomRight" state="frozen"/>
      <selection activeCell="D12" sqref="D12"/>
      <selection pane="topRight" activeCell="D12" sqref="D12"/>
      <selection pane="bottomLeft" activeCell="D12" sqref="D12"/>
      <selection pane="bottomRight" activeCell="M5" sqref="M5"/>
    </sheetView>
  </sheetViews>
  <sheetFormatPr defaultRowHeight="15"/>
  <cols>
    <col min="1" max="1" width="4.42578125" style="524" customWidth="1"/>
    <col min="2" max="2" width="43.42578125" style="1275" customWidth="1"/>
    <col min="3" max="3" width="11.42578125" style="1274" customWidth="1"/>
    <col min="4" max="5" width="10.140625" style="1274" customWidth="1"/>
    <col min="6" max="6" width="11.140625" style="1274" customWidth="1"/>
    <col min="7" max="7" width="10.7109375" style="1274" customWidth="1"/>
    <col min="8" max="8" width="9.85546875" style="1274" customWidth="1"/>
    <col min="9" max="9" width="10.28515625" style="524" customWidth="1"/>
    <col min="10" max="10" width="9.42578125" style="524" customWidth="1"/>
    <col min="11" max="11" width="9.28515625" style="524" customWidth="1"/>
    <col min="12" max="12" width="19.28515625" style="524" customWidth="1"/>
    <col min="13" max="13" width="13.42578125" style="524" customWidth="1"/>
    <col min="14" max="14" width="11.85546875" style="524" customWidth="1"/>
    <col min="15" max="256" width="9.140625" style="524"/>
    <col min="257" max="257" width="4.42578125" style="524" customWidth="1"/>
    <col min="258" max="258" width="43.42578125" style="524" customWidth="1"/>
    <col min="259" max="259" width="11.42578125" style="524" customWidth="1"/>
    <col min="260" max="261" width="10.140625" style="524" customWidth="1"/>
    <col min="262" max="262" width="11.140625" style="524" customWidth="1"/>
    <col min="263" max="263" width="10.7109375" style="524" customWidth="1"/>
    <col min="264" max="264" width="9.85546875" style="524" customWidth="1"/>
    <col min="265" max="265" width="10.28515625" style="524" customWidth="1"/>
    <col min="266" max="266" width="9.42578125" style="524" customWidth="1"/>
    <col min="267" max="267" width="9.28515625" style="524" customWidth="1"/>
    <col min="268" max="268" width="19.28515625" style="524" customWidth="1"/>
    <col min="269" max="269" width="13.42578125" style="524" customWidth="1"/>
    <col min="270" max="270" width="11.85546875" style="524" customWidth="1"/>
    <col min="271" max="512" width="9.140625" style="524"/>
    <col min="513" max="513" width="4.42578125" style="524" customWidth="1"/>
    <col min="514" max="514" width="43.42578125" style="524" customWidth="1"/>
    <col min="515" max="515" width="11.42578125" style="524" customWidth="1"/>
    <col min="516" max="517" width="10.140625" style="524" customWidth="1"/>
    <col min="518" max="518" width="11.140625" style="524" customWidth="1"/>
    <col min="519" max="519" width="10.7109375" style="524" customWidth="1"/>
    <col min="520" max="520" width="9.85546875" style="524" customWidth="1"/>
    <col min="521" max="521" width="10.28515625" style="524" customWidth="1"/>
    <col min="522" max="522" width="9.42578125" style="524" customWidth="1"/>
    <col min="523" max="523" width="9.28515625" style="524" customWidth="1"/>
    <col min="524" max="524" width="19.28515625" style="524" customWidth="1"/>
    <col min="525" max="525" width="13.42578125" style="524" customWidth="1"/>
    <col min="526" max="526" width="11.85546875" style="524" customWidth="1"/>
    <col min="527" max="768" width="9.140625" style="524"/>
    <col min="769" max="769" width="4.42578125" style="524" customWidth="1"/>
    <col min="770" max="770" width="43.42578125" style="524" customWidth="1"/>
    <col min="771" max="771" width="11.42578125" style="524" customWidth="1"/>
    <col min="772" max="773" width="10.140625" style="524" customWidth="1"/>
    <col min="774" max="774" width="11.140625" style="524" customWidth="1"/>
    <col min="775" max="775" width="10.7109375" style="524" customWidth="1"/>
    <col min="776" max="776" width="9.85546875" style="524" customWidth="1"/>
    <col min="777" max="777" width="10.28515625" style="524" customWidth="1"/>
    <col min="778" max="778" width="9.42578125" style="524" customWidth="1"/>
    <col min="779" max="779" width="9.28515625" style="524" customWidth="1"/>
    <col min="780" max="780" width="19.28515625" style="524" customWidth="1"/>
    <col min="781" max="781" width="13.42578125" style="524" customWidth="1"/>
    <col min="782" max="782" width="11.85546875" style="524" customWidth="1"/>
    <col min="783" max="1024" width="9.140625" style="524"/>
    <col min="1025" max="1025" width="4.42578125" style="524" customWidth="1"/>
    <col min="1026" max="1026" width="43.42578125" style="524" customWidth="1"/>
    <col min="1027" max="1027" width="11.42578125" style="524" customWidth="1"/>
    <col min="1028" max="1029" width="10.140625" style="524" customWidth="1"/>
    <col min="1030" max="1030" width="11.140625" style="524" customWidth="1"/>
    <col min="1031" max="1031" width="10.7109375" style="524" customWidth="1"/>
    <col min="1032" max="1032" width="9.85546875" style="524" customWidth="1"/>
    <col min="1033" max="1033" width="10.28515625" style="524" customWidth="1"/>
    <col min="1034" max="1034" width="9.42578125" style="524" customWidth="1"/>
    <col min="1035" max="1035" width="9.28515625" style="524" customWidth="1"/>
    <col min="1036" max="1036" width="19.28515625" style="524" customWidth="1"/>
    <col min="1037" max="1037" width="13.42578125" style="524" customWidth="1"/>
    <col min="1038" max="1038" width="11.85546875" style="524" customWidth="1"/>
    <col min="1039" max="1280" width="9.140625" style="524"/>
    <col min="1281" max="1281" width="4.42578125" style="524" customWidth="1"/>
    <col min="1282" max="1282" width="43.42578125" style="524" customWidth="1"/>
    <col min="1283" max="1283" width="11.42578125" style="524" customWidth="1"/>
    <col min="1284" max="1285" width="10.140625" style="524" customWidth="1"/>
    <col min="1286" max="1286" width="11.140625" style="524" customWidth="1"/>
    <col min="1287" max="1287" width="10.7109375" style="524" customWidth="1"/>
    <col min="1288" max="1288" width="9.85546875" style="524" customWidth="1"/>
    <col min="1289" max="1289" width="10.28515625" style="524" customWidth="1"/>
    <col min="1290" max="1290" width="9.42578125" style="524" customWidth="1"/>
    <col min="1291" max="1291" width="9.28515625" style="524" customWidth="1"/>
    <col min="1292" max="1292" width="19.28515625" style="524" customWidth="1"/>
    <col min="1293" max="1293" width="13.42578125" style="524" customWidth="1"/>
    <col min="1294" max="1294" width="11.85546875" style="524" customWidth="1"/>
    <col min="1295" max="1536" width="9.140625" style="524"/>
    <col min="1537" max="1537" width="4.42578125" style="524" customWidth="1"/>
    <col min="1538" max="1538" width="43.42578125" style="524" customWidth="1"/>
    <col min="1539" max="1539" width="11.42578125" style="524" customWidth="1"/>
    <col min="1540" max="1541" width="10.140625" style="524" customWidth="1"/>
    <col min="1542" max="1542" width="11.140625" style="524" customWidth="1"/>
    <col min="1543" max="1543" width="10.7109375" style="524" customWidth="1"/>
    <col min="1544" max="1544" width="9.85546875" style="524" customWidth="1"/>
    <col min="1545" max="1545" width="10.28515625" style="524" customWidth="1"/>
    <col min="1546" max="1546" width="9.42578125" style="524" customWidth="1"/>
    <col min="1547" max="1547" width="9.28515625" style="524" customWidth="1"/>
    <col min="1548" max="1548" width="19.28515625" style="524" customWidth="1"/>
    <col min="1549" max="1549" width="13.42578125" style="524" customWidth="1"/>
    <col min="1550" max="1550" width="11.85546875" style="524" customWidth="1"/>
    <col min="1551" max="1792" width="9.140625" style="524"/>
    <col min="1793" max="1793" width="4.42578125" style="524" customWidth="1"/>
    <col min="1794" max="1794" width="43.42578125" style="524" customWidth="1"/>
    <col min="1795" max="1795" width="11.42578125" style="524" customWidth="1"/>
    <col min="1796" max="1797" width="10.140625" style="524" customWidth="1"/>
    <col min="1798" max="1798" width="11.140625" style="524" customWidth="1"/>
    <col min="1799" max="1799" width="10.7109375" style="524" customWidth="1"/>
    <col min="1800" max="1800" width="9.85546875" style="524" customWidth="1"/>
    <col min="1801" max="1801" width="10.28515625" style="524" customWidth="1"/>
    <col min="1802" max="1802" width="9.42578125" style="524" customWidth="1"/>
    <col min="1803" max="1803" width="9.28515625" style="524" customWidth="1"/>
    <col min="1804" max="1804" width="19.28515625" style="524" customWidth="1"/>
    <col min="1805" max="1805" width="13.42578125" style="524" customWidth="1"/>
    <col min="1806" max="1806" width="11.85546875" style="524" customWidth="1"/>
    <col min="1807" max="2048" width="9.140625" style="524"/>
    <col min="2049" max="2049" width="4.42578125" style="524" customWidth="1"/>
    <col min="2050" max="2050" width="43.42578125" style="524" customWidth="1"/>
    <col min="2051" max="2051" width="11.42578125" style="524" customWidth="1"/>
    <col min="2052" max="2053" width="10.140625" style="524" customWidth="1"/>
    <col min="2054" max="2054" width="11.140625" style="524" customWidth="1"/>
    <col min="2055" max="2055" width="10.7109375" style="524" customWidth="1"/>
    <col min="2056" max="2056" width="9.85546875" style="524" customWidth="1"/>
    <col min="2057" max="2057" width="10.28515625" style="524" customWidth="1"/>
    <col min="2058" max="2058" width="9.42578125" style="524" customWidth="1"/>
    <col min="2059" max="2059" width="9.28515625" style="524" customWidth="1"/>
    <col min="2060" max="2060" width="19.28515625" style="524" customWidth="1"/>
    <col min="2061" max="2061" width="13.42578125" style="524" customWidth="1"/>
    <col min="2062" max="2062" width="11.85546875" style="524" customWidth="1"/>
    <col min="2063" max="2304" width="9.140625" style="524"/>
    <col min="2305" max="2305" width="4.42578125" style="524" customWidth="1"/>
    <col min="2306" max="2306" width="43.42578125" style="524" customWidth="1"/>
    <col min="2307" max="2307" width="11.42578125" style="524" customWidth="1"/>
    <col min="2308" max="2309" width="10.140625" style="524" customWidth="1"/>
    <col min="2310" max="2310" width="11.140625" style="524" customWidth="1"/>
    <col min="2311" max="2311" width="10.7109375" style="524" customWidth="1"/>
    <col min="2312" max="2312" width="9.85546875" style="524" customWidth="1"/>
    <col min="2313" max="2313" width="10.28515625" style="524" customWidth="1"/>
    <col min="2314" max="2314" width="9.42578125" style="524" customWidth="1"/>
    <col min="2315" max="2315" width="9.28515625" style="524" customWidth="1"/>
    <col min="2316" max="2316" width="19.28515625" style="524" customWidth="1"/>
    <col min="2317" max="2317" width="13.42578125" style="524" customWidth="1"/>
    <col min="2318" max="2318" width="11.85546875" style="524" customWidth="1"/>
    <col min="2319" max="2560" width="9.140625" style="524"/>
    <col min="2561" max="2561" width="4.42578125" style="524" customWidth="1"/>
    <col min="2562" max="2562" width="43.42578125" style="524" customWidth="1"/>
    <col min="2563" max="2563" width="11.42578125" style="524" customWidth="1"/>
    <col min="2564" max="2565" width="10.140625" style="524" customWidth="1"/>
    <col min="2566" max="2566" width="11.140625" style="524" customWidth="1"/>
    <col min="2567" max="2567" width="10.7109375" style="524" customWidth="1"/>
    <col min="2568" max="2568" width="9.85546875" style="524" customWidth="1"/>
    <col min="2569" max="2569" width="10.28515625" style="524" customWidth="1"/>
    <col min="2570" max="2570" width="9.42578125" style="524" customWidth="1"/>
    <col min="2571" max="2571" width="9.28515625" style="524" customWidth="1"/>
    <col min="2572" max="2572" width="19.28515625" style="524" customWidth="1"/>
    <col min="2573" max="2573" width="13.42578125" style="524" customWidth="1"/>
    <col min="2574" max="2574" width="11.85546875" style="524" customWidth="1"/>
    <col min="2575" max="2816" width="9.140625" style="524"/>
    <col min="2817" max="2817" width="4.42578125" style="524" customWidth="1"/>
    <col min="2818" max="2818" width="43.42578125" style="524" customWidth="1"/>
    <col min="2819" max="2819" width="11.42578125" style="524" customWidth="1"/>
    <col min="2820" max="2821" width="10.140625" style="524" customWidth="1"/>
    <col min="2822" max="2822" width="11.140625" style="524" customWidth="1"/>
    <col min="2823" max="2823" width="10.7109375" style="524" customWidth="1"/>
    <col min="2824" max="2824" width="9.85546875" style="524" customWidth="1"/>
    <col min="2825" max="2825" width="10.28515625" style="524" customWidth="1"/>
    <col min="2826" max="2826" width="9.42578125" style="524" customWidth="1"/>
    <col min="2827" max="2827" width="9.28515625" style="524" customWidth="1"/>
    <col min="2828" max="2828" width="19.28515625" style="524" customWidth="1"/>
    <col min="2829" max="2829" width="13.42578125" style="524" customWidth="1"/>
    <col min="2830" max="2830" width="11.85546875" style="524" customWidth="1"/>
    <col min="2831" max="3072" width="9.140625" style="524"/>
    <col min="3073" max="3073" width="4.42578125" style="524" customWidth="1"/>
    <col min="3074" max="3074" width="43.42578125" style="524" customWidth="1"/>
    <col min="3075" max="3075" width="11.42578125" style="524" customWidth="1"/>
    <col min="3076" max="3077" width="10.140625" style="524" customWidth="1"/>
    <col min="3078" max="3078" width="11.140625" style="524" customWidth="1"/>
    <col min="3079" max="3079" width="10.7109375" style="524" customWidth="1"/>
    <col min="3080" max="3080" width="9.85546875" style="524" customWidth="1"/>
    <col min="3081" max="3081" width="10.28515625" style="524" customWidth="1"/>
    <col min="3082" max="3082" width="9.42578125" style="524" customWidth="1"/>
    <col min="3083" max="3083" width="9.28515625" style="524" customWidth="1"/>
    <col min="3084" max="3084" width="19.28515625" style="524" customWidth="1"/>
    <col min="3085" max="3085" width="13.42578125" style="524" customWidth="1"/>
    <col min="3086" max="3086" width="11.85546875" style="524" customWidth="1"/>
    <col min="3087" max="3328" width="9.140625" style="524"/>
    <col min="3329" max="3329" width="4.42578125" style="524" customWidth="1"/>
    <col min="3330" max="3330" width="43.42578125" style="524" customWidth="1"/>
    <col min="3331" max="3331" width="11.42578125" style="524" customWidth="1"/>
    <col min="3332" max="3333" width="10.140625" style="524" customWidth="1"/>
    <col min="3334" max="3334" width="11.140625" style="524" customWidth="1"/>
    <col min="3335" max="3335" width="10.7109375" style="524" customWidth="1"/>
    <col min="3336" max="3336" width="9.85546875" style="524" customWidth="1"/>
    <col min="3337" max="3337" width="10.28515625" style="524" customWidth="1"/>
    <col min="3338" max="3338" width="9.42578125" style="524" customWidth="1"/>
    <col min="3339" max="3339" width="9.28515625" style="524" customWidth="1"/>
    <col min="3340" max="3340" width="19.28515625" style="524" customWidth="1"/>
    <col min="3341" max="3341" width="13.42578125" style="524" customWidth="1"/>
    <col min="3342" max="3342" width="11.85546875" style="524" customWidth="1"/>
    <col min="3343" max="3584" width="9.140625" style="524"/>
    <col min="3585" max="3585" width="4.42578125" style="524" customWidth="1"/>
    <col min="3586" max="3586" width="43.42578125" style="524" customWidth="1"/>
    <col min="3587" max="3587" width="11.42578125" style="524" customWidth="1"/>
    <col min="3588" max="3589" width="10.140625" style="524" customWidth="1"/>
    <col min="3590" max="3590" width="11.140625" style="524" customWidth="1"/>
    <col min="3591" max="3591" width="10.7109375" style="524" customWidth="1"/>
    <col min="3592" max="3592" width="9.85546875" style="524" customWidth="1"/>
    <col min="3593" max="3593" width="10.28515625" style="524" customWidth="1"/>
    <col min="3594" max="3594" width="9.42578125" style="524" customWidth="1"/>
    <col min="3595" max="3595" width="9.28515625" style="524" customWidth="1"/>
    <col min="3596" max="3596" width="19.28515625" style="524" customWidth="1"/>
    <col min="3597" max="3597" width="13.42578125" style="524" customWidth="1"/>
    <col min="3598" max="3598" width="11.85546875" style="524" customWidth="1"/>
    <col min="3599" max="3840" width="9.140625" style="524"/>
    <col min="3841" max="3841" width="4.42578125" style="524" customWidth="1"/>
    <col min="3842" max="3842" width="43.42578125" style="524" customWidth="1"/>
    <col min="3843" max="3843" width="11.42578125" style="524" customWidth="1"/>
    <col min="3844" max="3845" width="10.140625" style="524" customWidth="1"/>
    <col min="3846" max="3846" width="11.140625" style="524" customWidth="1"/>
    <col min="3847" max="3847" width="10.7109375" style="524" customWidth="1"/>
    <col min="3848" max="3848" width="9.85546875" style="524" customWidth="1"/>
    <col min="3849" max="3849" width="10.28515625" style="524" customWidth="1"/>
    <col min="3850" max="3850" width="9.42578125" style="524" customWidth="1"/>
    <col min="3851" max="3851" width="9.28515625" style="524" customWidth="1"/>
    <col min="3852" max="3852" width="19.28515625" style="524" customWidth="1"/>
    <col min="3853" max="3853" width="13.42578125" style="524" customWidth="1"/>
    <col min="3854" max="3854" width="11.85546875" style="524" customWidth="1"/>
    <col min="3855" max="4096" width="9.140625" style="524"/>
    <col min="4097" max="4097" width="4.42578125" style="524" customWidth="1"/>
    <col min="4098" max="4098" width="43.42578125" style="524" customWidth="1"/>
    <col min="4099" max="4099" width="11.42578125" style="524" customWidth="1"/>
    <col min="4100" max="4101" width="10.140625" style="524" customWidth="1"/>
    <col min="4102" max="4102" width="11.140625" style="524" customWidth="1"/>
    <col min="4103" max="4103" width="10.7109375" style="524" customWidth="1"/>
    <col min="4104" max="4104" width="9.85546875" style="524" customWidth="1"/>
    <col min="4105" max="4105" width="10.28515625" style="524" customWidth="1"/>
    <col min="4106" max="4106" width="9.42578125" style="524" customWidth="1"/>
    <col min="4107" max="4107" width="9.28515625" style="524" customWidth="1"/>
    <col min="4108" max="4108" width="19.28515625" style="524" customWidth="1"/>
    <col min="4109" max="4109" width="13.42578125" style="524" customWidth="1"/>
    <col min="4110" max="4110" width="11.85546875" style="524" customWidth="1"/>
    <col min="4111" max="4352" width="9.140625" style="524"/>
    <col min="4353" max="4353" width="4.42578125" style="524" customWidth="1"/>
    <col min="4354" max="4354" width="43.42578125" style="524" customWidth="1"/>
    <col min="4355" max="4355" width="11.42578125" style="524" customWidth="1"/>
    <col min="4356" max="4357" width="10.140625" style="524" customWidth="1"/>
    <col min="4358" max="4358" width="11.140625" style="524" customWidth="1"/>
    <col min="4359" max="4359" width="10.7109375" style="524" customWidth="1"/>
    <col min="4360" max="4360" width="9.85546875" style="524" customWidth="1"/>
    <col min="4361" max="4361" width="10.28515625" style="524" customWidth="1"/>
    <col min="4362" max="4362" width="9.42578125" style="524" customWidth="1"/>
    <col min="4363" max="4363" width="9.28515625" style="524" customWidth="1"/>
    <col min="4364" max="4364" width="19.28515625" style="524" customWidth="1"/>
    <col min="4365" max="4365" width="13.42578125" style="524" customWidth="1"/>
    <col min="4366" max="4366" width="11.85546875" style="524" customWidth="1"/>
    <col min="4367" max="4608" width="9.140625" style="524"/>
    <col min="4609" max="4609" width="4.42578125" style="524" customWidth="1"/>
    <col min="4610" max="4610" width="43.42578125" style="524" customWidth="1"/>
    <col min="4611" max="4611" width="11.42578125" style="524" customWidth="1"/>
    <col min="4612" max="4613" width="10.140625" style="524" customWidth="1"/>
    <col min="4614" max="4614" width="11.140625" style="524" customWidth="1"/>
    <col min="4615" max="4615" width="10.7109375" style="524" customWidth="1"/>
    <col min="4616" max="4616" width="9.85546875" style="524" customWidth="1"/>
    <col min="4617" max="4617" width="10.28515625" style="524" customWidth="1"/>
    <col min="4618" max="4618" width="9.42578125" style="524" customWidth="1"/>
    <col min="4619" max="4619" width="9.28515625" style="524" customWidth="1"/>
    <col min="4620" max="4620" width="19.28515625" style="524" customWidth="1"/>
    <col min="4621" max="4621" width="13.42578125" style="524" customWidth="1"/>
    <col min="4622" max="4622" width="11.85546875" style="524" customWidth="1"/>
    <col min="4623" max="4864" width="9.140625" style="524"/>
    <col min="4865" max="4865" width="4.42578125" style="524" customWidth="1"/>
    <col min="4866" max="4866" width="43.42578125" style="524" customWidth="1"/>
    <col min="4867" max="4867" width="11.42578125" style="524" customWidth="1"/>
    <col min="4868" max="4869" width="10.140625" style="524" customWidth="1"/>
    <col min="4870" max="4870" width="11.140625" style="524" customWidth="1"/>
    <col min="4871" max="4871" width="10.7109375" style="524" customWidth="1"/>
    <col min="4872" max="4872" width="9.85546875" style="524" customWidth="1"/>
    <col min="4873" max="4873" width="10.28515625" style="524" customWidth="1"/>
    <col min="4874" max="4874" width="9.42578125" style="524" customWidth="1"/>
    <col min="4875" max="4875" width="9.28515625" style="524" customWidth="1"/>
    <col min="4876" max="4876" width="19.28515625" style="524" customWidth="1"/>
    <col min="4877" max="4877" width="13.42578125" style="524" customWidth="1"/>
    <col min="4878" max="4878" width="11.85546875" style="524" customWidth="1"/>
    <col min="4879" max="5120" width="9.140625" style="524"/>
    <col min="5121" max="5121" width="4.42578125" style="524" customWidth="1"/>
    <col min="5122" max="5122" width="43.42578125" style="524" customWidth="1"/>
    <col min="5123" max="5123" width="11.42578125" style="524" customWidth="1"/>
    <col min="5124" max="5125" width="10.140625" style="524" customWidth="1"/>
    <col min="5126" max="5126" width="11.140625" style="524" customWidth="1"/>
    <col min="5127" max="5127" width="10.7109375" style="524" customWidth="1"/>
    <col min="5128" max="5128" width="9.85546875" style="524" customWidth="1"/>
    <col min="5129" max="5129" width="10.28515625" style="524" customWidth="1"/>
    <col min="5130" max="5130" width="9.42578125" style="524" customWidth="1"/>
    <col min="5131" max="5131" width="9.28515625" style="524" customWidth="1"/>
    <col min="5132" max="5132" width="19.28515625" style="524" customWidth="1"/>
    <col min="5133" max="5133" width="13.42578125" style="524" customWidth="1"/>
    <col min="5134" max="5134" width="11.85546875" style="524" customWidth="1"/>
    <col min="5135" max="5376" width="9.140625" style="524"/>
    <col min="5377" max="5377" width="4.42578125" style="524" customWidth="1"/>
    <col min="5378" max="5378" width="43.42578125" style="524" customWidth="1"/>
    <col min="5379" max="5379" width="11.42578125" style="524" customWidth="1"/>
    <col min="5380" max="5381" width="10.140625" style="524" customWidth="1"/>
    <col min="5382" max="5382" width="11.140625" style="524" customWidth="1"/>
    <col min="5383" max="5383" width="10.7109375" style="524" customWidth="1"/>
    <col min="5384" max="5384" width="9.85546875" style="524" customWidth="1"/>
    <col min="5385" max="5385" width="10.28515625" style="524" customWidth="1"/>
    <col min="5386" max="5386" width="9.42578125" style="524" customWidth="1"/>
    <col min="5387" max="5387" width="9.28515625" style="524" customWidth="1"/>
    <col min="5388" max="5388" width="19.28515625" style="524" customWidth="1"/>
    <col min="5389" max="5389" width="13.42578125" style="524" customWidth="1"/>
    <col min="5390" max="5390" width="11.85546875" style="524" customWidth="1"/>
    <col min="5391" max="5632" width="9.140625" style="524"/>
    <col min="5633" max="5633" width="4.42578125" style="524" customWidth="1"/>
    <col min="5634" max="5634" width="43.42578125" style="524" customWidth="1"/>
    <col min="5635" max="5635" width="11.42578125" style="524" customWidth="1"/>
    <col min="5636" max="5637" width="10.140625" style="524" customWidth="1"/>
    <col min="5638" max="5638" width="11.140625" style="524" customWidth="1"/>
    <col min="5639" max="5639" width="10.7109375" style="524" customWidth="1"/>
    <col min="5640" max="5640" width="9.85546875" style="524" customWidth="1"/>
    <col min="5641" max="5641" width="10.28515625" style="524" customWidth="1"/>
    <col min="5642" max="5642" width="9.42578125" style="524" customWidth="1"/>
    <col min="5643" max="5643" width="9.28515625" style="524" customWidth="1"/>
    <col min="5644" max="5644" width="19.28515625" style="524" customWidth="1"/>
    <col min="5645" max="5645" width="13.42578125" style="524" customWidth="1"/>
    <col min="5646" max="5646" width="11.85546875" style="524" customWidth="1"/>
    <col min="5647" max="5888" width="9.140625" style="524"/>
    <col min="5889" max="5889" width="4.42578125" style="524" customWidth="1"/>
    <col min="5890" max="5890" width="43.42578125" style="524" customWidth="1"/>
    <col min="5891" max="5891" width="11.42578125" style="524" customWidth="1"/>
    <col min="5892" max="5893" width="10.140625" style="524" customWidth="1"/>
    <col min="5894" max="5894" width="11.140625" style="524" customWidth="1"/>
    <col min="5895" max="5895" width="10.7109375" style="524" customWidth="1"/>
    <col min="5896" max="5896" width="9.85546875" style="524" customWidth="1"/>
    <col min="5897" max="5897" width="10.28515625" style="524" customWidth="1"/>
    <col min="5898" max="5898" width="9.42578125" style="524" customWidth="1"/>
    <col min="5899" max="5899" width="9.28515625" style="524" customWidth="1"/>
    <col min="5900" max="5900" width="19.28515625" style="524" customWidth="1"/>
    <col min="5901" max="5901" width="13.42578125" style="524" customWidth="1"/>
    <col min="5902" max="5902" width="11.85546875" style="524" customWidth="1"/>
    <col min="5903" max="6144" width="9.140625" style="524"/>
    <col min="6145" max="6145" width="4.42578125" style="524" customWidth="1"/>
    <col min="6146" max="6146" width="43.42578125" style="524" customWidth="1"/>
    <col min="6147" max="6147" width="11.42578125" style="524" customWidth="1"/>
    <col min="6148" max="6149" width="10.140625" style="524" customWidth="1"/>
    <col min="6150" max="6150" width="11.140625" style="524" customWidth="1"/>
    <col min="6151" max="6151" width="10.7109375" style="524" customWidth="1"/>
    <col min="6152" max="6152" width="9.85546875" style="524" customWidth="1"/>
    <col min="6153" max="6153" width="10.28515625" style="524" customWidth="1"/>
    <col min="6154" max="6154" width="9.42578125" style="524" customWidth="1"/>
    <col min="6155" max="6155" width="9.28515625" style="524" customWidth="1"/>
    <col min="6156" max="6156" width="19.28515625" style="524" customWidth="1"/>
    <col min="6157" max="6157" width="13.42578125" style="524" customWidth="1"/>
    <col min="6158" max="6158" width="11.85546875" style="524" customWidth="1"/>
    <col min="6159" max="6400" width="9.140625" style="524"/>
    <col min="6401" max="6401" width="4.42578125" style="524" customWidth="1"/>
    <col min="6402" max="6402" width="43.42578125" style="524" customWidth="1"/>
    <col min="6403" max="6403" width="11.42578125" style="524" customWidth="1"/>
    <col min="6404" max="6405" width="10.140625" style="524" customWidth="1"/>
    <col min="6406" max="6406" width="11.140625" style="524" customWidth="1"/>
    <col min="6407" max="6407" width="10.7109375" style="524" customWidth="1"/>
    <col min="6408" max="6408" width="9.85546875" style="524" customWidth="1"/>
    <col min="6409" max="6409" width="10.28515625" style="524" customWidth="1"/>
    <col min="6410" max="6410" width="9.42578125" style="524" customWidth="1"/>
    <col min="6411" max="6411" width="9.28515625" style="524" customWidth="1"/>
    <col min="6412" max="6412" width="19.28515625" style="524" customWidth="1"/>
    <col min="6413" max="6413" width="13.42578125" style="524" customWidth="1"/>
    <col min="6414" max="6414" width="11.85546875" style="524" customWidth="1"/>
    <col min="6415" max="6656" width="9.140625" style="524"/>
    <col min="6657" max="6657" width="4.42578125" style="524" customWidth="1"/>
    <col min="6658" max="6658" width="43.42578125" style="524" customWidth="1"/>
    <col min="6659" max="6659" width="11.42578125" style="524" customWidth="1"/>
    <col min="6660" max="6661" width="10.140625" style="524" customWidth="1"/>
    <col min="6662" max="6662" width="11.140625" style="524" customWidth="1"/>
    <col min="6663" max="6663" width="10.7109375" style="524" customWidth="1"/>
    <col min="6664" max="6664" width="9.85546875" style="524" customWidth="1"/>
    <col min="6665" max="6665" width="10.28515625" style="524" customWidth="1"/>
    <col min="6666" max="6666" width="9.42578125" style="524" customWidth="1"/>
    <col min="6667" max="6667" width="9.28515625" style="524" customWidth="1"/>
    <col min="6668" max="6668" width="19.28515625" style="524" customWidth="1"/>
    <col min="6669" max="6669" width="13.42578125" style="524" customWidth="1"/>
    <col min="6670" max="6670" width="11.85546875" style="524" customWidth="1"/>
    <col min="6671" max="6912" width="9.140625" style="524"/>
    <col min="6913" max="6913" width="4.42578125" style="524" customWidth="1"/>
    <col min="6914" max="6914" width="43.42578125" style="524" customWidth="1"/>
    <col min="6915" max="6915" width="11.42578125" style="524" customWidth="1"/>
    <col min="6916" max="6917" width="10.140625" style="524" customWidth="1"/>
    <col min="6918" max="6918" width="11.140625" style="524" customWidth="1"/>
    <col min="6919" max="6919" width="10.7109375" style="524" customWidth="1"/>
    <col min="6920" max="6920" width="9.85546875" style="524" customWidth="1"/>
    <col min="6921" max="6921" width="10.28515625" style="524" customWidth="1"/>
    <col min="6922" max="6922" width="9.42578125" style="524" customWidth="1"/>
    <col min="6923" max="6923" width="9.28515625" style="524" customWidth="1"/>
    <col min="6924" max="6924" width="19.28515625" style="524" customWidth="1"/>
    <col min="6925" max="6925" width="13.42578125" style="524" customWidth="1"/>
    <col min="6926" max="6926" width="11.85546875" style="524" customWidth="1"/>
    <col min="6927" max="7168" width="9.140625" style="524"/>
    <col min="7169" max="7169" width="4.42578125" style="524" customWidth="1"/>
    <col min="7170" max="7170" width="43.42578125" style="524" customWidth="1"/>
    <col min="7171" max="7171" width="11.42578125" style="524" customWidth="1"/>
    <col min="7172" max="7173" width="10.140625" style="524" customWidth="1"/>
    <col min="7174" max="7174" width="11.140625" style="524" customWidth="1"/>
    <col min="7175" max="7175" width="10.7109375" style="524" customWidth="1"/>
    <col min="7176" max="7176" width="9.85546875" style="524" customWidth="1"/>
    <col min="7177" max="7177" width="10.28515625" style="524" customWidth="1"/>
    <col min="7178" max="7178" width="9.42578125" style="524" customWidth="1"/>
    <col min="7179" max="7179" width="9.28515625" style="524" customWidth="1"/>
    <col min="7180" max="7180" width="19.28515625" style="524" customWidth="1"/>
    <col min="7181" max="7181" width="13.42578125" style="524" customWidth="1"/>
    <col min="7182" max="7182" width="11.85546875" style="524" customWidth="1"/>
    <col min="7183" max="7424" width="9.140625" style="524"/>
    <col min="7425" max="7425" width="4.42578125" style="524" customWidth="1"/>
    <col min="7426" max="7426" width="43.42578125" style="524" customWidth="1"/>
    <col min="7427" max="7427" width="11.42578125" style="524" customWidth="1"/>
    <col min="7428" max="7429" width="10.140625" style="524" customWidth="1"/>
    <col min="7430" max="7430" width="11.140625" style="524" customWidth="1"/>
    <col min="7431" max="7431" width="10.7109375" style="524" customWidth="1"/>
    <col min="7432" max="7432" width="9.85546875" style="524" customWidth="1"/>
    <col min="7433" max="7433" width="10.28515625" style="524" customWidth="1"/>
    <col min="7434" max="7434" width="9.42578125" style="524" customWidth="1"/>
    <col min="7435" max="7435" width="9.28515625" style="524" customWidth="1"/>
    <col min="7436" max="7436" width="19.28515625" style="524" customWidth="1"/>
    <col min="7437" max="7437" width="13.42578125" style="524" customWidth="1"/>
    <col min="7438" max="7438" width="11.85546875" style="524" customWidth="1"/>
    <col min="7439" max="7680" width="9.140625" style="524"/>
    <col min="7681" max="7681" width="4.42578125" style="524" customWidth="1"/>
    <col min="7682" max="7682" width="43.42578125" style="524" customWidth="1"/>
    <col min="7683" max="7683" width="11.42578125" style="524" customWidth="1"/>
    <col min="7684" max="7685" width="10.140625" style="524" customWidth="1"/>
    <col min="7686" max="7686" width="11.140625" style="524" customWidth="1"/>
    <col min="7687" max="7687" width="10.7109375" style="524" customWidth="1"/>
    <col min="7688" max="7688" width="9.85546875" style="524" customWidth="1"/>
    <col min="7689" max="7689" width="10.28515625" style="524" customWidth="1"/>
    <col min="7690" max="7690" width="9.42578125" style="524" customWidth="1"/>
    <col min="7691" max="7691" width="9.28515625" style="524" customWidth="1"/>
    <col min="7692" max="7692" width="19.28515625" style="524" customWidth="1"/>
    <col min="7693" max="7693" width="13.42578125" style="524" customWidth="1"/>
    <col min="7694" max="7694" width="11.85546875" style="524" customWidth="1"/>
    <col min="7695" max="7936" width="9.140625" style="524"/>
    <col min="7937" max="7937" width="4.42578125" style="524" customWidth="1"/>
    <col min="7938" max="7938" width="43.42578125" style="524" customWidth="1"/>
    <col min="7939" max="7939" width="11.42578125" style="524" customWidth="1"/>
    <col min="7940" max="7941" width="10.140625" style="524" customWidth="1"/>
    <col min="7942" max="7942" width="11.140625" style="524" customWidth="1"/>
    <col min="7943" max="7943" width="10.7109375" style="524" customWidth="1"/>
    <col min="7944" max="7944" width="9.85546875" style="524" customWidth="1"/>
    <col min="7945" max="7945" width="10.28515625" style="524" customWidth="1"/>
    <col min="7946" max="7946" width="9.42578125" style="524" customWidth="1"/>
    <col min="7947" max="7947" width="9.28515625" style="524" customWidth="1"/>
    <col min="7948" max="7948" width="19.28515625" style="524" customWidth="1"/>
    <col min="7949" max="7949" width="13.42578125" style="524" customWidth="1"/>
    <col min="7950" max="7950" width="11.85546875" style="524" customWidth="1"/>
    <col min="7951" max="8192" width="9.140625" style="524"/>
    <col min="8193" max="8193" width="4.42578125" style="524" customWidth="1"/>
    <col min="8194" max="8194" width="43.42578125" style="524" customWidth="1"/>
    <col min="8195" max="8195" width="11.42578125" style="524" customWidth="1"/>
    <col min="8196" max="8197" width="10.140625" style="524" customWidth="1"/>
    <col min="8198" max="8198" width="11.140625" style="524" customWidth="1"/>
    <col min="8199" max="8199" width="10.7109375" style="524" customWidth="1"/>
    <col min="8200" max="8200" width="9.85546875" style="524" customWidth="1"/>
    <col min="8201" max="8201" width="10.28515625" style="524" customWidth="1"/>
    <col min="8202" max="8202" width="9.42578125" style="524" customWidth="1"/>
    <col min="8203" max="8203" width="9.28515625" style="524" customWidth="1"/>
    <col min="8204" max="8204" width="19.28515625" style="524" customWidth="1"/>
    <col min="8205" max="8205" width="13.42578125" style="524" customWidth="1"/>
    <col min="8206" max="8206" width="11.85546875" style="524" customWidth="1"/>
    <col min="8207" max="8448" width="9.140625" style="524"/>
    <col min="8449" max="8449" width="4.42578125" style="524" customWidth="1"/>
    <col min="8450" max="8450" width="43.42578125" style="524" customWidth="1"/>
    <col min="8451" max="8451" width="11.42578125" style="524" customWidth="1"/>
    <col min="8452" max="8453" width="10.140625" style="524" customWidth="1"/>
    <col min="8454" max="8454" width="11.140625" style="524" customWidth="1"/>
    <col min="8455" max="8455" width="10.7109375" style="524" customWidth="1"/>
    <col min="8456" max="8456" width="9.85546875" style="524" customWidth="1"/>
    <col min="8457" max="8457" width="10.28515625" style="524" customWidth="1"/>
    <col min="8458" max="8458" width="9.42578125" style="524" customWidth="1"/>
    <col min="8459" max="8459" width="9.28515625" style="524" customWidth="1"/>
    <col min="8460" max="8460" width="19.28515625" style="524" customWidth="1"/>
    <col min="8461" max="8461" width="13.42578125" style="524" customWidth="1"/>
    <col min="8462" max="8462" width="11.85546875" style="524" customWidth="1"/>
    <col min="8463" max="8704" width="9.140625" style="524"/>
    <col min="8705" max="8705" width="4.42578125" style="524" customWidth="1"/>
    <col min="8706" max="8706" width="43.42578125" style="524" customWidth="1"/>
    <col min="8707" max="8707" width="11.42578125" style="524" customWidth="1"/>
    <col min="8708" max="8709" width="10.140625" style="524" customWidth="1"/>
    <col min="8710" max="8710" width="11.140625" style="524" customWidth="1"/>
    <col min="8711" max="8711" width="10.7109375" style="524" customWidth="1"/>
    <col min="8712" max="8712" width="9.85546875" style="524" customWidth="1"/>
    <col min="8713" max="8713" width="10.28515625" style="524" customWidth="1"/>
    <col min="8714" max="8714" width="9.42578125" style="524" customWidth="1"/>
    <col min="8715" max="8715" width="9.28515625" style="524" customWidth="1"/>
    <col min="8716" max="8716" width="19.28515625" style="524" customWidth="1"/>
    <col min="8717" max="8717" width="13.42578125" style="524" customWidth="1"/>
    <col min="8718" max="8718" width="11.85546875" style="524" customWidth="1"/>
    <col min="8719" max="8960" width="9.140625" style="524"/>
    <col min="8961" max="8961" width="4.42578125" style="524" customWidth="1"/>
    <col min="8962" max="8962" width="43.42578125" style="524" customWidth="1"/>
    <col min="8963" max="8963" width="11.42578125" style="524" customWidth="1"/>
    <col min="8964" max="8965" width="10.140625" style="524" customWidth="1"/>
    <col min="8966" max="8966" width="11.140625" style="524" customWidth="1"/>
    <col min="8967" max="8967" width="10.7109375" style="524" customWidth="1"/>
    <col min="8968" max="8968" width="9.85546875" style="524" customWidth="1"/>
    <col min="8969" max="8969" width="10.28515625" style="524" customWidth="1"/>
    <col min="8970" max="8970" width="9.42578125" style="524" customWidth="1"/>
    <col min="8971" max="8971" width="9.28515625" style="524" customWidth="1"/>
    <col min="8972" max="8972" width="19.28515625" style="524" customWidth="1"/>
    <col min="8973" max="8973" width="13.42578125" style="524" customWidth="1"/>
    <col min="8974" max="8974" width="11.85546875" style="524" customWidth="1"/>
    <col min="8975" max="9216" width="9.140625" style="524"/>
    <col min="9217" max="9217" width="4.42578125" style="524" customWidth="1"/>
    <col min="9218" max="9218" width="43.42578125" style="524" customWidth="1"/>
    <col min="9219" max="9219" width="11.42578125" style="524" customWidth="1"/>
    <col min="9220" max="9221" width="10.140625" style="524" customWidth="1"/>
    <col min="9222" max="9222" width="11.140625" style="524" customWidth="1"/>
    <col min="9223" max="9223" width="10.7109375" style="524" customWidth="1"/>
    <col min="9224" max="9224" width="9.85546875" style="524" customWidth="1"/>
    <col min="9225" max="9225" width="10.28515625" style="524" customWidth="1"/>
    <col min="9226" max="9226" width="9.42578125" style="524" customWidth="1"/>
    <col min="9227" max="9227" width="9.28515625" style="524" customWidth="1"/>
    <col min="9228" max="9228" width="19.28515625" style="524" customWidth="1"/>
    <col min="9229" max="9229" width="13.42578125" style="524" customWidth="1"/>
    <col min="9230" max="9230" width="11.85546875" style="524" customWidth="1"/>
    <col min="9231" max="9472" width="9.140625" style="524"/>
    <col min="9473" max="9473" width="4.42578125" style="524" customWidth="1"/>
    <col min="9474" max="9474" width="43.42578125" style="524" customWidth="1"/>
    <col min="9475" max="9475" width="11.42578125" style="524" customWidth="1"/>
    <col min="9476" max="9477" width="10.140625" style="524" customWidth="1"/>
    <col min="9478" max="9478" width="11.140625" style="524" customWidth="1"/>
    <col min="9479" max="9479" width="10.7109375" style="524" customWidth="1"/>
    <col min="9480" max="9480" width="9.85546875" style="524" customWidth="1"/>
    <col min="9481" max="9481" width="10.28515625" style="524" customWidth="1"/>
    <col min="9482" max="9482" width="9.42578125" style="524" customWidth="1"/>
    <col min="9483" max="9483" width="9.28515625" style="524" customWidth="1"/>
    <col min="9484" max="9484" width="19.28515625" style="524" customWidth="1"/>
    <col min="9485" max="9485" width="13.42578125" style="524" customWidth="1"/>
    <col min="9486" max="9486" width="11.85546875" style="524" customWidth="1"/>
    <col min="9487" max="9728" width="9.140625" style="524"/>
    <col min="9729" max="9729" width="4.42578125" style="524" customWidth="1"/>
    <col min="9730" max="9730" width="43.42578125" style="524" customWidth="1"/>
    <col min="9731" max="9731" width="11.42578125" style="524" customWidth="1"/>
    <col min="9732" max="9733" width="10.140625" style="524" customWidth="1"/>
    <col min="9734" max="9734" width="11.140625" style="524" customWidth="1"/>
    <col min="9735" max="9735" width="10.7109375" style="524" customWidth="1"/>
    <col min="9736" max="9736" width="9.85546875" style="524" customWidth="1"/>
    <col min="9737" max="9737" width="10.28515625" style="524" customWidth="1"/>
    <col min="9738" max="9738" width="9.42578125" style="524" customWidth="1"/>
    <col min="9739" max="9739" width="9.28515625" style="524" customWidth="1"/>
    <col min="9740" max="9740" width="19.28515625" style="524" customWidth="1"/>
    <col min="9741" max="9741" width="13.42578125" style="524" customWidth="1"/>
    <col min="9742" max="9742" width="11.85546875" style="524" customWidth="1"/>
    <col min="9743" max="9984" width="9.140625" style="524"/>
    <col min="9985" max="9985" width="4.42578125" style="524" customWidth="1"/>
    <col min="9986" max="9986" width="43.42578125" style="524" customWidth="1"/>
    <col min="9987" max="9987" width="11.42578125" style="524" customWidth="1"/>
    <col min="9988" max="9989" width="10.140625" style="524" customWidth="1"/>
    <col min="9990" max="9990" width="11.140625" style="524" customWidth="1"/>
    <col min="9991" max="9991" width="10.7109375" style="524" customWidth="1"/>
    <col min="9992" max="9992" width="9.85546875" style="524" customWidth="1"/>
    <col min="9993" max="9993" width="10.28515625" style="524" customWidth="1"/>
    <col min="9994" max="9994" width="9.42578125" style="524" customWidth="1"/>
    <col min="9995" max="9995" width="9.28515625" style="524" customWidth="1"/>
    <col min="9996" max="9996" width="19.28515625" style="524" customWidth="1"/>
    <col min="9997" max="9997" width="13.42578125" style="524" customWidth="1"/>
    <col min="9998" max="9998" width="11.85546875" style="524" customWidth="1"/>
    <col min="9999" max="10240" width="9.140625" style="524"/>
    <col min="10241" max="10241" width="4.42578125" style="524" customWidth="1"/>
    <col min="10242" max="10242" width="43.42578125" style="524" customWidth="1"/>
    <col min="10243" max="10243" width="11.42578125" style="524" customWidth="1"/>
    <col min="10244" max="10245" width="10.140625" style="524" customWidth="1"/>
    <col min="10246" max="10246" width="11.140625" style="524" customWidth="1"/>
    <col min="10247" max="10247" width="10.7109375" style="524" customWidth="1"/>
    <col min="10248" max="10248" width="9.85546875" style="524" customWidth="1"/>
    <col min="10249" max="10249" width="10.28515625" style="524" customWidth="1"/>
    <col min="10250" max="10250" width="9.42578125" style="524" customWidth="1"/>
    <col min="10251" max="10251" width="9.28515625" style="524" customWidth="1"/>
    <col min="10252" max="10252" width="19.28515625" style="524" customWidth="1"/>
    <col min="10253" max="10253" width="13.42578125" style="524" customWidth="1"/>
    <col min="10254" max="10254" width="11.85546875" style="524" customWidth="1"/>
    <col min="10255" max="10496" width="9.140625" style="524"/>
    <col min="10497" max="10497" width="4.42578125" style="524" customWidth="1"/>
    <col min="10498" max="10498" width="43.42578125" style="524" customWidth="1"/>
    <col min="10499" max="10499" width="11.42578125" style="524" customWidth="1"/>
    <col min="10500" max="10501" width="10.140625" style="524" customWidth="1"/>
    <col min="10502" max="10502" width="11.140625" style="524" customWidth="1"/>
    <col min="10503" max="10503" width="10.7109375" style="524" customWidth="1"/>
    <col min="10504" max="10504" width="9.85546875" style="524" customWidth="1"/>
    <col min="10505" max="10505" width="10.28515625" style="524" customWidth="1"/>
    <col min="10506" max="10506" width="9.42578125" style="524" customWidth="1"/>
    <col min="10507" max="10507" width="9.28515625" style="524" customWidth="1"/>
    <col min="10508" max="10508" width="19.28515625" style="524" customWidth="1"/>
    <col min="10509" max="10509" width="13.42578125" style="524" customWidth="1"/>
    <col min="10510" max="10510" width="11.85546875" style="524" customWidth="1"/>
    <col min="10511" max="10752" width="9.140625" style="524"/>
    <col min="10753" max="10753" width="4.42578125" style="524" customWidth="1"/>
    <col min="10754" max="10754" width="43.42578125" style="524" customWidth="1"/>
    <col min="10755" max="10755" width="11.42578125" style="524" customWidth="1"/>
    <col min="10756" max="10757" width="10.140625" style="524" customWidth="1"/>
    <col min="10758" max="10758" width="11.140625" style="524" customWidth="1"/>
    <col min="10759" max="10759" width="10.7109375" style="524" customWidth="1"/>
    <col min="10760" max="10760" width="9.85546875" style="524" customWidth="1"/>
    <col min="10761" max="10761" width="10.28515625" style="524" customWidth="1"/>
    <col min="10762" max="10762" width="9.42578125" style="524" customWidth="1"/>
    <col min="10763" max="10763" width="9.28515625" style="524" customWidth="1"/>
    <col min="10764" max="10764" width="19.28515625" style="524" customWidth="1"/>
    <col min="10765" max="10765" width="13.42578125" style="524" customWidth="1"/>
    <col min="10766" max="10766" width="11.85546875" style="524" customWidth="1"/>
    <col min="10767" max="11008" width="9.140625" style="524"/>
    <col min="11009" max="11009" width="4.42578125" style="524" customWidth="1"/>
    <col min="11010" max="11010" width="43.42578125" style="524" customWidth="1"/>
    <col min="11011" max="11011" width="11.42578125" style="524" customWidth="1"/>
    <col min="11012" max="11013" width="10.140625" style="524" customWidth="1"/>
    <col min="11014" max="11014" width="11.140625" style="524" customWidth="1"/>
    <col min="11015" max="11015" width="10.7109375" style="524" customWidth="1"/>
    <col min="11016" max="11016" width="9.85546875" style="524" customWidth="1"/>
    <col min="11017" max="11017" width="10.28515625" style="524" customWidth="1"/>
    <col min="11018" max="11018" width="9.42578125" style="524" customWidth="1"/>
    <col min="11019" max="11019" width="9.28515625" style="524" customWidth="1"/>
    <col min="11020" max="11020" width="19.28515625" style="524" customWidth="1"/>
    <col min="11021" max="11021" width="13.42578125" style="524" customWidth="1"/>
    <col min="11022" max="11022" width="11.85546875" style="524" customWidth="1"/>
    <col min="11023" max="11264" width="9.140625" style="524"/>
    <col min="11265" max="11265" width="4.42578125" style="524" customWidth="1"/>
    <col min="11266" max="11266" width="43.42578125" style="524" customWidth="1"/>
    <col min="11267" max="11267" width="11.42578125" style="524" customWidth="1"/>
    <col min="11268" max="11269" width="10.140625" style="524" customWidth="1"/>
    <col min="11270" max="11270" width="11.140625" style="524" customWidth="1"/>
    <col min="11271" max="11271" width="10.7109375" style="524" customWidth="1"/>
    <col min="11272" max="11272" width="9.85546875" style="524" customWidth="1"/>
    <col min="11273" max="11273" width="10.28515625" style="524" customWidth="1"/>
    <col min="11274" max="11274" width="9.42578125" style="524" customWidth="1"/>
    <col min="11275" max="11275" width="9.28515625" style="524" customWidth="1"/>
    <col min="11276" max="11276" width="19.28515625" style="524" customWidth="1"/>
    <col min="11277" max="11277" width="13.42578125" style="524" customWidth="1"/>
    <col min="11278" max="11278" width="11.85546875" style="524" customWidth="1"/>
    <col min="11279" max="11520" width="9.140625" style="524"/>
    <col min="11521" max="11521" width="4.42578125" style="524" customWidth="1"/>
    <col min="11522" max="11522" width="43.42578125" style="524" customWidth="1"/>
    <col min="11523" max="11523" width="11.42578125" style="524" customWidth="1"/>
    <col min="11524" max="11525" width="10.140625" style="524" customWidth="1"/>
    <col min="11526" max="11526" width="11.140625" style="524" customWidth="1"/>
    <col min="11527" max="11527" width="10.7109375" style="524" customWidth="1"/>
    <col min="11528" max="11528" width="9.85546875" style="524" customWidth="1"/>
    <col min="11529" max="11529" width="10.28515625" style="524" customWidth="1"/>
    <col min="11530" max="11530" width="9.42578125" style="524" customWidth="1"/>
    <col min="11531" max="11531" width="9.28515625" style="524" customWidth="1"/>
    <col min="11532" max="11532" width="19.28515625" style="524" customWidth="1"/>
    <col min="11533" max="11533" width="13.42578125" style="524" customWidth="1"/>
    <col min="11534" max="11534" width="11.85546875" style="524" customWidth="1"/>
    <col min="11535" max="11776" width="9.140625" style="524"/>
    <col min="11777" max="11777" width="4.42578125" style="524" customWidth="1"/>
    <col min="11778" max="11778" width="43.42578125" style="524" customWidth="1"/>
    <col min="11779" max="11779" width="11.42578125" style="524" customWidth="1"/>
    <col min="11780" max="11781" width="10.140625" style="524" customWidth="1"/>
    <col min="11782" max="11782" width="11.140625" style="524" customWidth="1"/>
    <col min="11783" max="11783" width="10.7109375" style="524" customWidth="1"/>
    <col min="11784" max="11784" width="9.85546875" style="524" customWidth="1"/>
    <col min="11785" max="11785" width="10.28515625" style="524" customWidth="1"/>
    <col min="11786" max="11786" width="9.42578125" style="524" customWidth="1"/>
    <col min="11787" max="11787" width="9.28515625" style="524" customWidth="1"/>
    <col min="11788" max="11788" width="19.28515625" style="524" customWidth="1"/>
    <col min="11789" max="11789" width="13.42578125" style="524" customWidth="1"/>
    <col min="11790" max="11790" width="11.85546875" style="524" customWidth="1"/>
    <col min="11791" max="12032" width="9.140625" style="524"/>
    <col min="12033" max="12033" width="4.42578125" style="524" customWidth="1"/>
    <col min="12034" max="12034" width="43.42578125" style="524" customWidth="1"/>
    <col min="12035" max="12035" width="11.42578125" style="524" customWidth="1"/>
    <col min="12036" max="12037" width="10.140625" style="524" customWidth="1"/>
    <col min="12038" max="12038" width="11.140625" style="524" customWidth="1"/>
    <col min="12039" max="12039" width="10.7109375" style="524" customWidth="1"/>
    <col min="12040" max="12040" width="9.85546875" style="524" customWidth="1"/>
    <col min="12041" max="12041" width="10.28515625" style="524" customWidth="1"/>
    <col min="12042" max="12042" width="9.42578125" style="524" customWidth="1"/>
    <col min="12043" max="12043" width="9.28515625" style="524" customWidth="1"/>
    <col min="12044" max="12044" width="19.28515625" style="524" customWidth="1"/>
    <col min="12045" max="12045" width="13.42578125" style="524" customWidth="1"/>
    <col min="12046" max="12046" width="11.85546875" style="524" customWidth="1"/>
    <col min="12047" max="12288" width="9.140625" style="524"/>
    <col min="12289" max="12289" width="4.42578125" style="524" customWidth="1"/>
    <col min="12290" max="12290" width="43.42578125" style="524" customWidth="1"/>
    <col min="12291" max="12291" width="11.42578125" style="524" customWidth="1"/>
    <col min="12292" max="12293" width="10.140625" style="524" customWidth="1"/>
    <col min="12294" max="12294" width="11.140625" style="524" customWidth="1"/>
    <col min="12295" max="12295" width="10.7109375" style="524" customWidth="1"/>
    <col min="12296" max="12296" width="9.85546875" style="524" customWidth="1"/>
    <col min="12297" max="12297" width="10.28515625" style="524" customWidth="1"/>
    <col min="12298" max="12298" width="9.42578125" style="524" customWidth="1"/>
    <col min="12299" max="12299" width="9.28515625" style="524" customWidth="1"/>
    <col min="12300" max="12300" width="19.28515625" style="524" customWidth="1"/>
    <col min="12301" max="12301" width="13.42578125" style="524" customWidth="1"/>
    <col min="12302" max="12302" width="11.85546875" style="524" customWidth="1"/>
    <col min="12303" max="12544" width="9.140625" style="524"/>
    <col min="12545" max="12545" width="4.42578125" style="524" customWidth="1"/>
    <col min="12546" max="12546" width="43.42578125" style="524" customWidth="1"/>
    <col min="12547" max="12547" width="11.42578125" style="524" customWidth="1"/>
    <col min="12548" max="12549" width="10.140625" style="524" customWidth="1"/>
    <col min="12550" max="12550" width="11.140625" style="524" customWidth="1"/>
    <col min="12551" max="12551" width="10.7109375" style="524" customWidth="1"/>
    <col min="12552" max="12552" width="9.85546875" style="524" customWidth="1"/>
    <col min="12553" max="12553" width="10.28515625" style="524" customWidth="1"/>
    <col min="12554" max="12554" width="9.42578125" style="524" customWidth="1"/>
    <col min="12555" max="12555" width="9.28515625" style="524" customWidth="1"/>
    <col min="12556" max="12556" width="19.28515625" style="524" customWidth="1"/>
    <col min="12557" max="12557" width="13.42578125" style="524" customWidth="1"/>
    <col min="12558" max="12558" width="11.85546875" style="524" customWidth="1"/>
    <col min="12559" max="12800" width="9.140625" style="524"/>
    <col min="12801" max="12801" width="4.42578125" style="524" customWidth="1"/>
    <col min="12802" max="12802" width="43.42578125" style="524" customWidth="1"/>
    <col min="12803" max="12803" width="11.42578125" style="524" customWidth="1"/>
    <col min="12804" max="12805" width="10.140625" style="524" customWidth="1"/>
    <col min="12806" max="12806" width="11.140625" style="524" customWidth="1"/>
    <col min="12807" max="12807" width="10.7109375" style="524" customWidth="1"/>
    <col min="12808" max="12808" width="9.85546875" style="524" customWidth="1"/>
    <col min="12809" max="12809" width="10.28515625" style="524" customWidth="1"/>
    <col min="12810" max="12810" width="9.42578125" style="524" customWidth="1"/>
    <col min="12811" max="12811" width="9.28515625" style="524" customWidth="1"/>
    <col min="12812" max="12812" width="19.28515625" style="524" customWidth="1"/>
    <col min="12813" max="12813" width="13.42578125" style="524" customWidth="1"/>
    <col min="12814" max="12814" width="11.85546875" style="524" customWidth="1"/>
    <col min="12815" max="13056" width="9.140625" style="524"/>
    <col min="13057" max="13057" width="4.42578125" style="524" customWidth="1"/>
    <col min="13058" max="13058" width="43.42578125" style="524" customWidth="1"/>
    <col min="13059" max="13059" width="11.42578125" style="524" customWidth="1"/>
    <col min="13060" max="13061" width="10.140625" style="524" customWidth="1"/>
    <col min="13062" max="13062" width="11.140625" style="524" customWidth="1"/>
    <col min="13063" max="13063" width="10.7109375" style="524" customWidth="1"/>
    <col min="13064" max="13064" width="9.85546875" style="524" customWidth="1"/>
    <col min="13065" max="13065" width="10.28515625" style="524" customWidth="1"/>
    <col min="13066" max="13066" width="9.42578125" style="524" customWidth="1"/>
    <col min="13067" max="13067" width="9.28515625" style="524" customWidth="1"/>
    <col min="13068" max="13068" width="19.28515625" style="524" customWidth="1"/>
    <col min="13069" max="13069" width="13.42578125" style="524" customWidth="1"/>
    <col min="13070" max="13070" width="11.85546875" style="524" customWidth="1"/>
    <col min="13071" max="13312" width="9.140625" style="524"/>
    <col min="13313" max="13313" width="4.42578125" style="524" customWidth="1"/>
    <col min="13314" max="13314" width="43.42578125" style="524" customWidth="1"/>
    <col min="13315" max="13315" width="11.42578125" style="524" customWidth="1"/>
    <col min="13316" max="13317" width="10.140625" style="524" customWidth="1"/>
    <col min="13318" max="13318" width="11.140625" style="524" customWidth="1"/>
    <col min="13319" max="13319" width="10.7109375" style="524" customWidth="1"/>
    <col min="13320" max="13320" width="9.85546875" style="524" customWidth="1"/>
    <col min="13321" max="13321" width="10.28515625" style="524" customWidth="1"/>
    <col min="13322" max="13322" width="9.42578125" style="524" customWidth="1"/>
    <col min="13323" max="13323" width="9.28515625" style="524" customWidth="1"/>
    <col min="13324" max="13324" width="19.28515625" style="524" customWidth="1"/>
    <col min="13325" max="13325" width="13.42578125" style="524" customWidth="1"/>
    <col min="13326" max="13326" width="11.85546875" style="524" customWidth="1"/>
    <col min="13327" max="13568" width="9.140625" style="524"/>
    <col min="13569" max="13569" width="4.42578125" style="524" customWidth="1"/>
    <col min="13570" max="13570" width="43.42578125" style="524" customWidth="1"/>
    <col min="13571" max="13571" width="11.42578125" style="524" customWidth="1"/>
    <col min="13572" max="13573" width="10.140625" style="524" customWidth="1"/>
    <col min="13574" max="13574" width="11.140625" style="524" customWidth="1"/>
    <col min="13575" max="13575" width="10.7109375" style="524" customWidth="1"/>
    <col min="13576" max="13576" width="9.85546875" style="524" customWidth="1"/>
    <col min="13577" max="13577" width="10.28515625" style="524" customWidth="1"/>
    <col min="13578" max="13578" width="9.42578125" style="524" customWidth="1"/>
    <col min="13579" max="13579" width="9.28515625" style="524" customWidth="1"/>
    <col min="13580" max="13580" width="19.28515625" style="524" customWidth="1"/>
    <col min="13581" max="13581" width="13.42578125" style="524" customWidth="1"/>
    <col min="13582" max="13582" width="11.85546875" style="524" customWidth="1"/>
    <col min="13583" max="13824" width="9.140625" style="524"/>
    <col min="13825" max="13825" width="4.42578125" style="524" customWidth="1"/>
    <col min="13826" max="13826" width="43.42578125" style="524" customWidth="1"/>
    <col min="13827" max="13827" width="11.42578125" style="524" customWidth="1"/>
    <col min="13828" max="13829" width="10.140625" style="524" customWidth="1"/>
    <col min="13830" max="13830" width="11.140625" style="524" customWidth="1"/>
    <col min="13831" max="13831" width="10.7109375" style="524" customWidth="1"/>
    <col min="13832" max="13832" width="9.85546875" style="524" customWidth="1"/>
    <col min="13833" max="13833" width="10.28515625" style="524" customWidth="1"/>
    <col min="13834" max="13834" width="9.42578125" style="524" customWidth="1"/>
    <col min="13835" max="13835" width="9.28515625" style="524" customWidth="1"/>
    <col min="13836" max="13836" width="19.28515625" style="524" customWidth="1"/>
    <col min="13837" max="13837" width="13.42578125" style="524" customWidth="1"/>
    <col min="13838" max="13838" width="11.85546875" style="524" customWidth="1"/>
    <col min="13839" max="14080" width="9.140625" style="524"/>
    <col min="14081" max="14081" width="4.42578125" style="524" customWidth="1"/>
    <col min="14082" max="14082" width="43.42578125" style="524" customWidth="1"/>
    <col min="14083" max="14083" width="11.42578125" style="524" customWidth="1"/>
    <col min="14084" max="14085" width="10.140625" style="524" customWidth="1"/>
    <col min="14086" max="14086" width="11.140625" style="524" customWidth="1"/>
    <col min="14087" max="14087" width="10.7109375" style="524" customWidth="1"/>
    <col min="14088" max="14088" width="9.85546875" style="524" customWidth="1"/>
    <col min="14089" max="14089" width="10.28515625" style="524" customWidth="1"/>
    <col min="14090" max="14090" width="9.42578125" style="524" customWidth="1"/>
    <col min="14091" max="14091" width="9.28515625" style="524" customWidth="1"/>
    <col min="14092" max="14092" width="19.28515625" style="524" customWidth="1"/>
    <col min="14093" max="14093" width="13.42578125" style="524" customWidth="1"/>
    <col min="14094" max="14094" width="11.85546875" style="524" customWidth="1"/>
    <col min="14095" max="14336" width="9.140625" style="524"/>
    <col min="14337" max="14337" width="4.42578125" style="524" customWidth="1"/>
    <col min="14338" max="14338" width="43.42578125" style="524" customWidth="1"/>
    <col min="14339" max="14339" width="11.42578125" style="524" customWidth="1"/>
    <col min="14340" max="14341" width="10.140625" style="524" customWidth="1"/>
    <col min="14342" max="14342" width="11.140625" style="524" customWidth="1"/>
    <col min="14343" max="14343" width="10.7109375" style="524" customWidth="1"/>
    <col min="14344" max="14344" width="9.85546875" style="524" customWidth="1"/>
    <col min="14345" max="14345" width="10.28515625" style="524" customWidth="1"/>
    <col min="14346" max="14346" width="9.42578125" style="524" customWidth="1"/>
    <col min="14347" max="14347" width="9.28515625" style="524" customWidth="1"/>
    <col min="14348" max="14348" width="19.28515625" style="524" customWidth="1"/>
    <col min="14349" max="14349" width="13.42578125" style="524" customWidth="1"/>
    <col min="14350" max="14350" width="11.85546875" style="524" customWidth="1"/>
    <col min="14351" max="14592" width="9.140625" style="524"/>
    <col min="14593" max="14593" width="4.42578125" style="524" customWidth="1"/>
    <col min="14594" max="14594" width="43.42578125" style="524" customWidth="1"/>
    <col min="14595" max="14595" width="11.42578125" style="524" customWidth="1"/>
    <col min="14596" max="14597" width="10.140625" style="524" customWidth="1"/>
    <col min="14598" max="14598" width="11.140625" style="524" customWidth="1"/>
    <col min="14599" max="14599" width="10.7109375" style="524" customWidth="1"/>
    <col min="14600" max="14600" width="9.85546875" style="524" customWidth="1"/>
    <col min="14601" max="14601" width="10.28515625" style="524" customWidth="1"/>
    <col min="14602" max="14602" width="9.42578125" style="524" customWidth="1"/>
    <col min="14603" max="14603" width="9.28515625" style="524" customWidth="1"/>
    <col min="14604" max="14604" width="19.28515625" style="524" customWidth="1"/>
    <col min="14605" max="14605" width="13.42578125" style="524" customWidth="1"/>
    <col min="14606" max="14606" width="11.85546875" style="524" customWidth="1"/>
    <col min="14607" max="14848" width="9.140625" style="524"/>
    <col min="14849" max="14849" width="4.42578125" style="524" customWidth="1"/>
    <col min="14850" max="14850" width="43.42578125" style="524" customWidth="1"/>
    <col min="14851" max="14851" width="11.42578125" style="524" customWidth="1"/>
    <col min="14852" max="14853" width="10.140625" style="524" customWidth="1"/>
    <col min="14854" max="14854" width="11.140625" style="524" customWidth="1"/>
    <col min="14855" max="14855" width="10.7109375" style="524" customWidth="1"/>
    <col min="14856" max="14856" width="9.85546875" style="524" customWidth="1"/>
    <col min="14857" max="14857" width="10.28515625" style="524" customWidth="1"/>
    <col min="14858" max="14858" width="9.42578125" style="524" customWidth="1"/>
    <col min="14859" max="14859" width="9.28515625" style="524" customWidth="1"/>
    <col min="14860" max="14860" width="19.28515625" style="524" customWidth="1"/>
    <col min="14861" max="14861" width="13.42578125" style="524" customWidth="1"/>
    <col min="14862" max="14862" width="11.85546875" style="524" customWidth="1"/>
    <col min="14863" max="15104" width="9.140625" style="524"/>
    <col min="15105" max="15105" width="4.42578125" style="524" customWidth="1"/>
    <col min="15106" max="15106" width="43.42578125" style="524" customWidth="1"/>
    <col min="15107" max="15107" width="11.42578125" style="524" customWidth="1"/>
    <col min="15108" max="15109" width="10.140625" style="524" customWidth="1"/>
    <col min="15110" max="15110" width="11.140625" style="524" customWidth="1"/>
    <col min="15111" max="15111" width="10.7109375" style="524" customWidth="1"/>
    <col min="15112" max="15112" width="9.85546875" style="524" customWidth="1"/>
    <col min="15113" max="15113" width="10.28515625" style="524" customWidth="1"/>
    <col min="15114" max="15114" width="9.42578125" style="524" customWidth="1"/>
    <col min="15115" max="15115" width="9.28515625" style="524" customWidth="1"/>
    <col min="15116" max="15116" width="19.28515625" style="524" customWidth="1"/>
    <col min="15117" max="15117" width="13.42578125" style="524" customWidth="1"/>
    <col min="15118" max="15118" width="11.85546875" style="524" customWidth="1"/>
    <col min="15119" max="15360" width="9.140625" style="524"/>
    <col min="15361" max="15361" width="4.42578125" style="524" customWidth="1"/>
    <col min="15362" max="15362" width="43.42578125" style="524" customWidth="1"/>
    <col min="15363" max="15363" width="11.42578125" style="524" customWidth="1"/>
    <col min="15364" max="15365" width="10.140625" style="524" customWidth="1"/>
    <col min="15366" max="15366" width="11.140625" style="524" customWidth="1"/>
    <col min="15367" max="15367" width="10.7109375" style="524" customWidth="1"/>
    <col min="15368" max="15368" width="9.85546875" style="524" customWidth="1"/>
    <col min="15369" max="15369" width="10.28515625" style="524" customWidth="1"/>
    <col min="15370" max="15370" width="9.42578125" style="524" customWidth="1"/>
    <col min="15371" max="15371" width="9.28515625" style="524" customWidth="1"/>
    <col min="15372" max="15372" width="19.28515625" style="524" customWidth="1"/>
    <col min="15373" max="15373" width="13.42578125" style="524" customWidth="1"/>
    <col min="15374" max="15374" width="11.85546875" style="524" customWidth="1"/>
    <col min="15375" max="15616" width="9.140625" style="524"/>
    <col min="15617" max="15617" width="4.42578125" style="524" customWidth="1"/>
    <col min="15618" max="15618" width="43.42578125" style="524" customWidth="1"/>
    <col min="15619" max="15619" width="11.42578125" style="524" customWidth="1"/>
    <col min="15620" max="15621" width="10.140625" style="524" customWidth="1"/>
    <col min="15622" max="15622" width="11.140625" style="524" customWidth="1"/>
    <col min="15623" max="15623" width="10.7109375" style="524" customWidth="1"/>
    <col min="15624" max="15624" width="9.85546875" style="524" customWidth="1"/>
    <col min="15625" max="15625" width="10.28515625" style="524" customWidth="1"/>
    <col min="15626" max="15626" width="9.42578125" style="524" customWidth="1"/>
    <col min="15627" max="15627" width="9.28515625" style="524" customWidth="1"/>
    <col min="15628" max="15628" width="19.28515625" style="524" customWidth="1"/>
    <col min="15629" max="15629" width="13.42578125" style="524" customWidth="1"/>
    <col min="15630" max="15630" width="11.85546875" style="524" customWidth="1"/>
    <col min="15631" max="15872" width="9.140625" style="524"/>
    <col min="15873" max="15873" width="4.42578125" style="524" customWidth="1"/>
    <col min="15874" max="15874" width="43.42578125" style="524" customWidth="1"/>
    <col min="15875" max="15875" width="11.42578125" style="524" customWidth="1"/>
    <col min="15876" max="15877" width="10.140625" style="524" customWidth="1"/>
    <col min="15878" max="15878" width="11.140625" style="524" customWidth="1"/>
    <col min="15879" max="15879" width="10.7109375" style="524" customWidth="1"/>
    <col min="15880" max="15880" width="9.85546875" style="524" customWidth="1"/>
    <col min="15881" max="15881" width="10.28515625" style="524" customWidth="1"/>
    <col min="15882" max="15882" width="9.42578125" style="524" customWidth="1"/>
    <col min="15883" max="15883" width="9.28515625" style="524" customWidth="1"/>
    <col min="15884" max="15884" width="19.28515625" style="524" customWidth="1"/>
    <col min="15885" max="15885" width="13.42578125" style="524" customWidth="1"/>
    <col min="15886" max="15886" width="11.85546875" style="524" customWidth="1"/>
    <col min="15887" max="16128" width="9.140625" style="524"/>
    <col min="16129" max="16129" width="4.42578125" style="524" customWidth="1"/>
    <col min="16130" max="16130" width="43.42578125" style="524" customWidth="1"/>
    <col min="16131" max="16131" width="11.42578125" style="524" customWidth="1"/>
    <col min="16132" max="16133" width="10.140625" style="524" customWidth="1"/>
    <col min="16134" max="16134" width="11.140625" style="524" customWidth="1"/>
    <col min="16135" max="16135" width="10.7109375" style="524" customWidth="1"/>
    <col min="16136" max="16136" width="9.85546875" style="524" customWidth="1"/>
    <col min="16137" max="16137" width="10.28515625" style="524" customWidth="1"/>
    <col min="16138" max="16138" width="9.42578125" style="524" customWidth="1"/>
    <col min="16139" max="16139" width="9.28515625" style="524" customWidth="1"/>
    <col min="16140" max="16140" width="19.28515625" style="524" customWidth="1"/>
    <col min="16141" max="16141" width="13.42578125" style="524" customWidth="1"/>
    <col min="16142" max="16142" width="11.85546875" style="524" customWidth="1"/>
    <col min="16143" max="16384" width="9.140625" style="524"/>
  </cols>
  <sheetData>
    <row r="1" spans="1:14" ht="23.25" customHeight="1">
      <c r="A1" s="1675" t="s">
        <v>221</v>
      </c>
      <c r="B1" s="1675"/>
      <c r="I1" s="1681" t="s">
        <v>2227</v>
      </c>
      <c r="J1" s="1681"/>
      <c r="K1" s="1681"/>
    </row>
    <row r="2" spans="1:14" ht="34.5" customHeight="1">
      <c r="A2" s="1674" t="s">
        <v>2129</v>
      </c>
      <c r="B2" s="1674"/>
      <c r="C2" s="1674"/>
      <c r="D2" s="1674"/>
      <c r="E2" s="1674"/>
      <c r="F2" s="1674"/>
      <c r="G2" s="1674"/>
      <c r="H2" s="1674"/>
      <c r="I2" s="1674"/>
      <c r="J2" s="1674"/>
      <c r="K2" s="1674"/>
    </row>
    <row r="3" spans="1:14" ht="19.5" customHeight="1">
      <c r="A3" s="1674" t="str">
        <f>B62CK!A3</f>
        <v>(Quyết toán đã được Hội đồng nhân dân tỉnh phê chuẩn)</v>
      </c>
      <c r="B3" s="1674"/>
      <c r="C3" s="1674"/>
      <c r="D3" s="1674"/>
      <c r="E3" s="1674"/>
      <c r="F3" s="1674"/>
      <c r="G3" s="1674"/>
      <c r="H3" s="1674"/>
      <c r="I3" s="1674"/>
      <c r="J3" s="1674"/>
      <c r="K3" s="1674"/>
    </row>
    <row r="4" spans="1:14" ht="18.75" customHeight="1">
      <c r="A4" s="1676" t="str">
        <f>B62CK!A4</f>
        <v>(Kèm theo Quyết định số            /QĐ-UBND ngày         tháng 01 năm 2020 của UBND tỉnh)</v>
      </c>
      <c r="B4" s="1676"/>
      <c r="C4" s="1676"/>
      <c r="D4" s="1676"/>
      <c r="E4" s="1676"/>
      <c r="F4" s="1676"/>
      <c r="G4" s="1676"/>
      <c r="H4" s="1676"/>
      <c r="I4" s="1676"/>
      <c r="J4" s="1676"/>
      <c r="K4" s="1676"/>
    </row>
    <row r="5" spans="1:14" ht="15" customHeight="1">
      <c r="I5" s="1695" t="s">
        <v>5</v>
      </c>
      <c r="J5" s="1695"/>
      <c r="K5" s="1695"/>
      <c r="L5" s="1276"/>
    </row>
    <row r="6" spans="1:14" ht="18.75" customHeight="1">
      <c r="A6" s="1689" t="s">
        <v>0</v>
      </c>
      <c r="B6" s="1696" t="s">
        <v>1970</v>
      </c>
      <c r="C6" s="1694" t="s">
        <v>2030</v>
      </c>
      <c r="D6" s="1694" t="s">
        <v>101</v>
      </c>
      <c r="E6" s="1694"/>
      <c r="F6" s="1694" t="s">
        <v>155</v>
      </c>
      <c r="G6" s="1694" t="s">
        <v>101</v>
      </c>
      <c r="H6" s="1694"/>
      <c r="I6" s="1689" t="s">
        <v>75</v>
      </c>
      <c r="J6" s="1689"/>
      <c r="K6" s="1689"/>
    </row>
    <row r="7" spans="1:14" ht="40.5" customHeight="1">
      <c r="A7" s="1689"/>
      <c r="B7" s="1697"/>
      <c r="C7" s="1694"/>
      <c r="D7" s="1277" t="s">
        <v>241</v>
      </c>
      <c r="E7" s="1277" t="s">
        <v>272</v>
      </c>
      <c r="F7" s="1694"/>
      <c r="G7" s="1277" t="s">
        <v>241</v>
      </c>
      <c r="H7" s="1277" t="s">
        <v>242</v>
      </c>
      <c r="I7" s="1237" t="s">
        <v>102</v>
      </c>
      <c r="J7" s="1237" t="s">
        <v>1417</v>
      </c>
      <c r="K7" s="1237" t="s">
        <v>272</v>
      </c>
    </row>
    <row r="8" spans="1:14">
      <c r="A8" s="1239" t="s">
        <v>2</v>
      </c>
      <c r="B8" s="1239" t="s">
        <v>3</v>
      </c>
      <c r="C8" s="1278" t="s">
        <v>103</v>
      </c>
      <c r="D8" s="1279">
        <v>2</v>
      </c>
      <c r="E8" s="1279">
        <v>3</v>
      </c>
      <c r="F8" s="1278" t="s">
        <v>104</v>
      </c>
      <c r="G8" s="1279">
        <v>5</v>
      </c>
      <c r="H8" s="1279">
        <v>6</v>
      </c>
      <c r="I8" s="1239" t="s">
        <v>105</v>
      </c>
      <c r="J8" s="1239" t="s">
        <v>106</v>
      </c>
      <c r="K8" s="1239" t="s">
        <v>107</v>
      </c>
      <c r="L8" s="1280"/>
      <c r="M8" s="1281"/>
      <c r="N8" s="1282"/>
    </row>
    <row r="9" spans="1:14" ht="18.75" customHeight="1">
      <c r="A9" s="1283"/>
      <c r="B9" s="1283" t="s">
        <v>14</v>
      </c>
      <c r="C9" s="1284">
        <f>D9+E9</f>
        <v>5190937</v>
      </c>
      <c r="D9" s="1284">
        <f>D10+D30</f>
        <v>2738035</v>
      </c>
      <c r="E9" s="1284">
        <f>E10+E30</f>
        <v>2452902</v>
      </c>
      <c r="F9" s="1284">
        <f>F10+F30+F105</f>
        <v>5891156.5712330006</v>
      </c>
      <c r="G9" s="1284">
        <f>G10+G30+G105</f>
        <v>3160240.0725570009</v>
      </c>
      <c r="H9" s="1284">
        <f>H10+H30+H105</f>
        <v>2730916.4986760002</v>
      </c>
      <c r="I9" s="1285">
        <f>F9/C9</f>
        <v>1.13489271228547</v>
      </c>
      <c r="J9" s="1285">
        <f t="shared" ref="J9:K12" si="0">G9/D9</f>
        <v>1.1542000275953379</v>
      </c>
      <c r="K9" s="1285">
        <f t="shared" si="0"/>
        <v>1.1133410542598114</v>
      </c>
      <c r="L9" s="1286"/>
      <c r="M9" s="1287"/>
      <c r="N9" s="1287"/>
    </row>
    <row r="10" spans="1:14" ht="19.5" customHeight="1">
      <c r="A10" s="1237" t="s">
        <v>2</v>
      </c>
      <c r="B10" s="1288" t="s">
        <v>87</v>
      </c>
      <c r="C10" s="1277">
        <f t="shared" ref="C10:H10" si="1">C11+C21+C25+C26+C27+C28+C29</f>
        <v>3478898</v>
      </c>
      <c r="D10" s="1277">
        <f t="shared" si="1"/>
        <v>1454353</v>
      </c>
      <c r="E10" s="1277">
        <f t="shared" si="1"/>
        <v>2024545</v>
      </c>
      <c r="F10" s="1277">
        <f t="shared" si="1"/>
        <v>3527030.8254370005</v>
      </c>
      <c r="G10" s="1277">
        <f t="shared" si="1"/>
        <v>1451239.2158430004</v>
      </c>
      <c r="H10" s="1277">
        <f t="shared" si="1"/>
        <v>2075791.609594</v>
      </c>
      <c r="I10" s="1285">
        <f>F10/C10</f>
        <v>1.0138356529674053</v>
      </c>
      <c r="J10" s="1285">
        <f t="shared" si="0"/>
        <v>0.9978589901096917</v>
      </c>
      <c r="K10" s="1285">
        <f t="shared" si="0"/>
        <v>1.0253126552356209</v>
      </c>
      <c r="L10" s="1286"/>
      <c r="M10" s="1289"/>
      <c r="N10" s="1287"/>
    </row>
    <row r="11" spans="1:14" ht="21" customHeight="1">
      <c r="A11" s="1290" t="s">
        <v>11</v>
      </c>
      <c r="B11" s="1291" t="s">
        <v>73</v>
      </c>
      <c r="C11" s="1292">
        <f>C12+C19+C20</f>
        <v>493390</v>
      </c>
      <c r="D11" s="1292">
        <f>D12+D19+D20</f>
        <v>360746</v>
      </c>
      <c r="E11" s="1292">
        <f>E12+E19+E20</f>
        <v>132644</v>
      </c>
      <c r="F11" s="1292">
        <f>G11+H11</f>
        <v>475971.23489599995</v>
      </c>
      <c r="G11" s="1292">
        <f>G12+G19+G20</f>
        <v>312062.86511299998</v>
      </c>
      <c r="H11" s="1292">
        <f>H12+H19+H20</f>
        <v>163908.36978299997</v>
      </c>
      <c r="I11" s="1285">
        <f>F11/C11</f>
        <v>0.96469574757494059</v>
      </c>
      <c r="J11" s="1285">
        <f t="shared" si="0"/>
        <v>0.86504871880214884</v>
      </c>
      <c r="K11" s="1285">
        <f t="shared" si="0"/>
        <v>1.2357013493486322</v>
      </c>
      <c r="L11" s="1286"/>
      <c r="M11" s="1287"/>
      <c r="N11" s="1286"/>
    </row>
    <row r="12" spans="1:14" ht="19.5" customHeight="1">
      <c r="A12" s="1293">
        <v>1</v>
      </c>
      <c r="B12" s="1294" t="s">
        <v>88</v>
      </c>
      <c r="C12" s="1295">
        <f>D12+E12</f>
        <v>493390</v>
      </c>
      <c r="D12" s="1295">
        <v>360746</v>
      </c>
      <c r="E12" s="1295">
        <f>[2]B58!D11</f>
        <v>132644</v>
      </c>
      <c r="F12" s="1295">
        <f>G12+H12</f>
        <v>475971.23489599995</v>
      </c>
      <c r="G12" s="1295">
        <v>312062.86511299998</v>
      </c>
      <c r="H12" s="1295">
        <f>[2]B58!I11-22579</f>
        <v>163908.36978299997</v>
      </c>
      <c r="I12" s="1296">
        <f>F12/C12</f>
        <v>0.96469574757494059</v>
      </c>
      <c r="J12" s="1297">
        <f t="shared" si="0"/>
        <v>0.86504871880214884</v>
      </c>
      <c r="K12" s="1297">
        <f t="shared" si="0"/>
        <v>1.2357013493486322</v>
      </c>
      <c r="L12" s="1286"/>
      <c r="M12" s="1287"/>
      <c r="N12" s="1286"/>
    </row>
    <row r="13" spans="1:14" ht="15.75" customHeight="1">
      <c r="A13" s="1298"/>
      <c r="B13" s="1299" t="s">
        <v>89</v>
      </c>
      <c r="C13" s="1300"/>
      <c r="D13" s="1300"/>
      <c r="E13" s="1300"/>
      <c r="F13" s="1300"/>
      <c r="G13" s="1300"/>
      <c r="H13" s="1300"/>
      <c r="I13" s="1264"/>
      <c r="J13" s="1264"/>
      <c r="K13" s="1264"/>
      <c r="L13" s="1286"/>
      <c r="M13" s="1287"/>
      <c r="N13" s="1287"/>
    </row>
    <row r="14" spans="1:14" ht="17.25" customHeight="1">
      <c r="A14" s="1298" t="s">
        <v>4</v>
      </c>
      <c r="B14" s="1299" t="s">
        <v>90</v>
      </c>
      <c r="C14" s="1301">
        <f>D14+E14</f>
        <v>31000</v>
      </c>
      <c r="D14" s="1301">
        <v>31000</v>
      </c>
      <c r="E14" s="1300"/>
      <c r="F14" s="1301">
        <f>G14+H14</f>
        <v>129026.49696199999</v>
      </c>
      <c r="G14" s="1301">
        <v>62679.484823999999</v>
      </c>
      <c r="H14" s="1301">
        <f>[2]B58!J11</f>
        <v>66347.012137999991</v>
      </c>
      <c r="I14" s="1264"/>
      <c r="J14" s="1264"/>
      <c r="K14" s="1264"/>
      <c r="L14" s="1286"/>
      <c r="M14" s="1287"/>
      <c r="N14" s="1287"/>
    </row>
    <row r="15" spans="1:14" ht="16.5" customHeight="1">
      <c r="A15" s="1298" t="s">
        <v>4</v>
      </c>
      <c r="B15" s="1299" t="s">
        <v>91</v>
      </c>
      <c r="C15" s="1301">
        <f>D15+E15</f>
        <v>7000</v>
      </c>
      <c r="D15" s="1301">
        <v>7000</v>
      </c>
      <c r="E15" s="1300"/>
      <c r="F15" s="1301">
        <f>G15+H15</f>
        <v>8113.3419999999996</v>
      </c>
      <c r="G15" s="1301">
        <v>8113.3419999999996</v>
      </c>
      <c r="H15" s="1300"/>
      <c r="I15" s="1264"/>
      <c r="J15" s="1264"/>
      <c r="K15" s="1264"/>
      <c r="L15" s="1302"/>
      <c r="M15" s="1303"/>
      <c r="N15" s="1303"/>
    </row>
    <row r="16" spans="1:14" ht="18.75" customHeight="1">
      <c r="A16" s="1298"/>
      <c r="B16" s="1299" t="s">
        <v>92</v>
      </c>
      <c r="C16" s="1300"/>
      <c r="D16" s="1300"/>
      <c r="E16" s="1300"/>
      <c r="F16" s="1300"/>
      <c r="G16" s="1300"/>
      <c r="H16" s="1300"/>
      <c r="I16" s="1264"/>
      <c r="J16" s="1264"/>
      <c r="K16" s="1264"/>
      <c r="L16" s="1302"/>
      <c r="M16" s="1303"/>
      <c r="N16" s="1303"/>
    </row>
    <row r="17" spans="1:14" ht="18" customHeight="1">
      <c r="A17" s="1298" t="s">
        <v>4</v>
      </c>
      <c r="B17" s="1299" t="s">
        <v>93</v>
      </c>
      <c r="C17" s="1301">
        <f>D17+E17</f>
        <v>55000</v>
      </c>
      <c r="D17" s="1301">
        <v>5500</v>
      </c>
      <c r="E17" s="1301">
        <v>49500</v>
      </c>
      <c r="F17" s="1301">
        <f>G17+H17</f>
        <v>49730</v>
      </c>
      <c r="G17" s="1300">
        <v>0</v>
      </c>
      <c r="H17" s="1301">
        <v>49730</v>
      </c>
      <c r="I17" s="1264"/>
      <c r="J17" s="1264"/>
      <c r="K17" s="1264"/>
    </row>
    <row r="18" spans="1:14" ht="21" customHeight="1">
      <c r="A18" s="1298" t="s">
        <v>4</v>
      </c>
      <c r="B18" s="1299" t="s">
        <v>108</v>
      </c>
      <c r="C18" s="1301">
        <f>D18+E18</f>
        <v>15000</v>
      </c>
      <c r="D18" s="1301">
        <v>15000</v>
      </c>
      <c r="E18" s="1301">
        <v>0</v>
      </c>
      <c r="F18" s="1301">
        <f>G18+H18</f>
        <v>16231</v>
      </c>
      <c r="G18" s="1301">
        <v>16231</v>
      </c>
      <c r="H18" s="1300">
        <v>0</v>
      </c>
      <c r="I18" s="1304"/>
      <c r="J18" s="1304"/>
      <c r="K18" s="1304"/>
    </row>
    <row r="19" spans="1:14" ht="59.25" customHeight="1">
      <c r="A19" s="1293">
        <v>2</v>
      </c>
      <c r="B19" s="1294" t="s">
        <v>94</v>
      </c>
      <c r="C19" s="1295">
        <f>D19+E19</f>
        <v>0</v>
      </c>
      <c r="D19" s="1295">
        <v>0</v>
      </c>
      <c r="E19" s="1295">
        <v>0</v>
      </c>
      <c r="F19" s="1295">
        <f>G19+H19</f>
        <v>0</v>
      </c>
      <c r="G19" s="1295">
        <v>0</v>
      </c>
      <c r="H19" s="1295">
        <v>0</v>
      </c>
      <c r="I19" s="1305"/>
      <c r="J19" s="1305"/>
      <c r="K19" s="1306"/>
    </row>
    <row r="20" spans="1:14" ht="20.25" customHeight="1">
      <c r="A20" s="1293">
        <v>3</v>
      </c>
      <c r="B20" s="1294" t="s">
        <v>95</v>
      </c>
      <c r="C20" s="1295">
        <f>D20+E20</f>
        <v>0</v>
      </c>
      <c r="D20" s="1295">
        <v>0</v>
      </c>
      <c r="E20" s="1295">
        <v>0</v>
      </c>
      <c r="F20" s="1295">
        <v>0</v>
      </c>
      <c r="G20" s="1295">
        <v>0</v>
      </c>
      <c r="H20" s="1295">
        <v>0</v>
      </c>
      <c r="I20" s="1307"/>
      <c r="J20" s="1307"/>
      <c r="K20" s="1307"/>
    </row>
    <row r="21" spans="1:14" ht="24" customHeight="1">
      <c r="A21" s="1308" t="s">
        <v>7</v>
      </c>
      <c r="B21" s="1309" t="s">
        <v>15</v>
      </c>
      <c r="C21" s="1310">
        <f>D21+E21</f>
        <v>2906780</v>
      </c>
      <c r="D21" s="1310">
        <v>1056857</v>
      </c>
      <c r="E21" s="1310">
        <v>1849923</v>
      </c>
      <c r="F21" s="1310">
        <f>G21+H21</f>
        <v>2951832.3929520007</v>
      </c>
      <c r="G21" s="1310">
        <v>1078448.2104820004</v>
      </c>
      <c r="H21" s="1310">
        <v>1873384.1824700001</v>
      </c>
      <c r="I21" s="1297">
        <f>F21/C21</f>
        <v>1.0154990721526915</v>
      </c>
      <c r="J21" s="1297">
        <f>G21/D21</f>
        <v>1.0204296423092247</v>
      </c>
      <c r="K21" s="1297">
        <f>H21/E21</f>
        <v>1.0126822481097864</v>
      </c>
      <c r="L21" s="1311"/>
      <c r="M21" s="1312"/>
    </row>
    <row r="22" spans="1:14">
      <c r="A22" s="1298"/>
      <c r="B22" s="1299" t="s">
        <v>28</v>
      </c>
      <c r="C22" s="1300"/>
      <c r="D22" s="1300"/>
      <c r="E22" s="1300"/>
      <c r="F22" s="1300"/>
      <c r="G22" s="1300"/>
      <c r="H22" s="1300"/>
      <c r="I22" s="1264"/>
      <c r="J22" s="1264"/>
      <c r="K22" s="1264"/>
      <c r="M22" s="1313"/>
      <c r="N22" s="1313"/>
    </row>
    <row r="23" spans="1:14" ht="16.5" customHeight="1">
      <c r="A23" s="1298">
        <v>1</v>
      </c>
      <c r="B23" s="1299" t="s">
        <v>90</v>
      </c>
      <c r="C23" s="1301">
        <f>D23+E23</f>
        <v>1175538</v>
      </c>
      <c r="D23" s="1301">
        <v>222045</v>
      </c>
      <c r="E23" s="1301">
        <v>953493</v>
      </c>
      <c r="F23" s="1301">
        <f t="shared" ref="F23:F29" si="2">G23+H23</f>
        <v>1187349.09338</v>
      </c>
      <c r="G23" s="1301">
        <v>218603.31805999999</v>
      </c>
      <c r="H23" s="1301">
        <v>968745.7753199999</v>
      </c>
      <c r="I23" s="1314"/>
      <c r="J23" s="1314"/>
      <c r="K23" s="1314"/>
      <c r="L23" s="1274"/>
      <c r="M23" s="540"/>
      <c r="N23" s="540"/>
    </row>
    <row r="24" spans="1:14" ht="18" customHeight="1">
      <c r="A24" s="1298">
        <v>2</v>
      </c>
      <c r="B24" s="1299" t="s">
        <v>91</v>
      </c>
      <c r="C24" s="1301">
        <f>D24+E24</f>
        <v>11627</v>
      </c>
      <c r="D24" s="1301">
        <v>11627</v>
      </c>
      <c r="E24" s="1301">
        <v>0</v>
      </c>
      <c r="F24" s="1301">
        <f t="shared" si="2"/>
        <v>8608.6842129999986</v>
      </c>
      <c r="G24" s="1301">
        <v>8569.1242129999991</v>
      </c>
      <c r="H24" s="1301">
        <v>39.56</v>
      </c>
      <c r="I24" s="1315"/>
      <c r="J24" s="1315"/>
      <c r="K24" s="1315"/>
      <c r="L24" s="540"/>
    </row>
    <row r="25" spans="1:14" ht="21.75" customHeight="1">
      <c r="A25" s="1308" t="s">
        <v>8</v>
      </c>
      <c r="B25" s="1309" t="s">
        <v>16</v>
      </c>
      <c r="C25" s="1310">
        <f t="shared" ref="C25:C30" si="3">D25+E25</f>
        <v>548</v>
      </c>
      <c r="D25" s="1300">
        <v>548</v>
      </c>
      <c r="E25" s="1295">
        <v>0</v>
      </c>
      <c r="F25" s="1310">
        <f t="shared" si="2"/>
        <v>376.38898399999999</v>
      </c>
      <c r="G25" s="1310">
        <v>376.38898399999999</v>
      </c>
      <c r="H25" s="1300">
        <v>0</v>
      </c>
      <c r="I25" s="1297">
        <f>F25/C25</f>
        <v>0.68684121167883205</v>
      </c>
      <c r="J25" s="1297">
        <f>G25/D25</f>
        <v>0.68684121167883205</v>
      </c>
      <c r="K25" s="1306"/>
      <c r="L25" s="540"/>
    </row>
    <row r="26" spans="1:14" ht="21" customHeight="1">
      <c r="A26" s="1308" t="s">
        <v>9</v>
      </c>
      <c r="B26" s="1309" t="s">
        <v>47</v>
      </c>
      <c r="C26" s="1310">
        <f t="shared" si="3"/>
        <v>1000</v>
      </c>
      <c r="D26" s="1300">
        <v>1000</v>
      </c>
      <c r="E26" s="1295">
        <v>0</v>
      </c>
      <c r="F26" s="1310">
        <f t="shared" si="2"/>
        <v>1000</v>
      </c>
      <c r="G26" s="1310">
        <v>1000</v>
      </c>
      <c r="H26" s="1310">
        <v>0</v>
      </c>
      <c r="I26" s="1297">
        <f>F26/C26</f>
        <v>1</v>
      </c>
      <c r="J26" s="1297">
        <f>G26/D26</f>
        <v>1</v>
      </c>
      <c r="K26" s="1306"/>
      <c r="L26" s="540"/>
    </row>
    <row r="27" spans="1:14" ht="19.5" customHeight="1">
      <c r="A27" s="1308" t="s">
        <v>23</v>
      </c>
      <c r="B27" s="1309" t="s">
        <v>48</v>
      </c>
      <c r="C27" s="1310">
        <f t="shared" si="3"/>
        <v>77180</v>
      </c>
      <c r="D27" s="1300">
        <v>35202</v>
      </c>
      <c r="E27" s="1300">
        <v>41978</v>
      </c>
      <c r="F27" s="1310">
        <f t="shared" si="2"/>
        <v>0</v>
      </c>
      <c r="G27" s="1310">
        <v>0</v>
      </c>
      <c r="H27" s="1310">
        <v>0</v>
      </c>
      <c r="I27" s="1306">
        <f>F27/C27*100</f>
        <v>0</v>
      </c>
      <c r="J27" s="1306">
        <f>G27/D27*100</f>
        <v>0</v>
      </c>
      <c r="K27" s="1306">
        <f>H27/E27*100</f>
        <v>0</v>
      </c>
    </row>
    <row r="28" spans="1:14" ht="18.75" customHeight="1">
      <c r="A28" s="1308" t="s">
        <v>96</v>
      </c>
      <c r="B28" s="1309" t="s">
        <v>17</v>
      </c>
      <c r="C28" s="1310">
        <f t="shared" si="3"/>
        <v>0</v>
      </c>
      <c r="D28" s="1300">
        <v>0</v>
      </c>
      <c r="E28" s="1300">
        <v>0</v>
      </c>
      <c r="F28" s="1310">
        <f t="shared" si="2"/>
        <v>0</v>
      </c>
      <c r="G28" s="1300">
        <v>0</v>
      </c>
      <c r="H28" s="1300">
        <v>0</v>
      </c>
      <c r="I28" s="1306"/>
      <c r="J28" s="1306"/>
      <c r="K28" s="1306"/>
    </row>
    <row r="29" spans="1:14" ht="21.75" customHeight="1">
      <c r="A29" s="1316" t="s">
        <v>139</v>
      </c>
      <c r="B29" s="1317" t="s">
        <v>229</v>
      </c>
      <c r="C29" s="1318">
        <f t="shared" si="3"/>
        <v>0</v>
      </c>
      <c r="D29" s="1319">
        <v>0</v>
      </c>
      <c r="E29" s="1319">
        <v>0</v>
      </c>
      <c r="F29" s="1318">
        <f t="shared" si="2"/>
        <v>97850.808604999998</v>
      </c>
      <c r="G29" s="1318">
        <v>59351.751263999999</v>
      </c>
      <c r="H29" s="1318">
        <f>28717.329274+9781.728067</f>
        <v>38499.057341</v>
      </c>
      <c r="I29" s="1307"/>
      <c r="J29" s="1307"/>
      <c r="K29" s="1307"/>
    </row>
    <row r="30" spans="1:14" ht="21.75" customHeight="1">
      <c r="A30" s="1237" t="s">
        <v>3</v>
      </c>
      <c r="B30" s="1288" t="s">
        <v>2130</v>
      </c>
      <c r="C30" s="1277">
        <f t="shared" si="3"/>
        <v>1712039</v>
      </c>
      <c r="D30" s="1277">
        <f>D31+D38</f>
        <v>1283682</v>
      </c>
      <c r="E30" s="1277">
        <f>E31+E38</f>
        <v>428357</v>
      </c>
      <c r="F30" s="1277">
        <f>F31+F38</f>
        <v>1333464.7648489999</v>
      </c>
      <c r="G30" s="1277">
        <f>G31+G38</f>
        <v>811820.10829499993</v>
      </c>
      <c r="H30" s="1277">
        <f>H31+H38</f>
        <v>521644.65655399999</v>
      </c>
      <c r="I30" s="1320">
        <f t="shared" ref="I30:K32" si="4">F30/C30</f>
        <v>0.77887522705323886</v>
      </c>
      <c r="J30" s="1320">
        <f t="shared" si="4"/>
        <v>0.6324152775336882</v>
      </c>
      <c r="K30" s="1320">
        <f t="shared" si="4"/>
        <v>1.2177801613000372</v>
      </c>
    </row>
    <row r="31" spans="1:14" ht="18" customHeight="1">
      <c r="A31" s="1290" t="s">
        <v>11</v>
      </c>
      <c r="B31" s="1291" t="s">
        <v>50</v>
      </c>
      <c r="C31" s="1292">
        <f>C32+C35</f>
        <v>338109</v>
      </c>
      <c r="D31" s="1292">
        <f>D32+D35</f>
        <v>20941</v>
      </c>
      <c r="E31" s="1292">
        <f>E32+E35</f>
        <v>317168</v>
      </c>
      <c r="F31" s="1292">
        <f t="shared" ref="F31:F37" si="5">G31+H31</f>
        <v>395396.299039</v>
      </c>
      <c r="G31" s="1292">
        <f>G32+G35</f>
        <v>19271</v>
      </c>
      <c r="H31" s="1292">
        <f>H32+H35</f>
        <v>376125.299039</v>
      </c>
      <c r="I31" s="1297">
        <f t="shared" si="4"/>
        <v>1.1694344103203405</v>
      </c>
      <c r="J31" s="1297">
        <f t="shared" si="4"/>
        <v>0.92025213695621033</v>
      </c>
      <c r="K31" s="1297">
        <f t="shared" si="4"/>
        <v>1.1858866564060688</v>
      </c>
    </row>
    <row r="32" spans="1:14" ht="23.25" customHeight="1">
      <c r="A32" s="1293">
        <v>1</v>
      </c>
      <c r="B32" s="1321" t="s">
        <v>1419</v>
      </c>
      <c r="C32" s="1295">
        <f>C33+C34</f>
        <v>185409</v>
      </c>
      <c r="D32" s="1295">
        <f>D33+D34</f>
        <v>6142</v>
      </c>
      <c r="E32" s="1295">
        <f>E33+E34</f>
        <v>179267</v>
      </c>
      <c r="F32" s="1295">
        <f t="shared" si="5"/>
        <v>228358.433529</v>
      </c>
      <c r="G32" s="1295">
        <f>G33+G34</f>
        <v>6142</v>
      </c>
      <c r="H32" s="1295">
        <f>H33+H34</f>
        <v>222216.433529</v>
      </c>
      <c r="I32" s="1296">
        <f t="shared" si="4"/>
        <v>1.2316469725256056</v>
      </c>
      <c r="J32" s="1296">
        <f t="shared" si="4"/>
        <v>1</v>
      </c>
      <c r="K32" s="1296">
        <f t="shared" si="4"/>
        <v>1.2395836017169919</v>
      </c>
    </row>
    <row r="33" spans="1:11" ht="16.5" customHeight="1">
      <c r="A33" s="1298" t="s">
        <v>30</v>
      </c>
      <c r="B33" s="1322" t="s">
        <v>1420</v>
      </c>
      <c r="C33" s="1300">
        <f>D33+E33</f>
        <v>128173</v>
      </c>
      <c r="D33" s="1300">
        <v>0</v>
      </c>
      <c r="E33" s="1300">
        <v>128173</v>
      </c>
      <c r="F33" s="1300">
        <f t="shared" si="5"/>
        <v>171987.16527500001</v>
      </c>
      <c r="G33" s="1300">
        <f>'[2]B61 Các CTMT QG'!Q13</f>
        <v>0</v>
      </c>
      <c r="H33" s="1300">
        <f>'[2]B61 Các CTMT QG'!Q27</f>
        <v>171987.16527500001</v>
      </c>
      <c r="I33" s="1264"/>
      <c r="J33" s="1264"/>
      <c r="K33" s="1264"/>
    </row>
    <row r="34" spans="1:11" ht="17.25" customHeight="1">
      <c r="A34" s="1298" t="s">
        <v>31</v>
      </c>
      <c r="B34" s="1323" t="s">
        <v>1421</v>
      </c>
      <c r="C34" s="1300">
        <f>D34+E34</f>
        <v>57236</v>
      </c>
      <c r="D34" s="1300">
        <v>6142</v>
      </c>
      <c r="E34" s="1300">
        <v>51094</v>
      </c>
      <c r="F34" s="1300">
        <f t="shared" si="5"/>
        <v>56371.268253999995</v>
      </c>
      <c r="G34" s="1300">
        <f>'[2]B61 Các CTMT QG'!T13</f>
        <v>6142</v>
      </c>
      <c r="H34" s="1300">
        <f>'[2]B61 Các CTMT QG'!T27</f>
        <v>50229.268253999995</v>
      </c>
      <c r="I34" s="1304"/>
      <c r="J34" s="1304"/>
      <c r="K34" s="1304"/>
    </row>
    <row r="35" spans="1:11" ht="21" customHeight="1">
      <c r="A35" s="1293">
        <v>2</v>
      </c>
      <c r="B35" s="1294" t="s">
        <v>1273</v>
      </c>
      <c r="C35" s="1295">
        <f>C36+C37</f>
        <v>152700</v>
      </c>
      <c r="D35" s="1295">
        <f>D36+D37</f>
        <v>14799</v>
      </c>
      <c r="E35" s="1295">
        <f>E36+E37</f>
        <v>137901</v>
      </c>
      <c r="F35" s="1295">
        <f t="shared" si="5"/>
        <v>167037.86551</v>
      </c>
      <c r="G35" s="1295">
        <f>G36+G37</f>
        <v>13129</v>
      </c>
      <c r="H35" s="1295">
        <f>H36+H37</f>
        <v>153908.86551</v>
      </c>
      <c r="I35" s="1296">
        <f>F35/C35</f>
        <v>1.0938956483955469</v>
      </c>
      <c r="J35" s="1296">
        <f>G35/D35</f>
        <v>0.88715453746874784</v>
      </c>
      <c r="K35" s="1296">
        <f>H35/E35</f>
        <v>1.116082301868732</v>
      </c>
    </row>
    <row r="36" spans="1:11" ht="16.5" customHeight="1">
      <c r="A36" s="1298" t="s">
        <v>30</v>
      </c>
      <c r="B36" s="1322" t="s">
        <v>1420</v>
      </c>
      <c r="C36" s="1300">
        <f>D36+E36</f>
        <v>110900</v>
      </c>
      <c r="D36" s="1300">
        <v>0</v>
      </c>
      <c r="E36" s="1324">
        <v>110900</v>
      </c>
      <c r="F36" s="1300">
        <f t="shared" si="5"/>
        <v>117966.567389</v>
      </c>
      <c r="G36" s="1300">
        <f>'[2]B61 Các CTMT QG'!J13</f>
        <v>0</v>
      </c>
      <c r="H36" s="1300">
        <f>'[2]B61 Các CTMT QG'!J27</f>
        <v>117966.567389</v>
      </c>
      <c r="I36" s="1314"/>
      <c r="J36" s="1314"/>
      <c r="K36" s="1314"/>
    </row>
    <row r="37" spans="1:11" ht="18" customHeight="1">
      <c r="A37" s="1298" t="s">
        <v>31</v>
      </c>
      <c r="B37" s="1323" t="s">
        <v>1421</v>
      </c>
      <c r="C37" s="1300">
        <f>D37+E37</f>
        <v>41800</v>
      </c>
      <c r="D37" s="1300">
        <v>14799</v>
      </c>
      <c r="E37" s="1300">
        <v>27001</v>
      </c>
      <c r="F37" s="1300">
        <f t="shared" si="5"/>
        <v>49071.298121</v>
      </c>
      <c r="G37" s="1300">
        <f>'[2]B61 Các CTMT QG'!M13</f>
        <v>13129</v>
      </c>
      <c r="H37" s="1300">
        <f>'[2]B61 Các CTMT QG'!M27</f>
        <v>35942.298121</v>
      </c>
      <c r="I37" s="1314"/>
      <c r="J37" s="1314"/>
      <c r="K37" s="1314"/>
    </row>
    <row r="38" spans="1:11" ht="19.5" customHeight="1">
      <c r="A38" s="1308" t="s">
        <v>7</v>
      </c>
      <c r="B38" s="1309" t="s">
        <v>51</v>
      </c>
      <c r="C38" s="1310">
        <f t="shared" ref="C38:H38" si="6">C39+C56</f>
        <v>1373930</v>
      </c>
      <c r="D38" s="1310">
        <f t="shared" si="6"/>
        <v>1262741</v>
      </c>
      <c r="E38" s="1310">
        <f t="shared" si="6"/>
        <v>111189</v>
      </c>
      <c r="F38" s="1310">
        <f t="shared" si="6"/>
        <v>938068.46580999997</v>
      </c>
      <c r="G38" s="1310">
        <f t="shared" si="6"/>
        <v>792549.10829499993</v>
      </c>
      <c r="H38" s="1310">
        <f t="shared" si="6"/>
        <v>145519.35751499998</v>
      </c>
      <c r="I38" s="1297">
        <f t="shared" ref="I38:K39" si="7">F38/C38</f>
        <v>0.68276292519269544</v>
      </c>
      <c r="J38" s="1297">
        <f t="shared" si="7"/>
        <v>0.6276418586986563</v>
      </c>
      <c r="K38" s="1297">
        <f t="shared" si="7"/>
        <v>1.3087567791328276</v>
      </c>
    </row>
    <row r="39" spans="1:11" ht="16.5" customHeight="1">
      <c r="A39" s="1293">
        <v>1</v>
      </c>
      <c r="B39" s="1294" t="s">
        <v>1420</v>
      </c>
      <c r="C39" s="1295">
        <f>C40+C53+C54+C55</f>
        <v>1142579</v>
      </c>
      <c r="D39" s="1295">
        <f>D40+D53+D54+D55</f>
        <v>1110379</v>
      </c>
      <c r="E39" s="1295">
        <f>E40+E53+E54+E55</f>
        <v>32200</v>
      </c>
      <c r="F39" s="1295">
        <f>G39+H39</f>
        <v>615080</v>
      </c>
      <c r="G39" s="1295">
        <f>G40+G51+G52+G53+G54+G55</f>
        <v>592501</v>
      </c>
      <c r="H39" s="1295">
        <f>H40+H51+H52+H53+H54+H55</f>
        <v>22579</v>
      </c>
      <c r="I39" s="1296">
        <f t="shared" si="7"/>
        <v>0.53832601509392353</v>
      </c>
      <c r="J39" s="1296">
        <f t="shared" si="7"/>
        <v>0.53360249068110976</v>
      </c>
      <c r="K39" s="1296">
        <f t="shared" si="7"/>
        <v>0.70121118012422357</v>
      </c>
    </row>
    <row r="40" spans="1:11" ht="22.5" customHeight="1">
      <c r="A40" s="1298" t="s">
        <v>308</v>
      </c>
      <c r="B40" s="1323" t="s">
        <v>1423</v>
      </c>
      <c r="C40" s="1300">
        <f t="shared" ref="C40:C52" si="8">D40+E40</f>
        <v>204200</v>
      </c>
      <c r="D40" s="1300">
        <f>SUM(D41:D49)</f>
        <v>172000</v>
      </c>
      <c r="E40" s="1300">
        <f>SUM(E41:E49)</f>
        <v>32200</v>
      </c>
      <c r="F40" s="1300">
        <f t="shared" ref="F40:F50" si="9">G40+H40</f>
        <v>189318</v>
      </c>
      <c r="G40" s="1300">
        <f>SUM(G41:G50)</f>
        <v>166739</v>
      </c>
      <c r="H40" s="1300">
        <f>SUM(H41:H50)</f>
        <v>22579</v>
      </c>
      <c r="I40" s="1325">
        <f>F40/C40</f>
        <v>0.92712047012732612</v>
      </c>
      <c r="J40" s="1325">
        <f>G40/D40</f>
        <v>0.96941279069767439</v>
      </c>
      <c r="K40" s="1306"/>
    </row>
    <row r="41" spans="1:11" ht="20.25" customHeight="1">
      <c r="A41" s="1326" t="s">
        <v>287</v>
      </c>
      <c r="B41" s="1327" t="s">
        <v>1422</v>
      </c>
      <c r="C41" s="1301">
        <f t="shared" si="8"/>
        <v>48973</v>
      </c>
      <c r="D41" s="1301">
        <v>48973</v>
      </c>
      <c r="E41" s="1301">
        <v>0</v>
      </c>
      <c r="F41" s="1301">
        <f t="shared" si="9"/>
        <v>54610</v>
      </c>
      <c r="G41" s="1301">
        <v>54610</v>
      </c>
      <c r="H41" s="1301">
        <v>0</v>
      </c>
      <c r="I41" s="1314"/>
      <c r="J41" s="1314"/>
      <c r="K41" s="1314"/>
    </row>
    <row r="42" spans="1:11" ht="30.75" customHeight="1">
      <c r="A42" s="1326" t="s">
        <v>287</v>
      </c>
      <c r="B42" s="1327" t="s">
        <v>1424</v>
      </c>
      <c r="C42" s="1301">
        <f t="shared" si="8"/>
        <v>20650</v>
      </c>
      <c r="D42" s="1301">
        <v>20650</v>
      </c>
      <c r="E42" s="1301">
        <v>0</v>
      </c>
      <c r="F42" s="1301">
        <f t="shared" si="9"/>
        <v>20502</v>
      </c>
      <c r="G42" s="1301">
        <v>20502</v>
      </c>
      <c r="H42" s="1301">
        <v>0</v>
      </c>
      <c r="I42" s="1314"/>
      <c r="J42" s="1314"/>
      <c r="K42" s="1314"/>
    </row>
    <row r="43" spans="1:11" ht="22.5" customHeight="1">
      <c r="A43" s="1326" t="s">
        <v>287</v>
      </c>
      <c r="B43" s="1328" t="s">
        <v>1425</v>
      </c>
      <c r="C43" s="1301">
        <f t="shared" si="8"/>
        <v>0</v>
      </c>
      <c r="D43" s="1301">
        <v>0</v>
      </c>
      <c r="E43" s="1301">
        <v>0</v>
      </c>
      <c r="F43" s="1301">
        <f t="shared" si="9"/>
        <v>0</v>
      </c>
      <c r="G43" s="1301">
        <v>0</v>
      </c>
      <c r="H43" s="1301">
        <v>0</v>
      </c>
      <c r="I43" s="1314"/>
      <c r="J43" s="1314"/>
      <c r="K43" s="1314"/>
    </row>
    <row r="44" spans="1:11" ht="21" customHeight="1">
      <c r="A44" s="1329" t="s">
        <v>287</v>
      </c>
      <c r="B44" s="1330" t="s">
        <v>1426</v>
      </c>
      <c r="C44" s="1331">
        <f t="shared" si="8"/>
        <v>35777</v>
      </c>
      <c r="D44" s="1331">
        <v>35777</v>
      </c>
      <c r="E44" s="1331">
        <v>0</v>
      </c>
      <c r="F44" s="1331">
        <f t="shared" si="9"/>
        <v>30015</v>
      </c>
      <c r="G44" s="1331">
        <v>30015</v>
      </c>
      <c r="H44" s="1331">
        <v>0</v>
      </c>
      <c r="I44" s="1332"/>
      <c r="J44" s="1332"/>
      <c r="K44" s="1332"/>
    </row>
    <row r="45" spans="1:11" ht="32.25" customHeight="1">
      <c r="A45" s="1326" t="s">
        <v>287</v>
      </c>
      <c r="B45" s="1328" t="s">
        <v>2131</v>
      </c>
      <c r="C45" s="1301">
        <f t="shared" si="8"/>
        <v>8000</v>
      </c>
      <c r="D45" s="1301">
        <v>8000</v>
      </c>
      <c r="E45" s="1301">
        <v>0</v>
      </c>
      <c r="F45" s="1301">
        <f t="shared" si="9"/>
        <v>6888</v>
      </c>
      <c r="G45" s="1301">
        <v>6888</v>
      </c>
      <c r="H45" s="1301">
        <v>0</v>
      </c>
      <c r="I45" s="1314"/>
      <c r="J45" s="1314"/>
      <c r="K45" s="1314"/>
    </row>
    <row r="46" spans="1:11" ht="33.75" customHeight="1">
      <c r="A46" s="1326" t="s">
        <v>287</v>
      </c>
      <c r="B46" s="1328" t="s">
        <v>1427</v>
      </c>
      <c r="C46" s="1301">
        <f t="shared" si="8"/>
        <v>5000</v>
      </c>
      <c r="D46" s="1301">
        <v>5000</v>
      </c>
      <c r="E46" s="1301">
        <v>0</v>
      </c>
      <c r="F46" s="1301">
        <f t="shared" si="9"/>
        <v>961</v>
      </c>
      <c r="G46" s="1301">
        <v>961</v>
      </c>
      <c r="H46" s="1301">
        <v>0</v>
      </c>
      <c r="I46" s="1314"/>
      <c r="J46" s="1314"/>
      <c r="K46" s="1314"/>
    </row>
    <row r="47" spans="1:11" ht="23.25" customHeight="1">
      <c r="A47" s="1326" t="s">
        <v>287</v>
      </c>
      <c r="B47" s="1328" t="s">
        <v>1429</v>
      </c>
      <c r="C47" s="1301">
        <f t="shared" si="8"/>
        <v>10000</v>
      </c>
      <c r="D47" s="1301">
        <v>10000</v>
      </c>
      <c r="E47" s="1301">
        <v>0</v>
      </c>
      <c r="F47" s="1301">
        <f t="shared" si="9"/>
        <v>10000</v>
      </c>
      <c r="G47" s="1301">
        <v>10000</v>
      </c>
      <c r="H47" s="1301">
        <v>0</v>
      </c>
      <c r="I47" s="1314"/>
      <c r="J47" s="1314"/>
      <c r="K47" s="1314"/>
    </row>
    <row r="48" spans="1:11" ht="21.75" customHeight="1">
      <c r="A48" s="1326" t="s">
        <v>287</v>
      </c>
      <c r="B48" s="1328" t="s">
        <v>1428</v>
      </c>
      <c r="C48" s="1301">
        <f t="shared" si="8"/>
        <v>43600</v>
      </c>
      <c r="D48" s="1301">
        <v>43600</v>
      </c>
      <c r="E48" s="1301">
        <v>0</v>
      </c>
      <c r="F48" s="1301">
        <f t="shared" si="9"/>
        <v>41713</v>
      </c>
      <c r="G48" s="1301">
        <v>41713</v>
      </c>
      <c r="H48" s="1301">
        <v>0</v>
      </c>
      <c r="I48" s="1314"/>
      <c r="J48" s="1314"/>
      <c r="K48" s="1314"/>
    </row>
    <row r="49" spans="1:11" ht="22.5" customHeight="1">
      <c r="A49" s="1326" t="s">
        <v>287</v>
      </c>
      <c r="B49" s="1328" t="s">
        <v>2132</v>
      </c>
      <c r="C49" s="1301">
        <f t="shared" si="8"/>
        <v>32200</v>
      </c>
      <c r="D49" s="1301">
        <v>0</v>
      </c>
      <c r="E49" s="1301">
        <v>32200</v>
      </c>
      <c r="F49" s="1301">
        <f t="shared" si="9"/>
        <v>22579</v>
      </c>
      <c r="G49" s="1301">
        <v>0</v>
      </c>
      <c r="H49" s="1301">
        <v>22579</v>
      </c>
      <c r="I49" s="1315"/>
      <c r="J49" s="1315"/>
      <c r="K49" s="1315"/>
    </row>
    <row r="50" spans="1:11" ht="20.25" customHeight="1">
      <c r="A50" s="1326" t="s">
        <v>287</v>
      </c>
      <c r="B50" s="1328" t="s">
        <v>2133</v>
      </c>
      <c r="C50" s="1301">
        <f>D50+E50</f>
        <v>0</v>
      </c>
      <c r="D50" s="1301">
        <v>0</v>
      </c>
      <c r="E50" s="1301">
        <v>0</v>
      </c>
      <c r="F50" s="1301">
        <f t="shared" si="9"/>
        <v>2050</v>
      </c>
      <c r="G50" s="1301">
        <v>2050</v>
      </c>
      <c r="H50" s="1301">
        <v>0</v>
      </c>
      <c r="I50" s="1315"/>
      <c r="J50" s="1315"/>
      <c r="K50" s="1315"/>
    </row>
    <row r="51" spans="1:11" ht="37.5" customHeight="1">
      <c r="A51" s="1298" t="s">
        <v>305</v>
      </c>
      <c r="B51" s="1333" t="s">
        <v>2134</v>
      </c>
      <c r="C51" s="1301">
        <f t="shared" si="8"/>
        <v>0</v>
      </c>
      <c r="D51" s="1301">
        <v>0</v>
      </c>
      <c r="E51" s="1301">
        <v>0</v>
      </c>
      <c r="F51" s="1300">
        <f>G51+H51</f>
        <v>550</v>
      </c>
      <c r="G51" s="1300">
        <v>550</v>
      </c>
      <c r="H51" s="1301">
        <v>0</v>
      </c>
      <c r="I51" s="1314"/>
      <c r="J51" s="1314"/>
      <c r="K51" s="1314"/>
    </row>
    <row r="52" spans="1:11" ht="31.5" customHeight="1">
      <c r="A52" s="1298" t="s">
        <v>300</v>
      </c>
      <c r="B52" s="1333" t="s">
        <v>2135</v>
      </c>
      <c r="C52" s="1301">
        <f t="shared" si="8"/>
        <v>0</v>
      </c>
      <c r="D52" s="1301">
        <v>0</v>
      </c>
      <c r="E52" s="1301">
        <v>0</v>
      </c>
      <c r="F52" s="1300">
        <f>G52+H52</f>
        <v>1109</v>
      </c>
      <c r="G52" s="1300">
        <v>1109</v>
      </c>
      <c r="H52" s="1301">
        <v>0</v>
      </c>
      <c r="I52" s="1315"/>
      <c r="J52" s="1315"/>
      <c r="K52" s="1315"/>
    </row>
    <row r="53" spans="1:11" ht="21" customHeight="1">
      <c r="A53" s="1298" t="s">
        <v>1432</v>
      </c>
      <c r="B53" s="1333" t="s">
        <v>1430</v>
      </c>
      <c r="C53" s="1300">
        <f>D53+E53</f>
        <v>450379</v>
      </c>
      <c r="D53" s="1300">
        <v>450379</v>
      </c>
      <c r="E53" s="1300">
        <v>0</v>
      </c>
      <c r="F53" s="1300">
        <f>G53+H53</f>
        <v>153803</v>
      </c>
      <c r="G53" s="1300">
        <v>153803</v>
      </c>
      <c r="H53" s="1300">
        <v>0</v>
      </c>
      <c r="I53" s="1325">
        <f>F53/C53</f>
        <v>0.34149682822689337</v>
      </c>
      <c r="J53" s="1325">
        <f>G53/D53</f>
        <v>0.34149682822689337</v>
      </c>
      <c r="K53" s="1306"/>
    </row>
    <row r="54" spans="1:11" ht="21.75" customHeight="1">
      <c r="A54" s="1298" t="s">
        <v>1433</v>
      </c>
      <c r="B54" s="1323" t="s">
        <v>1431</v>
      </c>
      <c r="C54" s="1300">
        <f>D54+E54</f>
        <v>488000</v>
      </c>
      <c r="D54" s="1300">
        <v>488000</v>
      </c>
      <c r="E54" s="1300">
        <v>0</v>
      </c>
      <c r="F54" s="1300">
        <f>G54+H54</f>
        <v>232895</v>
      </c>
      <c r="G54" s="1300">
        <v>232895</v>
      </c>
      <c r="H54" s="1300">
        <v>0</v>
      </c>
      <c r="I54" s="1306"/>
      <c r="J54" s="1306"/>
      <c r="K54" s="1306"/>
    </row>
    <row r="55" spans="1:11" ht="24.75" customHeight="1">
      <c r="A55" s="1298" t="s">
        <v>1434</v>
      </c>
      <c r="B55" s="1323" t="s">
        <v>1435</v>
      </c>
      <c r="C55" s="1300">
        <f>D55+E55</f>
        <v>0</v>
      </c>
      <c r="D55" s="1300">
        <v>0</v>
      </c>
      <c r="E55" s="1300">
        <v>0</v>
      </c>
      <c r="F55" s="1300">
        <f>G55+H55</f>
        <v>37405</v>
      </c>
      <c r="G55" s="1300">
        <v>37405</v>
      </c>
      <c r="H55" s="1300">
        <v>0</v>
      </c>
      <c r="I55" s="1306"/>
      <c r="J55" s="1306"/>
      <c r="K55" s="1306"/>
    </row>
    <row r="56" spans="1:11" ht="19.5" customHeight="1">
      <c r="A56" s="1293">
        <v>2</v>
      </c>
      <c r="B56" s="1294" t="s">
        <v>1421</v>
      </c>
      <c r="C56" s="1295">
        <f t="shared" ref="C56:H56" si="10">C57+C61</f>
        <v>231351</v>
      </c>
      <c r="D56" s="1295">
        <f t="shared" si="10"/>
        <v>152362</v>
      </c>
      <c r="E56" s="1295">
        <f t="shared" si="10"/>
        <v>78989</v>
      </c>
      <c r="F56" s="1295">
        <f t="shared" si="10"/>
        <v>322988.46580999997</v>
      </c>
      <c r="G56" s="1295">
        <f t="shared" si="10"/>
        <v>200048.10829499998</v>
      </c>
      <c r="H56" s="1295">
        <f t="shared" si="10"/>
        <v>122940.35751499998</v>
      </c>
      <c r="I56" s="1296">
        <f>F56/C56</f>
        <v>1.3960971243262401</v>
      </c>
      <c r="J56" s="1296">
        <f>G56/D56</f>
        <v>1.3129790124506109</v>
      </c>
      <c r="K56" s="1296">
        <f>H56/E56</f>
        <v>1.5564237743863067</v>
      </c>
    </row>
    <row r="57" spans="1:11" ht="18" customHeight="1">
      <c r="A57" s="1298" t="s">
        <v>294</v>
      </c>
      <c r="B57" s="1323" t="s">
        <v>149</v>
      </c>
      <c r="C57" s="1300">
        <f>C58+C59+C60</f>
        <v>23810</v>
      </c>
      <c r="D57" s="1300">
        <f>D58+D59+D60</f>
        <v>23810</v>
      </c>
      <c r="E57" s="1300">
        <f>E58+E59+E60</f>
        <v>0</v>
      </c>
      <c r="F57" s="1300">
        <f t="shared" ref="F57:F104" si="11">G57+H57</f>
        <v>13392.88343</v>
      </c>
      <c r="G57" s="1300">
        <f>G58+G59+G60</f>
        <v>13392.88343</v>
      </c>
      <c r="H57" s="1300">
        <f>H58+H59+H60</f>
        <v>0</v>
      </c>
      <c r="I57" s="1325">
        <f>F57/C57</f>
        <v>0.56248985426291476</v>
      </c>
      <c r="J57" s="1325">
        <f>G57/D57</f>
        <v>0.56248985426291476</v>
      </c>
      <c r="K57" s="1264"/>
    </row>
    <row r="58" spans="1:11" ht="58.5" customHeight="1">
      <c r="A58" s="1326" t="s">
        <v>287</v>
      </c>
      <c r="B58" s="1299" t="s">
        <v>2136</v>
      </c>
      <c r="C58" s="1301">
        <f>D58+E58</f>
        <v>1610</v>
      </c>
      <c r="D58" s="1301">
        <v>1610</v>
      </c>
      <c r="E58" s="1301">
        <v>0</v>
      </c>
      <c r="F58" s="1301">
        <f t="shared" si="11"/>
        <v>1571.8834300000001</v>
      </c>
      <c r="G58" s="1301">
        <f>1571.88343</f>
        <v>1571.8834300000001</v>
      </c>
      <c r="H58" s="1301">
        <v>0</v>
      </c>
      <c r="I58" s="1314"/>
      <c r="J58" s="1314"/>
      <c r="K58" s="1314"/>
    </row>
    <row r="59" spans="1:11" ht="45" customHeight="1">
      <c r="A59" s="1326" t="s">
        <v>287</v>
      </c>
      <c r="B59" s="1299" t="s">
        <v>2137</v>
      </c>
      <c r="C59" s="1301">
        <f>D59+E59</f>
        <v>400</v>
      </c>
      <c r="D59" s="1301">
        <v>400</v>
      </c>
      <c r="E59" s="1301">
        <v>0</v>
      </c>
      <c r="F59" s="1301">
        <f t="shared" si="11"/>
        <v>21</v>
      </c>
      <c r="G59" s="1301">
        <f>21</f>
        <v>21</v>
      </c>
      <c r="H59" s="1301">
        <v>0</v>
      </c>
      <c r="I59" s="1314"/>
      <c r="J59" s="1314"/>
      <c r="K59" s="1314"/>
    </row>
    <row r="60" spans="1:11" ht="44.25" customHeight="1">
      <c r="A60" s="1326" t="s">
        <v>287</v>
      </c>
      <c r="B60" s="1299" t="s">
        <v>2138</v>
      </c>
      <c r="C60" s="1301">
        <f>D60+E60</f>
        <v>21800</v>
      </c>
      <c r="D60" s="1301">
        <v>21800</v>
      </c>
      <c r="E60" s="1301">
        <v>0</v>
      </c>
      <c r="F60" s="1301">
        <f t="shared" si="11"/>
        <v>11800</v>
      </c>
      <c r="G60" s="1301">
        <v>11800</v>
      </c>
      <c r="H60" s="1301">
        <v>0</v>
      </c>
      <c r="I60" s="1314"/>
      <c r="J60" s="1314"/>
      <c r="K60" s="1314"/>
    </row>
    <row r="61" spans="1:11" ht="23.25" customHeight="1">
      <c r="A61" s="1298" t="s">
        <v>1439</v>
      </c>
      <c r="B61" s="1323" t="s">
        <v>29</v>
      </c>
      <c r="C61" s="1300">
        <f>SUM(C62:C90)</f>
        <v>207541</v>
      </c>
      <c r="D61" s="1300">
        <f>SUM(D62:D90)</f>
        <v>128552</v>
      </c>
      <c r="E61" s="1300">
        <f>SUM(E62:E90)</f>
        <v>78989</v>
      </c>
      <c r="F61" s="1300">
        <f t="shared" si="11"/>
        <v>309595.58237999998</v>
      </c>
      <c r="G61" s="1300">
        <f>SUM(G62:G104)</f>
        <v>186655.224865</v>
      </c>
      <c r="H61" s="1300">
        <f>SUM(H62:H104)</f>
        <v>122940.35751499998</v>
      </c>
      <c r="I61" s="1325">
        <f>F61/C61</f>
        <v>1.4917321511412203</v>
      </c>
      <c r="J61" s="1325">
        <f>G61/D61</f>
        <v>1.4519822707153525</v>
      </c>
      <c r="K61" s="1325">
        <f>H61/E61</f>
        <v>1.5564237743863067</v>
      </c>
    </row>
    <row r="62" spans="1:11" ht="23.25" customHeight="1">
      <c r="A62" s="1326" t="s">
        <v>287</v>
      </c>
      <c r="B62" s="1299" t="s">
        <v>2139</v>
      </c>
      <c r="C62" s="1301">
        <f t="shared" ref="C62:C105" si="12">D62+E62</f>
        <v>600</v>
      </c>
      <c r="D62" s="1301">
        <v>600</v>
      </c>
      <c r="E62" s="1301">
        <v>0</v>
      </c>
      <c r="F62" s="1301">
        <f t="shared" si="11"/>
        <v>890</v>
      </c>
      <c r="G62" s="1301">
        <v>890</v>
      </c>
      <c r="H62" s="1301">
        <v>0</v>
      </c>
      <c r="I62" s="1314"/>
      <c r="J62" s="1314"/>
      <c r="K62" s="1314"/>
    </row>
    <row r="63" spans="1:11" ht="21" customHeight="1">
      <c r="A63" s="1326" t="s">
        <v>287</v>
      </c>
      <c r="B63" s="1299" t="s">
        <v>2140</v>
      </c>
      <c r="C63" s="1301">
        <f t="shared" si="12"/>
        <v>560</v>
      </c>
      <c r="D63" s="1301">
        <f>470+90</f>
        <v>560</v>
      </c>
      <c r="E63" s="1301">
        <v>0</v>
      </c>
      <c r="F63" s="1301">
        <f t="shared" si="11"/>
        <v>560</v>
      </c>
      <c r="G63" s="1301">
        <v>560</v>
      </c>
      <c r="H63" s="1301">
        <v>0</v>
      </c>
      <c r="I63" s="1314"/>
      <c r="J63" s="1314"/>
      <c r="K63" s="1314"/>
    </row>
    <row r="64" spans="1:11" ht="20.25" customHeight="1">
      <c r="A64" s="1326" t="s">
        <v>287</v>
      </c>
      <c r="B64" s="1327" t="s">
        <v>2141</v>
      </c>
      <c r="C64" s="1301">
        <f t="shared" si="12"/>
        <v>500</v>
      </c>
      <c r="D64" s="1301">
        <v>500</v>
      </c>
      <c r="E64" s="1301">
        <v>0</v>
      </c>
      <c r="F64" s="1301">
        <f t="shared" si="11"/>
        <v>500</v>
      </c>
      <c r="G64" s="1301">
        <v>500</v>
      </c>
      <c r="H64" s="1301">
        <v>0</v>
      </c>
      <c r="I64" s="1314"/>
      <c r="J64" s="1314"/>
      <c r="K64" s="1314"/>
    </row>
    <row r="65" spans="1:11" ht="19.5" customHeight="1">
      <c r="A65" s="1326" t="s">
        <v>287</v>
      </c>
      <c r="B65" s="1327" t="s">
        <v>2142</v>
      </c>
      <c r="C65" s="1301">
        <f t="shared" si="12"/>
        <v>431</v>
      </c>
      <c r="D65" s="1301">
        <v>431</v>
      </c>
      <c r="E65" s="1301">
        <v>0</v>
      </c>
      <c r="F65" s="1301">
        <f t="shared" si="11"/>
        <v>307</v>
      </c>
      <c r="G65" s="1301">
        <v>307</v>
      </c>
      <c r="H65" s="1301">
        <v>0</v>
      </c>
      <c r="I65" s="1314"/>
      <c r="J65" s="1314"/>
      <c r="K65" s="1314"/>
    </row>
    <row r="66" spans="1:11" ht="31.5" customHeight="1">
      <c r="A66" s="1326" t="s">
        <v>287</v>
      </c>
      <c r="B66" s="1328" t="s">
        <v>2143</v>
      </c>
      <c r="C66" s="1301">
        <f t="shared" si="12"/>
        <v>26438</v>
      </c>
      <c r="D66" s="1301">
        <v>5235</v>
      </c>
      <c r="E66" s="1301">
        <v>21203</v>
      </c>
      <c r="F66" s="1301">
        <f t="shared" si="11"/>
        <v>30360.170190000001</v>
      </c>
      <c r="G66" s="1301">
        <v>5875</v>
      </c>
      <c r="H66" s="1301">
        <v>24485.170190000001</v>
      </c>
      <c r="I66" s="1314"/>
      <c r="J66" s="1314"/>
      <c r="K66" s="1314"/>
    </row>
    <row r="67" spans="1:11" ht="30" customHeight="1">
      <c r="A67" s="1326" t="s">
        <v>287</v>
      </c>
      <c r="B67" s="1327" t="s">
        <v>2144</v>
      </c>
      <c r="C67" s="1301">
        <f t="shared" si="12"/>
        <v>6965</v>
      </c>
      <c r="D67" s="1301">
        <v>6</v>
      </c>
      <c r="E67" s="1301">
        <v>6959</v>
      </c>
      <c r="F67" s="1301">
        <f t="shared" si="11"/>
        <v>10565.010847000005</v>
      </c>
      <c r="G67" s="1301">
        <v>0</v>
      </c>
      <c r="H67" s="1301">
        <v>10565.010847000005</v>
      </c>
      <c r="I67" s="1314"/>
      <c r="J67" s="1314"/>
      <c r="K67" s="1314"/>
    </row>
    <row r="68" spans="1:11" ht="22.5" customHeight="1">
      <c r="A68" s="1326" t="s">
        <v>287</v>
      </c>
      <c r="B68" s="1327" t="s">
        <v>2145</v>
      </c>
      <c r="C68" s="1301">
        <f t="shared" si="12"/>
        <v>1540</v>
      </c>
      <c r="D68" s="1301">
        <v>0</v>
      </c>
      <c r="E68" s="1301">
        <v>1540</v>
      </c>
      <c r="F68" s="1301">
        <f t="shared" si="11"/>
        <v>123.21900000000005</v>
      </c>
      <c r="G68" s="1301">
        <v>0</v>
      </c>
      <c r="H68" s="1301">
        <v>123.21900000000005</v>
      </c>
      <c r="I68" s="1314"/>
      <c r="J68" s="1314"/>
      <c r="K68" s="1314"/>
    </row>
    <row r="69" spans="1:11" ht="21" customHeight="1">
      <c r="A69" s="1326" t="s">
        <v>287</v>
      </c>
      <c r="B69" s="1327" t="s">
        <v>2146</v>
      </c>
      <c r="C69" s="1301">
        <f t="shared" si="12"/>
        <v>1988</v>
      </c>
      <c r="D69" s="1301">
        <v>1988</v>
      </c>
      <c r="E69" s="1301">
        <v>0</v>
      </c>
      <c r="F69" s="1301">
        <f t="shared" si="11"/>
        <v>1988</v>
      </c>
      <c r="G69" s="1301">
        <v>1988</v>
      </c>
      <c r="H69" s="1301">
        <v>0</v>
      </c>
      <c r="I69" s="1314"/>
      <c r="J69" s="1314"/>
      <c r="K69" s="1314"/>
    </row>
    <row r="70" spans="1:11" ht="30.75" customHeight="1">
      <c r="A70" s="1326" t="s">
        <v>287</v>
      </c>
      <c r="B70" s="1327" t="s">
        <v>2147</v>
      </c>
      <c r="C70" s="1301">
        <f t="shared" si="12"/>
        <v>2410</v>
      </c>
      <c r="D70" s="1301">
        <v>223</v>
      </c>
      <c r="E70" s="1301">
        <v>2187</v>
      </c>
      <c r="F70" s="1301">
        <f t="shared" si="11"/>
        <v>2891.2570000000005</v>
      </c>
      <c r="G70" s="1301">
        <v>223</v>
      </c>
      <c r="H70" s="1301">
        <v>2668.2570000000005</v>
      </c>
      <c r="I70" s="1314"/>
      <c r="J70" s="1314"/>
      <c r="K70" s="1314"/>
    </row>
    <row r="71" spans="1:11" ht="32.25" customHeight="1">
      <c r="A71" s="1326" t="s">
        <v>287</v>
      </c>
      <c r="B71" s="1327" t="s">
        <v>2148</v>
      </c>
      <c r="C71" s="1301">
        <f t="shared" si="12"/>
        <v>5116</v>
      </c>
      <c r="D71" s="1301">
        <v>5116</v>
      </c>
      <c r="E71" s="1301">
        <v>0</v>
      </c>
      <c r="F71" s="1301">
        <f t="shared" si="11"/>
        <v>5397</v>
      </c>
      <c r="G71" s="1301">
        <v>5397</v>
      </c>
      <c r="H71" s="1301">
        <v>0</v>
      </c>
      <c r="I71" s="1314"/>
      <c r="J71" s="1314"/>
      <c r="K71" s="1314"/>
    </row>
    <row r="72" spans="1:11" ht="18.75" customHeight="1">
      <c r="A72" s="1326" t="s">
        <v>287</v>
      </c>
      <c r="B72" s="1327" t="s">
        <v>2149</v>
      </c>
      <c r="C72" s="1301">
        <f t="shared" si="12"/>
        <v>2990</v>
      </c>
      <c r="D72" s="1301">
        <v>2990</v>
      </c>
      <c r="E72" s="1301">
        <v>0</v>
      </c>
      <c r="F72" s="1301">
        <f t="shared" si="11"/>
        <v>2990</v>
      </c>
      <c r="G72" s="1301">
        <v>2990</v>
      </c>
      <c r="H72" s="1301">
        <v>0</v>
      </c>
      <c r="I72" s="1314"/>
      <c r="J72" s="1314"/>
      <c r="K72" s="1314"/>
    </row>
    <row r="73" spans="1:11" ht="22.5" customHeight="1">
      <c r="A73" s="1326" t="s">
        <v>287</v>
      </c>
      <c r="B73" s="1327" t="s">
        <v>2150</v>
      </c>
      <c r="C73" s="1301">
        <f t="shared" si="12"/>
        <v>51144</v>
      </c>
      <c r="D73" s="1301">
        <v>51144</v>
      </c>
      <c r="E73" s="1301">
        <v>0</v>
      </c>
      <c r="F73" s="1301">
        <f t="shared" si="11"/>
        <v>88842.479537999985</v>
      </c>
      <c r="G73" s="1334">
        <v>88842.479537999985</v>
      </c>
      <c r="H73" s="1301">
        <v>0</v>
      </c>
      <c r="I73" s="1314"/>
      <c r="J73" s="1314"/>
      <c r="K73" s="1314"/>
    </row>
    <row r="74" spans="1:11" ht="21.75" customHeight="1">
      <c r="A74" s="1326" t="s">
        <v>287</v>
      </c>
      <c r="B74" s="1327" t="s">
        <v>2151</v>
      </c>
      <c r="C74" s="1301">
        <f t="shared" si="12"/>
        <v>13663</v>
      </c>
      <c r="D74" s="1301">
        <v>417</v>
      </c>
      <c r="E74" s="1301">
        <v>13246</v>
      </c>
      <c r="F74" s="1301">
        <f t="shared" si="11"/>
        <v>16629.530340000001</v>
      </c>
      <c r="G74" s="1301">
        <v>256</v>
      </c>
      <c r="H74" s="1301">
        <v>16373.530340000001</v>
      </c>
      <c r="I74" s="1314"/>
      <c r="J74" s="1314"/>
      <c r="K74" s="1314"/>
    </row>
    <row r="75" spans="1:11" ht="33" customHeight="1">
      <c r="A75" s="1326" t="s">
        <v>287</v>
      </c>
      <c r="B75" s="1327" t="s">
        <v>2152</v>
      </c>
      <c r="C75" s="1301">
        <f t="shared" si="12"/>
        <v>12796</v>
      </c>
      <c r="D75" s="1301">
        <v>0</v>
      </c>
      <c r="E75" s="1301">
        <v>12796</v>
      </c>
      <c r="F75" s="1301">
        <f t="shared" si="11"/>
        <v>13838.284999999998</v>
      </c>
      <c r="G75" s="1301">
        <v>0</v>
      </c>
      <c r="H75" s="1301">
        <v>13838.284999999998</v>
      </c>
      <c r="I75" s="1314"/>
      <c r="J75" s="1314"/>
      <c r="K75" s="1314"/>
    </row>
    <row r="76" spans="1:11" ht="34.5" customHeight="1">
      <c r="A76" s="1326" t="s">
        <v>287</v>
      </c>
      <c r="B76" s="1327" t="s">
        <v>2153</v>
      </c>
      <c r="C76" s="1301">
        <f t="shared" si="12"/>
        <v>2490</v>
      </c>
      <c r="D76" s="1301">
        <v>1543</v>
      </c>
      <c r="E76" s="1301">
        <v>947</v>
      </c>
      <c r="F76" s="1301">
        <f t="shared" si="11"/>
        <v>2337.7309999999998</v>
      </c>
      <c r="G76" s="1301">
        <v>1543</v>
      </c>
      <c r="H76" s="1301">
        <v>794.73099999999999</v>
      </c>
      <c r="I76" s="1314"/>
      <c r="J76" s="1314"/>
      <c r="K76" s="1314"/>
    </row>
    <row r="77" spans="1:11" ht="28.5" customHeight="1">
      <c r="A77" s="1326" t="s">
        <v>287</v>
      </c>
      <c r="B77" s="1327" t="s">
        <v>2154</v>
      </c>
      <c r="C77" s="1301">
        <f t="shared" si="12"/>
        <v>1058</v>
      </c>
      <c r="D77" s="1301">
        <v>1058</v>
      </c>
      <c r="E77" s="1301">
        <v>0</v>
      </c>
      <c r="F77" s="1301">
        <f t="shared" si="11"/>
        <v>1341.6911259999999</v>
      </c>
      <c r="G77" s="1301">
        <v>1341.6911259999999</v>
      </c>
      <c r="H77" s="1301">
        <v>0</v>
      </c>
      <c r="I77" s="1314"/>
      <c r="J77" s="1314"/>
      <c r="K77" s="1314"/>
    </row>
    <row r="78" spans="1:11" ht="21" customHeight="1">
      <c r="A78" s="1326" t="s">
        <v>287</v>
      </c>
      <c r="B78" s="1327" t="s">
        <v>2155</v>
      </c>
      <c r="C78" s="1301">
        <f t="shared" si="12"/>
        <v>150</v>
      </c>
      <c r="D78" s="1301">
        <v>0</v>
      </c>
      <c r="E78" s="1301">
        <v>150</v>
      </c>
      <c r="F78" s="1301">
        <f t="shared" si="11"/>
        <v>76.650400000000005</v>
      </c>
      <c r="G78" s="1301">
        <v>0</v>
      </c>
      <c r="H78" s="1301">
        <v>76.650400000000005</v>
      </c>
      <c r="I78" s="1314"/>
      <c r="J78" s="1314"/>
      <c r="K78" s="1314"/>
    </row>
    <row r="79" spans="1:11" ht="33.75" customHeight="1">
      <c r="A79" s="1326" t="s">
        <v>287</v>
      </c>
      <c r="B79" s="1327" t="s">
        <v>2156</v>
      </c>
      <c r="C79" s="1301">
        <f t="shared" si="12"/>
        <v>1397</v>
      </c>
      <c r="D79" s="1301">
        <v>1397</v>
      </c>
      <c r="E79" s="1301">
        <v>0</v>
      </c>
      <c r="F79" s="1301">
        <f t="shared" si="11"/>
        <v>1575.452671</v>
      </c>
      <c r="G79" s="1301">
        <v>1575.452671</v>
      </c>
      <c r="H79" s="1301">
        <v>0</v>
      </c>
      <c r="I79" s="1314"/>
      <c r="J79" s="1314"/>
      <c r="K79" s="1314"/>
    </row>
    <row r="80" spans="1:11" ht="34.5" customHeight="1">
      <c r="A80" s="1326" t="s">
        <v>287</v>
      </c>
      <c r="B80" s="1327" t="s">
        <v>2157</v>
      </c>
      <c r="C80" s="1301">
        <f t="shared" si="12"/>
        <v>2500</v>
      </c>
      <c r="D80" s="1301">
        <v>2500</v>
      </c>
      <c r="E80" s="1301">
        <v>0</v>
      </c>
      <c r="F80" s="1301">
        <f t="shared" si="11"/>
        <v>2500</v>
      </c>
      <c r="G80" s="1301">
        <v>2500</v>
      </c>
      <c r="H80" s="1301">
        <v>0</v>
      </c>
      <c r="I80" s="1314"/>
      <c r="J80" s="1314"/>
      <c r="K80" s="1314"/>
    </row>
    <row r="81" spans="1:11" ht="20.25" customHeight="1">
      <c r="A81" s="1326" t="s">
        <v>287</v>
      </c>
      <c r="B81" s="1327" t="s">
        <v>2158</v>
      </c>
      <c r="C81" s="1301">
        <f t="shared" si="12"/>
        <v>4110</v>
      </c>
      <c r="D81" s="1301">
        <v>3120</v>
      </c>
      <c r="E81" s="1301">
        <v>990</v>
      </c>
      <c r="F81" s="1301">
        <f t="shared" si="11"/>
        <v>2758.683</v>
      </c>
      <c r="G81" s="1301">
        <v>1781</v>
      </c>
      <c r="H81" s="1301">
        <v>977.68299999999999</v>
      </c>
      <c r="I81" s="1314"/>
      <c r="J81" s="1314"/>
      <c r="K81" s="1314"/>
    </row>
    <row r="82" spans="1:11" ht="22.5" customHeight="1">
      <c r="A82" s="1326" t="s">
        <v>287</v>
      </c>
      <c r="B82" s="1327" t="s">
        <v>2159</v>
      </c>
      <c r="C82" s="1301">
        <f t="shared" si="12"/>
        <v>2630</v>
      </c>
      <c r="D82" s="1301">
        <v>2630</v>
      </c>
      <c r="E82" s="1301">
        <v>0</v>
      </c>
      <c r="F82" s="1301">
        <f t="shared" si="11"/>
        <v>8199</v>
      </c>
      <c r="G82" s="1301">
        <f>1217+6982</f>
        <v>8199</v>
      </c>
      <c r="H82" s="1301">
        <v>0</v>
      </c>
      <c r="I82" s="1314"/>
      <c r="J82" s="1314"/>
      <c r="K82" s="1314"/>
    </row>
    <row r="83" spans="1:11" ht="23.25" customHeight="1">
      <c r="A83" s="1326" t="s">
        <v>287</v>
      </c>
      <c r="B83" s="1327" t="s">
        <v>2160</v>
      </c>
      <c r="C83" s="1301">
        <f t="shared" si="12"/>
        <v>19203</v>
      </c>
      <c r="D83" s="1301">
        <v>19203</v>
      </c>
      <c r="E83" s="1301">
        <v>0</v>
      </c>
      <c r="F83" s="1301">
        <f t="shared" si="11"/>
        <v>19698</v>
      </c>
      <c r="G83" s="1301">
        <f>18000+1698</f>
        <v>19698</v>
      </c>
      <c r="H83" s="1301">
        <v>0</v>
      </c>
      <c r="I83" s="1314"/>
      <c r="J83" s="1314"/>
      <c r="K83" s="1314"/>
    </row>
    <row r="84" spans="1:11" ht="24.75" customHeight="1">
      <c r="A84" s="1326" t="s">
        <v>287</v>
      </c>
      <c r="B84" s="1299" t="s">
        <v>2161</v>
      </c>
      <c r="C84" s="1301">
        <f t="shared" si="12"/>
        <v>8239</v>
      </c>
      <c r="D84" s="1301">
        <v>8239</v>
      </c>
      <c r="E84" s="1301">
        <v>0</v>
      </c>
      <c r="F84" s="1301">
        <f t="shared" si="11"/>
        <v>17993</v>
      </c>
      <c r="G84" s="1301">
        <v>17993</v>
      </c>
      <c r="H84" s="1301">
        <v>0</v>
      </c>
      <c r="I84" s="1314"/>
      <c r="J84" s="1314"/>
      <c r="K84" s="1314"/>
    </row>
    <row r="85" spans="1:11" ht="21" customHeight="1">
      <c r="A85" s="1326" t="s">
        <v>287</v>
      </c>
      <c r="B85" s="1327" t="s">
        <v>2162</v>
      </c>
      <c r="C85" s="1301">
        <f t="shared" si="12"/>
        <v>1783</v>
      </c>
      <c r="D85" s="1301">
        <v>1783</v>
      </c>
      <c r="E85" s="1301">
        <v>0</v>
      </c>
      <c r="F85" s="1301">
        <f t="shared" si="11"/>
        <v>2049</v>
      </c>
      <c r="G85" s="1301">
        <v>2049</v>
      </c>
      <c r="H85" s="1301">
        <v>0</v>
      </c>
      <c r="I85" s="1314"/>
      <c r="J85" s="1314"/>
      <c r="K85" s="1314"/>
    </row>
    <row r="86" spans="1:11" ht="33.75" customHeight="1">
      <c r="A86" s="1326" t="s">
        <v>287</v>
      </c>
      <c r="B86" s="1299" t="s">
        <v>2163</v>
      </c>
      <c r="C86" s="1301">
        <f t="shared" si="12"/>
        <v>1710</v>
      </c>
      <c r="D86" s="1301">
        <v>1710</v>
      </c>
      <c r="E86" s="1301">
        <v>0</v>
      </c>
      <c r="F86" s="1301">
        <f t="shared" si="11"/>
        <v>4225.3999999999996</v>
      </c>
      <c r="G86" s="1301">
        <v>2945</v>
      </c>
      <c r="H86" s="1301">
        <f>502.6+777.8</f>
        <v>1280.4000000000001</v>
      </c>
      <c r="I86" s="1314"/>
      <c r="J86" s="1314"/>
      <c r="K86" s="1314"/>
    </row>
    <row r="87" spans="1:11" ht="19.5" customHeight="1">
      <c r="A87" s="1326" t="s">
        <v>287</v>
      </c>
      <c r="B87" s="1299" t="s">
        <v>1493</v>
      </c>
      <c r="C87" s="1301">
        <f t="shared" si="12"/>
        <v>21600</v>
      </c>
      <c r="D87" s="1301">
        <v>2629</v>
      </c>
      <c r="E87" s="1301">
        <v>18971</v>
      </c>
      <c r="F87" s="1301">
        <f t="shared" si="11"/>
        <v>23021.788860999997</v>
      </c>
      <c r="G87" s="1301">
        <f>1864+473.05</f>
        <v>2337.0500000000002</v>
      </c>
      <c r="H87" s="1301">
        <v>20684.738860999998</v>
      </c>
      <c r="I87" s="1314"/>
      <c r="J87" s="1314"/>
      <c r="K87" s="1314"/>
    </row>
    <row r="88" spans="1:11" ht="21.75" customHeight="1">
      <c r="A88" s="1326" t="s">
        <v>287</v>
      </c>
      <c r="B88" s="1299" t="s">
        <v>2164</v>
      </c>
      <c r="C88" s="1301">
        <f t="shared" si="12"/>
        <v>1000</v>
      </c>
      <c r="D88" s="1301">
        <v>1000</v>
      </c>
      <c r="E88" s="1301">
        <v>0</v>
      </c>
      <c r="F88" s="1301">
        <f t="shared" si="11"/>
        <v>3192</v>
      </c>
      <c r="G88" s="1301">
        <v>3192</v>
      </c>
      <c r="H88" s="1301">
        <v>0</v>
      </c>
      <c r="I88" s="1314"/>
      <c r="J88" s="1314"/>
      <c r="K88" s="1314"/>
    </row>
    <row r="89" spans="1:11" ht="31.5" customHeight="1">
      <c r="A89" s="1326" t="s">
        <v>287</v>
      </c>
      <c r="B89" s="1299" t="s">
        <v>2165</v>
      </c>
      <c r="C89" s="1301">
        <f t="shared" si="12"/>
        <v>2530</v>
      </c>
      <c r="D89" s="1301">
        <v>2530</v>
      </c>
      <c r="E89" s="1301">
        <v>0</v>
      </c>
      <c r="F89" s="1301">
        <f t="shared" si="11"/>
        <v>0</v>
      </c>
      <c r="G89" s="1301">
        <v>0</v>
      </c>
      <c r="H89" s="1301">
        <v>0</v>
      </c>
      <c r="I89" s="1314"/>
      <c r="J89" s="1314"/>
      <c r="K89" s="1314"/>
    </row>
    <row r="90" spans="1:11" ht="21" customHeight="1">
      <c r="A90" s="1326" t="s">
        <v>287</v>
      </c>
      <c r="B90" s="293" t="s">
        <v>2166</v>
      </c>
      <c r="C90" s="1301">
        <f t="shared" si="12"/>
        <v>10000</v>
      </c>
      <c r="D90" s="1301">
        <v>10000</v>
      </c>
      <c r="E90" s="1301">
        <v>0</v>
      </c>
      <c r="F90" s="1301">
        <f t="shared" si="11"/>
        <v>0</v>
      </c>
      <c r="G90" s="1301">
        <v>0</v>
      </c>
      <c r="H90" s="1301">
        <v>0</v>
      </c>
      <c r="I90" s="1314"/>
      <c r="J90" s="1314"/>
      <c r="K90" s="1314"/>
    </row>
    <row r="91" spans="1:11" ht="29.25" customHeight="1">
      <c r="A91" s="1326" t="s">
        <v>287</v>
      </c>
      <c r="B91" s="1341" t="s">
        <v>2167</v>
      </c>
      <c r="C91" s="1301"/>
      <c r="D91" s="1301"/>
      <c r="E91" s="1301"/>
      <c r="F91" s="1301">
        <f t="shared" si="11"/>
        <v>1901.8963650000001</v>
      </c>
      <c r="G91" s="1301">
        <v>0</v>
      </c>
      <c r="H91" s="1301">
        <v>1901.8963650000001</v>
      </c>
      <c r="I91" s="1314"/>
      <c r="J91" s="1314"/>
      <c r="K91" s="1314"/>
    </row>
    <row r="92" spans="1:11" ht="21" customHeight="1">
      <c r="A92" s="1326" t="s">
        <v>287</v>
      </c>
      <c r="B92" s="1335" t="s">
        <v>2168</v>
      </c>
      <c r="C92" s="1301"/>
      <c r="D92" s="1301"/>
      <c r="E92" s="1301"/>
      <c r="F92" s="1301">
        <f t="shared" si="11"/>
        <v>6413.468613</v>
      </c>
      <c r="G92" s="1301">
        <v>2140</v>
      </c>
      <c r="H92" s="1301">
        <v>4273.468613</v>
      </c>
      <c r="I92" s="1314"/>
      <c r="J92" s="1314"/>
      <c r="K92" s="1314"/>
    </row>
    <row r="93" spans="1:11" ht="56.25" customHeight="1">
      <c r="A93" s="1326" t="s">
        <v>287</v>
      </c>
      <c r="B93" s="1335" t="s">
        <v>2169</v>
      </c>
      <c r="C93" s="1301"/>
      <c r="D93" s="1301"/>
      <c r="E93" s="1301"/>
      <c r="F93" s="1301">
        <f t="shared" si="11"/>
        <v>13460.903051000001</v>
      </c>
      <c r="G93" s="1301">
        <f>5108+903.357051</f>
        <v>6011.357051</v>
      </c>
      <c r="H93" s="1301">
        <f>7158.207+291.339</f>
        <v>7449.5460000000003</v>
      </c>
      <c r="I93" s="1314"/>
      <c r="J93" s="1314"/>
      <c r="K93" s="1314"/>
    </row>
    <row r="94" spans="1:11" ht="29.25" customHeight="1">
      <c r="A94" s="1326" t="s">
        <v>287</v>
      </c>
      <c r="B94" s="293" t="s">
        <v>2170</v>
      </c>
      <c r="C94" s="1301"/>
      <c r="D94" s="1301"/>
      <c r="E94" s="1301"/>
      <c r="F94" s="1301">
        <f t="shared" si="11"/>
        <v>2405</v>
      </c>
      <c r="G94" s="1301">
        <v>2405</v>
      </c>
      <c r="H94" s="1301">
        <v>0</v>
      </c>
      <c r="I94" s="1314"/>
      <c r="J94" s="1314"/>
      <c r="K94" s="1314"/>
    </row>
    <row r="95" spans="1:11" ht="21" customHeight="1">
      <c r="A95" s="1326" t="s">
        <v>287</v>
      </c>
      <c r="B95" s="293" t="s">
        <v>2171</v>
      </c>
      <c r="C95" s="1301"/>
      <c r="D95" s="1301"/>
      <c r="E95" s="1301"/>
      <c r="F95" s="1301">
        <f t="shared" si="11"/>
        <v>140</v>
      </c>
      <c r="G95" s="1301">
        <v>140</v>
      </c>
      <c r="H95" s="1301">
        <v>0</v>
      </c>
      <c r="I95" s="1314"/>
      <c r="J95" s="1314"/>
      <c r="K95" s="1314"/>
    </row>
    <row r="96" spans="1:11" ht="31.5" customHeight="1">
      <c r="A96" s="1326" t="s">
        <v>287</v>
      </c>
      <c r="B96" s="293" t="s">
        <v>2172</v>
      </c>
      <c r="C96" s="1301"/>
      <c r="D96" s="1301"/>
      <c r="E96" s="1301"/>
      <c r="F96" s="1301">
        <f t="shared" si="11"/>
        <v>540</v>
      </c>
      <c r="G96" s="1301">
        <v>540</v>
      </c>
      <c r="H96" s="1301">
        <v>0</v>
      </c>
      <c r="I96" s="1314"/>
      <c r="J96" s="1314"/>
      <c r="K96" s="1314"/>
    </row>
    <row r="97" spans="1:11" ht="22.5" customHeight="1">
      <c r="A97" s="1326" t="s">
        <v>287</v>
      </c>
      <c r="B97" s="293" t="s">
        <v>2173</v>
      </c>
      <c r="C97" s="1301"/>
      <c r="D97" s="1301"/>
      <c r="E97" s="1301"/>
      <c r="F97" s="1301">
        <f t="shared" si="11"/>
        <v>366.38650000000001</v>
      </c>
      <c r="G97" s="1301">
        <v>0</v>
      </c>
      <c r="H97" s="1301">
        <v>366.38650000000001</v>
      </c>
      <c r="I97" s="1314"/>
      <c r="J97" s="1314"/>
      <c r="K97" s="1314"/>
    </row>
    <row r="98" spans="1:11" ht="44.25" customHeight="1">
      <c r="A98" s="1326" t="s">
        <v>287</v>
      </c>
      <c r="B98" s="293" t="s">
        <v>2174</v>
      </c>
      <c r="C98" s="1301"/>
      <c r="D98" s="1301"/>
      <c r="E98" s="1301"/>
      <c r="F98" s="1301">
        <f t="shared" si="11"/>
        <v>5</v>
      </c>
      <c r="G98" s="1301">
        <v>0</v>
      </c>
      <c r="H98" s="1301">
        <v>5</v>
      </c>
      <c r="I98" s="1314"/>
      <c r="J98" s="1314"/>
      <c r="K98" s="1314"/>
    </row>
    <row r="99" spans="1:11" ht="44.25" customHeight="1">
      <c r="A99" s="1326" t="s">
        <v>287</v>
      </c>
      <c r="B99" s="1335" t="s">
        <v>2175</v>
      </c>
      <c r="C99" s="1301"/>
      <c r="D99" s="1301"/>
      <c r="E99" s="1301"/>
      <c r="F99" s="1301">
        <f t="shared" si="11"/>
        <v>35.508000000000003</v>
      </c>
      <c r="G99" s="1301">
        <v>0</v>
      </c>
      <c r="H99" s="1301">
        <f>35.508</f>
        <v>35.508000000000003</v>
      </c>
      <c r="I99" s="1314"/>
      <c r="J99" s="1314"/>
      <c r="K99" s="1314"/>
    </row>
    <row r="100" spans="1:11" ht="21.75" customHeight="1">
      <c r="A100" s="1326" t="s">
        <v>287</v>
      </c>
      <c r="B100" s="293" t="s">
        <v>2176</v>
      </c>
      <c r="C100" s="1301"/>
      <c r="D100" s="1301"/>
      <c r="E100" s="1301"/>
      <c r="F100" s="1301">
        <f t="shared" si="11"/>
        <v>2383.1470240000003</v>
      </c>
      <c r="G100" s="1301">
        <v>0</v>
      </c>
      <c r="H100" s="1301">
        <v>2383.1470240000003</v>
      </c>
      <c r="I100" s="1314"/>
      <c r="J100" s="1314"/>
      <c r="K100" s="1314"/>
    </row>
    <row r="101" spans="1:11" ht="30" customHeight="1">
      <c r="A101" s="1326" t="s">
        <v>287</v>
      </c>
      <c r="B101" s="293" t="s">
        <v>2177</v>
      </c>
      <c r="C101" s="1301"/>
      <c r="D101" s="1301"/>
      <c r="E101" s="1301"/>
      <c r="F101" s="1301">
        <f t="shared" si="11"/>
        <v>8810.5195349999995</v>
      </c>
      <c r="G101" s="1301">
        <v>0</v>
      </c>
      <c r="H101" s="1301">
        <v>8810.5195349999995</v>
      </c>
      <c r="I101" s="1314"/>
      <c r="J101" s="1314"/>
      <c r="K101" s="1314"/>
    </row>
    <row r="102" spans="1:11" ht="31.5" customHeight="1">
      <c r="A102" s="1326" t="s">
        <v>287</v>
      </c>
      <c r="B102" s="293" t="s">
        <v>2178</v>
      </c>
      <c r="C102" s="1301"/>
      <c r="D102" s="1301"/>
      <c r="E102" s="1301"/>
      <c r="F102" s="1301">
        <f t="shared" si="11"/>
        <v>2462.6661009999998</v>
      </c>
      <c r="G102" s="1301">
        <v>0</v>
      </c>
      <c r="H102" s="1301">
        <v>2462.6661009999998</v>
      </c>
      <c r="I102" s="1314"/>
      <c r="J102" s="1314"/>
      <c r="K102" s="1314"/>
    </row>
    <row r="103" spans="1:11" ht="27.75" customHeight="1">
      <c r="A103" s="1326" t="s">
        <v>287</v>
      </c>
      <c r="B103" s="293" t="s">
        <v>2179</v>
      </c>
      <c r="C103" s="1301"/>
      <c r="D103" s="1301"/>
      <c r="E103" s="1301"/>
      <c r="F103" s="1301">
        <f t="shared" si="11"/>
        <v>3975.5</v>
      </c>
      <c r="G103" s="1301">
        <v>1797</v>
      </c>
      <c r="H103" s="1301">
        <v>2178.5</v>
      </c>
      <c r="I103" s="1314"/>
      <c r="J103" s="1314"/>
      <c r="K103" s="1314"/>
    </row>
    <row r="104" spans="1:11" ht="21" customHeight="1">
      <c r="A104" s="1336" t="s">
        <v>287</v>
      </c>
      <c r="B104" s="1337" t="s">
        <v>2180</v>
      </c>
      <c r="C104" s="1338"/>
      <c r="D104" s="1338"/>
      <c r="E104" s="1338"/>
      <c r="F104" s="1301">
        <f t="shared" si="11"/>
        <v>1845.2382180000002</v>
      </c>
      <c r="G104" s="1338">
        <v>639.194479</v>
      </c>
      <c r="H104" s="1338">
        <v>1206.0437390000002</v>
      </c>
      <c r="I104" s="1339"/>
      <c r="J104" s="1339"/>
      <c r="K104" s="1339"/>
    </row>
    <row r="105" spans="1:11" ht="24" customHeight="1">
      <c r="A105" s="1237" t="s">
        <v>10</v>
      </c>
      <c r="B105" s="1288" t="s">
        <v>99</v>
      </c>
      <c r="C105" s="1277">
        <f t="shared" si="12"/>
        <v>0</v>
      </c>
      <c r="D105" s="1277">
        <v>0</v>
      </c>
      <c r="E105" s="1277">
        <v>0</v>
      </c>
      <c r="F105" s="1277">
        <f>G105+H105</f>
        <v>1030660.9809470002</v>
      </c>
      <c r="G105" s="1277">
        <v>897180.74841900019</v>
      </c>
      <c r="H105" s="1277">
        <v>133480.23252799999</v>
      </c>
      <c r="I105" s="1340"/>
      <c r="J105" s="1340"/>
      <c r="K105" s="1340"/>
    </row>
  </sheetData>
  <mergeCells count="13">
    <mergeCell ref="G6:H6"/>
    <mergeCell ref="I6:K6"/>
    <mergeCell ref="A3:K3"/>
    <mergeCell ref="I5:K5"/>
    <mergeCell ref="A1:B1"/>
    <mergeCell ref="I1:K1"/>
    <mergeCell ref="A2:K2"/>
    <mergeCell ref="A4:K4"/>
    <mergeCell ref="A6:A7"/>
    <mergeCell ref="B6:B7"/>
    <mergeCell ref="C6:C7"/>
    <mergeCell ref="D6:E6"/>
    <mergeCell ref="F6:F7"/>
  </mergeCells>
  <pageMargins left="0.41" right="0.35" top="0.33" bottom="0.5" header="0.24" footer="0.3"/>
  <pageSetup paperSize="9" scale="99" firstPageNumber="4" fitToHeight="0" orientation="landscape" useFirstPageNumber="1" r:id="rId1"/>
  <headerFooter>
    <oddFooter>&amp;R&amp;P</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072B81-68E7-487D-8EDF-F4BCB88302F0}"/>
</file>

<file path=customXml/itemProps2.xml><?xml version="1.0" encoding="utf-8"?>
<ds:datastoreItem xmlns:ds="http://schemas.openxmlformats.org/officeDocument/2006/customXml" ds:itemID="{A77843C8-9337-41ED-8E5B-BEF9209C0732}"/>
</file>

<file path=customXml/itemProps3.xml><?xml version="1.0" encoding="utf-8"?>
<ds:datastoreItem xmlns:ds="http://schemas.openxmlformats.org/officeDocument/2006/customXml" ds:itemID="{EBD56CD0-2756-4BC1-9780-A1EE97F8E02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57</vt:i4>
      </vt:variant>
    </vt:vector>
  </HeadingPairs>
  <TitlesOfParts>
    <vt:vector size="85" baseType="lpstr">
      <vt:lpstr>PL tong hop</vt:lpstr>
      <vt:lpstr>60-TT342</vt:lpstr>
      <vt:lpstr>61-TT342</vt:lpstr>
      <vt:lpstr>62-TT342</vt:lpstr>
      <vt:lpstr>B62CK</vt:lpstr>
      <vt:lpstr>B49</vt:lpstr>
      <vt:lpstr>B63CK</vt:lpstr>
      <vt:lpstr>B51</vt:lpstr>
      <vt:lpstr>B64CK</vt:lpstr>
      <vt:lpstr>B65CK</vt:lpstr>
      <vt:lpstr>B53a</vt:lpstr>
      <vt:lpstr>B66CK</vt:lpstr>
      <vt:lpstr>B55</vt:lpstr>
      <vt:lpstr>B56</vt:lpstr>
      <vt:lpstr>B57</vt:lpstr>
      <vt:lpstr>B58</vt:lpstr>
      <vt:lpstr>B67CK</vt:lpstr>
      <vt:lpstr>B60</vt:lpstr>
      <vt:lpstr>B68CK</vt:lpstr>
      <vt:lpstr>B61.01 CTMTQG cấp tỉnh</vt:lpstr>
      <vt:lpstr>B 61.02 CTMTQG huyện</vt:lpstr>
      <vt:lpstr>B62.QTVĐT</vt:lpstr>
      <vt:lpstr>B64</vt:lpstr>
      <vt:lpstr>TM Các CT, nhiệm vụ của Huyện</vt:lpstr>
      <vt:lpstr>TM KDNS Tinh</vt:lpstr>
      <vt:lpstr>Tổng hợp CN 2017-2018</vt:lpstr>
      <vt:lpstr>CN 2017-2018 cấp tỉnh</vt:lpstr>
      <vt:lpstr>TMCN 2017-2018 NS huyện</vt:lpstr>
      <vt:lpstr>'PL tong hop'!chuong_phuluc_1_name</vt:lpstr>
      <vt:lpstr>B62CK!chuong_phuluc_48</vt:lpstr>
      <vt:lpstr>B62CK!chuong_phuluc_48_name</vt:lpstr>
      <vt:lpstr>'B49'!chuong_phuluc_49</vt:lpstr>
      <vt:lpstr>'B49'!chuong_phuluc_49_name</vt:lpstr>
      <vt:lpstr>B63CK!chuong_phuluc_50</vt:lpstr>
      <vt:lpstr>B63CK!chuong_phuluc_50_name</vt:lpstr>
      <vt:lpstr>'B51'!chuong_phuluc_51</vt:lpstr>
      <vt:lpstr>'B51'!chuong_phuluc_51_name</vt:lpstr>
      <vt:lpstr>B65CK!chuong_phuluc_52</vt:lpstr>
      <vt:lpstr>B65CK!chuong_phuluc_52_name</vt:lpstr>
      <vt:lpstr>B53a!chuong_phuluc_53</vt:lpstr>
      <vt:lpstr>B64CK!chuong_phuluc_53</vt:lpstr>
      <vt:lpstr>B53a!chuong_phuluc_53_name</vt:lpstr>
      <vt:lpstr>B64CK!chuong_phuluc_53_name</vt:lpstr>
      <vt:lpstr>B66CK!chuong_phuluc_54</vt:lpstr>
      <vt:lpstr>B66CK!chuong_phuluc_54_name</vt:lpstr>
      <vt:lpstr>'B64'!chuong_phuluc_64</vt:lpstr>
      <vt:lpstr>'B64'!chuong_phuluc_64_name</vt:lpstr>
      <vt:lpstr>'60-TT342'!Print_Area</vt:lpstr>
      <vt:lpstr>'62-TT342'!Print_Area</vt:lpstr>
      <vt:lpstr>'B49'!Print_Area</vt:lpstr>
      <vt:lpstr>'B51'!Print_Area</vt:lpstr>
      <vt:lpstr>B53a!Print_Area</vt:lpstr>
      <vt:lpstr>'B55'!Print_Area</vt:lpstr>
      <vt:lpstr>'B56'!Print_Area</vt:lpstr>
      <vt:lpstr>'B57'!Print_Area</vt:lpstr>
      <vt:lpstr>'B58'!Print_Area</vt:lpstr>
      <vt:lpstr>'B60'!Print_Area</vt:lpstr>
      <vt:lpstr>B62CK!Print_Area</vt:lpstr>
      <vt:lpstr>B63CK!Print_Area</vt:lpstr>
      <vt:lpstr>B64CK!Print_Area</vt:lpstr>
      <vt:lpstr>B65CK!Print_Area</vt:lpstr>
      <vt:lpstr>B66CK!Print_Area</vt:lpstr>
      <vt:lpstr>B68CK!Print_Area</vt:lpstr>
      <vt:lpstr>'CN 2017-2018 cấp tỉnh'!Print_Area</vt:lpstr>
      <vt:lpstr>'TM KDNS Tinh'!Print_Area</vt:lpstr>
      <vt:lpstr>'TMCN 2017-2018 NS huyện'!Print_Area</vt:lpstr>
      <vt:lpstr>'Tổng hợp CN 2017-2018'!Print_Area</vt:lpstr>
      <vt:lpstr>'61-TT342'!Print_Titles</vt:lpstr>
      <vt:lpstr>'B 61.02 CTMTQG huyện'!Print_Titles</vt:lpstr>
      <vt:lpstr>'B49'!Print_Titles</vt:lpstr>
      <vt:lpstr>'B51'!Print_Titles</vt:lpstr>
      <vt:lpstr>B53a!Print_Titles</vt:lpstr>
      <vt:lpstr>'B55'!Print_Titles</vt:lpstr>
      <vt:lpstr>'B56'!Print_Titles</vt:lpstr>
      <vt:lpstr>'B57'!Print_Titles</vt:lpstr>
      <vt:lpstr>B62.QTVĐT!Print_Titles</vt:lpstr>
      <vt:lpstr>B63CK!Print_Titles</vt:lpstr>
      <vt:lpstr>B64CK!Print_Titles</vt:lpstr>
      <vt:lpstr>B65CK!Print_Titles</vt:lpstr>
      <vt:lpstr>B66CK!Print_Titles</vt:lpstr>
      <vt:lpstr>B68CK!Print_Titles</vt:lpstr>
      <vt:lpstr>'CN 2017-2018 cấp tỉnh'!Print_Titles</vt:lpstr>
      <vt:lpstr>'TM Các CT, nhiệm vụ của Huyện'!Print_Titles</vt:lpstr>
      <vt:lpstr>'TM KDNS Tinh'!Print_Titles</vt:lpstr>
      <vt:lpstr>'TMCN 2017-2018 NS huyện'!Print_Titles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Windows User</cp:lastModifiedBy>
  <cp:lastPrinted>2020-06-09T08:58:16Z</cp:lastPrinted>
  <dcterms:created xsi:type="dcterms:W3CDTF">2017-04-26T02:19:00Z</dcterms:created>
  <dcterms:modified xsi:type="dcterms:W3CDTF">2020-06-09T09:04:54Z</dcterms:modified>
</cp:coreProperties>
</file>